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05" yWindow="1440" windowWidth="14805" windowHeight="7410" tabRatio="799" firstSheet="1" activeTab="3"/>
  </bookViews>
  <sheets>
    <sheet name="Pool Invoices" sheetId="25" r:id="rId1"/>
    <sheet name="CGASVol" sheetId="29" r:id="rId2"/>
    <sheet name="CGAS0001" sheetId="8" r:id="rId3"/>
    <sheet name="cgas" sheetId="1" r:id="rId4"/>
    <sheet name="GathVol" sheetId="27" r:id="rId5"/>
    <sheet name="Gatherco0001" sheetId="15" r:id="rId6"/>
    <sheet name="gatherco" sheetId="2" r:id="rId7"/>
    <sheet name="CNRVol" sheetId="28" r:id="rId8"/>
    <sheet name="CNR0001" sheetId="16" r:id="rId9"/>
    <sheet name="cnr" sheetId="3" r:id="rId10"/>
    <sheet name="Special Pricing" sheetId="5" r:id="rId11"/>
    <sheet name="CNGx" sheetId="26" r:id="rId12"/>
    <sheet name="CNGData" sheetId="18" r:id="rId13"/>
    <sheet name="CNG" sheetId="19" r:id="rId14"/>
    <sheet name="CNGPricing" sheetId="20" r:id="rId15"/>
    <sheet name="EQTR-Other" sheetId="21" r:id="rId16"/>
    <sheet name="Brewer" sheetId="23" r:id="rId17"/>
  </sheets>
  <definedNames>
    <definedName name="_xlnm._FilterDatabase" localSheetId="3" hidden="1">cgas!$A$6:$AF$337</definedName>
    <definedName name="_xlnm._FilterDatabase" localSheetId="2" hidden="1">CGAS0001!$A$4:$P$4</definedName>
    <definedName name="_xlnm._FilterDatabase" localSheetId="13" hidden="1">CNG!$A$4:$BA$331</definedName>
    <definedName name="_xlnm._FilterDatabase" localSheetId="12" hidden="1">CNGData!$A$2:$AD$247</definedName>
    <definedName name="_xlnm._FilterDatabase" localSheetId="9" hidden="1">cnr!$A$4:$S$287</definedName>
    <definedName name="_xlnm._FilterDatabase" localSheetId="8" hidden="1">'CNR0001'!$A$2:$L$248</definedName>
    <definedName name="_xlnm._FilterDatabase" localSheetId="15" hidden="1">'EQTR-Other'!$A$4:$AT$4</definedName>
    <definedName name="_xlnm._FilterDatabase" localSheetId="6" hidden="1">gatherco!$A$4:$T$500</definedName>
    <definedName name="_xlnm._FilterDatabase" localSheetId="5" hidden="1">Gatherco0001!$A$1:$T$21</definedName>
    <definedName name="cgas9910">CGAS0001!$A$4:$L$205</definedName>
    <definedName name="cgasx">CGASVol!$A$1:$E$129</definedName>
    <definedName name="cngdata">CNGData!$C$2:$P$247</definedName>
    <definedName name="CNGDataF">CNGData!$D$2:$R$247</definedName>
    <definedName name="cngded">CNG!$S$1:$X$5</definedName>
    <definedName name="CNGFuel">#REF!</definedName>
    <definedName name="CNGx">CNGx!$A$1:$C$243</definedName>
    <definedName name="CNRGas">'CNR0001'!$D$3:$I$248</definedName>
    <definedName name="CNRVol">CNRVol!$A$1:$G$18</definedName>
    <definedName name="gath9909">Gatherco0001!$A$2:$O$20</definedName>
    <definedName name="GathVol">GathVol!$A$2:$D$111</definedName>
    <definedName name="InCGAS">cgas!$A$7:$I$335</definedName>
    <definedName name="INCNG">CNG!$B$5:$L$331</definedName>
    <definedName name="InCNR">cnr!$H$5:$J$285</definedName>
    <definedName name="InReg">gatherco!$C$5:$K$500</definedName>
    <definedName name="_xlnm.Print_Area" localSheetId="3">cgas!$A$1:$T$338</definedName>
    <definedName name="_xlnm.Print_Area" localSheetId="13">CNG!$A$1:$P$333</definedName>
    <definedName name="_xlnm.Print_Area" localSheetId="12">CNGData!$A$1:$Y$131</definedName>
    <definedName name="_xlnm.Print_Area" localSheetId="14">CNGPricing!$A$34:$J$44</definedName>
    <definedName name="_xlnm.Print_Area" localSheetId="9">cnr!$A$1:$R$287</definedName>
    <definedName name="_xlnm.Print_Area" localSheetId="6">gatherco!$A$1:$O$502</definedName>
    <definedName name="_xlnm.Print_Area" localSheetId="5">Gatherco0001!$1:$1048576</definedName>
    <definedName name="_xlnm.Print_Area" localSheetId="10">'Special Pricing'!$A$473:$H$485</definedName>
    <definedName name="_xlnm.Print_Titles" localSheetId="3">cgas!$3:$6</definedName>
    <definedName name="_xlnm.Print_Titles" localSheetId="2">CGAS0001!$A$1</definedName>
    <definedName name="_xlnm.Print_Titles" localSheetId="13">CNG!$1:$4</definedName>
    <definedName name="_xlnm.Print_Titles" localSheetId="9">cnr!$1:$4</definedName>
    <definedName name="_xlnm.Print_Titles" localSheetId="6">gatherco!$1:$4</definedName>
    <definedName name="Retention">CNG!$S$1:$X$5</definedName>
  </definedNames>
  <calcPr calcId="152511" fullCalcOnLoad="1"/>
</workbook>
</file>

<file path=xl/calcChain.xml><?xml version="1.0" encoding="utf-8"?>
<calcChain xmlns="http://schemas.openxmlformats.org/spreadsheetml/2006/main">
  <c r="B2" i="23" l="1"/>
  <c r="D4" i="23"/>
  <c r="J32" i="23"/>
  <c r="L32" i="23"/>
  <c r="A4" i="1"/>
  <c r="B7" i="1"/>
  <c r="H7" i="1"/>
  <c r="I7" i="1"/>
  <c r="J7" i="1"/>
  <c r="K7" i="1"/>
  <c r="L7" i="1"/>
  <c r="N7" i="1"/>
  <c r="O7" i="1"/>
  <c r="P7" i="1"/>
  <c r="B8" i="1"/>
  <c r="H8" i="1"/>
  <c r="O8" i="1" s="1"/>
  <c r="J8" i="1"/>
  <c r="K8" i="1"/>
  <c r="L8" i="1" s="1"/>
  <c r="N8" i="1" s="1"/>
  <c r="P8" i="1"/>
  <c r="B9" i="1"/>
  <c r="H9" i="1"/>
  <c r="O9" i="1" s="1"/>
  <c r="J9" i="1"/>
  <c r="K9" i="1"/>
  <c r="L9" i="1"/>
  <c r="P9" i="1"/>
  <c r="B10" i="1"/>
  <c r="H10" i="1"/>
  <c r="I10" i="1"/>
  <c r="R10" i="1" s="1"/>
  <c r="J10" i="1"/>
  <c r="K10" i="1"/>
  <c r="L10" i="1"/>
  <c r="N10" i="1" s="1"/>
  <c r="O10" i="1"/>
  <c r="P10" i="1"/>
  <c r="B11" i="1"/>
  <c r="H11" i="1"/>
  <c r="O11" i="1" s="1"/>
  <c r="J11" i="1"/>
  <c r="K11" i="1"/>
  <c r="L11" i="1"/>
  <c r="P11" i="1"/>
  <c r="B12" i="1"/>
  <c r="H12" i="1"/>
  <c r="I12" i="1"/>
  <c r="J12" i="1"/>
  <c r="K12" i="1"/>
  <c r="L12" i="1" s="1"/>
  <c r="N12" i="1"/>
  <c r="O12" i="1"/>
  <c r="P12" i="1"/>
  <c r="B13" i="1"/>
  <c r="H13" i="1"/>
  <c r="O13" i="1" s="1"/>
  <c r="J13" i="1"/>
  <c r="K13" i="1"/>
  <c r="L13" i="1"/>
  <c r="N13" i="1" s="1"/>
  <c r="P13" i="1"/>
  <c r="B14" i="1"/>
  <c r="H14" i="1"/>
  <c r="O14" i="1" s="1"/>
  <c r="I14" i="1"/>
  <c r="J14" i="1"/>
  <c r="N14" i="1" s="1"/>
  <c r="K14" i="1"/>
  <c r="L14" i="1" s="1"/>
  <c r="P14" i="1"/>
  <c r="B15" i="1"/>
  <c r="H15" i="1"/>
  <c r="I15" i="1"/>
  <c r="J15" i="1"/>
  <c r="K15" i="1"/>
  <c r="L15" i="1"/>
  <c r="O15" i="1"/>
  <c r="P15" i="1"/>
  <c r="B16" i="1"/>
  <c r="H16" i="1"/>
  <c r="O16" i="1" s="1"/>
  <c r="J16" i="1"/>
  <c r="K16" i="1"/>
  <c r="L16" i="1"/>
  <c r="B17" i="1"/>
  <c r="H17" i="1"/>
  <c r="J17" i="1"/>
  <c r="K17" i="1"/>
  <c r="L17" i="1"/>
  <c r="O17" i="1"/>
  <c r="P17" i="1"/>
  <c r="B18" i="1"/>
  <c r="H18" i="1"/>
  <c r="J18" i="1"/>
  <c r="K18" i="1"/>
  <c r="L18" i="1"/>
  <c r="N18" i="1"/>
  <c r="O18" i="1"/>
  <c r="B19" i="1"/>
  <c r="H19" i="1"/>
  <c r="I19" i="1"/>
  <c r="K19" i="1"/>
  <c r="L19" i="1" s="1"/>
  <c r="O19" i="1"/>
  <c r="B20" i="1"/>
  <c r="H20" i="1"/>
  <c r="O20" i="1" s="1"/>
  <c r="J20" i="1"/>
  <c r="K20" i="1"/>
  <c r="L20" i="1" s="1"/>
  <c r="N20" i="1"/>
  <c r="B21" i="1"/>
  <c r="H21" i="1"/>
  <c r="O21" i="1" s="1"/>
  <c r="J21" i="1"/>
  <c r="K21" i="1"/>
  <c r="L21" i="1" s="1"/>
  <c r="N21" i="1" s="1"/>
  <c r="B22" i="1"/>
  <c r="H22" i="1"/>
  <c r="O22" i="1" s="1"/>
  <c r="J22" i="1"/>
  <c r="N22" i="1" s="1"/>
  <c r="K22" i="1"/>
  <c r="L22" i="1" s="1"/>
  <c r="P22" i="1"/>
  <c r="B23" i="1"/>
  <c r="H23" i="1"/>
  <c r="J23" i="1"/>
  <c r="N23" i="1" s="1"/>
  <c r="K23" i="1"/>
  <c r="L23" i="1"/>
  <c r="O23" i="1"/>
  <c r="P23" i="1"/>
  <c r="B24" i="1"/>
  <c r="H24" i="1"/>
  <c r="O24" i="1" s="1"/>
  <c r="J24" i="1"/>
  <c r="K24" i="1"/>
  <c r="L24" i="1"/>
  <c r="N24" i="1"/>
  <c r="P24" i="1"/>
  <c r="B25" i="1"/>
  <c r="H25" i="1"/>
  <c r="J25" i="1"/>
  <c r="K25" i="1"/>
  <c r="L25" i="1"/>
  <c r="O25" i="1"/>
  <c r="P25" i="1"/>
  <c r="B26" i="1"/>
  <c r="H26" i="1"/>
  <c r="I26" i="1"/>
  <c r="K26" i="1"/>
  <c r="L26" i="1" s="1"/>
  <c r="O26" i="1"/>
  <c r="P26" i="1"/>
  <c r="B27" i="1"/>
  <c r="H27" i="1"/>
  <c r="O27" i="1" s="1"/>
  <c r="I27" i="1"/>
  <c r="K27" i="1"/>
  <c r="L27" i="1"/>
  <c r="P27" i="1"/>
  <c r="B28" i="1"/>
  <c r="H28" i="1"/>
  <c r="O28" i="1" s="1"/>
  <c r="I28" i="1"/>
  <c r="K28" i="1"/>
  <c r="L28" i="1" s="1"/>
  <c r="P28" i="1"/>
  <c r="B29" i="1"/>
  <c r="H29" i="1"/>
  <c r="I29" i="1"/>
  <c r="K29" i="1"/>
  <c r="L29" i="1" s="1"/>
  <c r="O29" i="1"/>
  <c r="P29" i="1"/>
  <c r="B30" i="1"/>
  <c r="H30" i="1"/>
  <c r="O30" i="1" s="1"/>
  <c r="I30" i="1"/>
  <c r="K30" i="1"/>
  <c r="L30" i="1" s="1"/>
  <c r="P30" i="1"/>
  <c r="B31" i="1"/>
  <c r="H31" i="1"/>
  <c r="O31" i="1" s="1"/>
  <c r="I31" i="1"/>
  <c r="K31" i="1"/>
  <c r="L31" i="1"/>
  <c r="P31" i="1"/>
  <c r="B32" i="1"/>
  <c r="H32" i="1"/>
  <c r="O32" i="1" s="1"/>
  <c r="I32" i="1"/>
  <c r="K32" i="1"/>
  <c r="L32" i="1"/>
  <c r="P32" i="1"/>
  <c r="B33" i="1"/>
  <c r="H33" i="1"/>
  <c r="I33" i="1"/>
  <c r="K33" i="1"/>
  <c r="L33" i="1"/>
  <c r="O33" i="1"/>
  <c r="P33" i="1"/>
  <c r="B34" i="1"/>
  <c r="H34" i="1"/>
  <c r="I34" i="1"/>
  <c r="K34" i="1"/>
  <c r="L34" i="1" s="1"/>
  <c r="O34" i="1"/>
  <c r="P34" i="1"/>
  <c r="B35" i="1"/>
  <c r="H35" i="1"/>
  <c r="I35" i="1"/>
  <c r="K35" i="1"/>
  <c r="L35" i="1" s="1"/>
  <c r="O35" i="1"/>
  <c r="P35" i="1"/>
  <c r="B36" i="1"/>
  <c r="H36" i="1"/>
  <c r="I36" i="1"/>
  <c r="K36" i="1"/>
  <c r="L36" i="1"/>
  <c r="O36" i="1"/>
  <c r="P36" i="1"/>
  <c r="B37" i="1"/>
  <c r="H37" i="1"/>
  <c r="I37" i="1"/>
  <c r="K37" i="1"/>
  <c r="L37" i="1" s="1"/>
  <c r="O37" i="1"/>
  <c r="P37" i="1"/>
  <c r="B38" i="1"/>
  <c r="H38" i="1"/>
  <c r="O38" i="1" s="1"/>
  <c r="I38" i="1"/>
  <c r="K38" i="1"/>
  <c r="L38" i="1" s="1"/>
  <c r="P38" i="1"/>
  <c r="B39" i="1"/>
  <c r="H39" i="1"/>
  <c r="I39" i="1"/>
  <c r="K39" i="1"/>
  <c r="L39" i="1"/>
  <c r="O39" i="1"/>
  <c r="P39" i="1"/>
  <c r="B40" i="1"/>
  <c r="H40" i="1"/>
  <c r="O40" i="1" s="1"/>
  <c r="I40" i="1"/>
  <c r="K40" i="1"/>
  <c r="L40" i="1"/>
  <c r="P40" i="1"/>
  <c r="B41" i="1"/>
  <c r="H41" i="1"/>
  <c r="I41" i="1"/>
  <c r="K41" i="1"/>
  <c r="L41" i="1"/>
  <c r="O41" i="1"/>
  <c r="P41" i="1"/>
  <c r="B42" i="1"/>
  <c r="H42" i="1"/>
  <c r="I42" i="1"/>
  <c r="K42" i="1"/>
  <c r="L42" i="1" s="1"/>
  <c r="O42" i="1"/>
  <c r="P42" i="1"/>
  <c r="B43" i="1"/>
  <c r="H43" i="1"/>
  <c r="K43" i="1"/>
  <c r="L43" i="1" s="1"/>
  <c r="O43" i="1"/>
  <c r="P43" i="1"/>
  <c r="B44" i="1"/>
  <c r="H44" i="1"/>
  <c r="K44" i="1"/>
  <c r="L44" i="1"/>
  <c r="O44" i="1"/>
  <c r="P44" i="1"/>
  <c r="B45" i="1"/>
  <c r="H45" i="1"/>
  <c r="K45" i="1"/>
  <c r="L45" i="1" s="1"/>
  <c r="O45" i="1"/>
  <c r="P45" i="1"/>
  <c r="B46" i="1"/>
  <c r="H46" i="1"/>
  <c r="K46" i="1"/>
  <c r="L46" i="1" s="1"/>
  <c r="P46" i="1"/>
  <c r="B47" i="1"/>
  <c r="H47" i="1"/>
  <c r="O47" i="1" s="1"/>
  <c r="K47" i="1"/>
  <c r="L47" i="1" s="1"/>
  <c r="P47" i="1"/>
  <c r="B48" i="1"/>
  <c r="H48" i="1"/>
  <c r="O48" i="1" s="1"/>
  <c r="K48" i="1"/>
  <c r="L48" i="1" s="1"/>
  <c r="P48" i="1"/>
  <c r="B49" i="1"/>
  <c r="H49" i="1"/>
  <c r="K49" i="1"/>
  <c r="L49" i="1"/>
  <c r="O49" i="1"/>
  <c r="P49" i="1"/>
  <c r="B50" i="1"/>
  <c r="H50" i="1"/>
  <c r="K50" i="1"/>
  <c r="L50" i="1"/>
  <c r="O50" i="1"/>
  <c r="P50" i="1"/>
  <c r="B51" i="1"/>
  <c r="H51" i="1"/>
  <c r="O51" i="1" s="1"/>
  <c r="K51" i="1"/>
  <c r="L51" i="1"/>
  <c r="P51" i="1"/>
  <c r="B52" i="1"/>
  <c r="H52" i="1"/>
  <c r="K52" i="1"/>
  <c r="L52" i="1" s="1"/>
  <c r="O52" i="1"/>
  <c r="P52" i="1"/>
  <c r="B53" i="1"/>
  <c r="H53" i="1"/>
  <c r="O53" i="1" s="1"/>
  <c r="K53" i="1"/>
  <c r="L53" i="1" s="1"/>
  <c r="P53" i="1"/>
  <c r="B54" i="1"/>
  <c r="H54" i="1"/>
  <c r="O54" i="1" s="1"/>
  <c r="K54" i="1"/>
  <c r="L54" i="1" s="1"/>
  <c r="P54" i="1"/>
  <c r="B55" i="1"/>
  <c r="H55" i="1"/>
  <c r="K55" i="1"/>
  <c r="L55" i="1"/>
  <c r="O55" i="1"/>
  <c r="P55" i="1"/>
  <c r="B56" i="1"/>
  <c r="H56" i="1"/>
  <c r="K56" i="1"/>
  <c r="L56" i="1" s="1"/>
  <c r="N56" i="1"/>
  <c r="O56" i="1"/>
  <c r="B57" i="1"/>
  <c r="H57" i="1"/>
  <c r="J57" i="1"/>
  <c r="K57" i="1"/>
  <c r="L57" i="1" s="1"/>
  <c r="N57" i="1"/>
  <c r="O57" i="1"/>
  <c r="B58" i="1"/>
  <c r="H58" i="1"/>
  <c r="O58" i="1" s="1"/>
  <c r="I58" i="1"/>
  <c r="J58" i="1"/>
  <c r="N58" i="1" s="1"/>
  <c r="K58" i="1"/>
  <c r="L58" i="1" s="1"/>
  <c r="P58" i="1"/>
  <c r="B59" i="1"/>
  <c r="H59" i="1"/>
  <c r="O59" i="1" s="1"/>
  <c r="J59" i="1"/>
  <c r="K59" i="1"/>
  <c r="L59" i="1" s="1"/>
  <c r="N59" i="1" s="1"/>
  <c r="B60" i="1"/>
  <c r="H60" i="1"/>
  <c r="J60" i="1"/>
  <c r="K60" i="1"/>
  <c r="L60" i="1"/>
  <c r="N60" i="1"/>
  <c r="O60" i="1"/>
  <c r="B61" i="1"/>
  <c r="H61" i="1"/>
  <c r="J61" i="1"/>
  <c r="K61" i="1"/>
  <c r="L61" i="1"/>
  <c r="O61" i="1"/>
  <c r="B62" i="1"/>
  <c r="H62" i="1"/>
  <c r="O62" i="1" s="1"/>
  <c r="J62" i="1"/>
  <c r="N62" i="1" s="1"/>
  <c r="K62" i="1"/>
  <c r="L62" i="1"/>
  <c r="B63" i="1"/>
  <c r="H63" i="1"/>
  <c r="O63" i="1" s="1"/>
  <c r="I63" i="1"/>
  <c r="J63" i="1"/>
  <c r="K63" i="1"/>
  <c r="L63" i="1"/>
  <c r="N63" i="1" s="1"/>
  <c r="P63" i="1"/>
  <c r="B64" i="1"/>
  <c r="H64" i="1"/>
  <c r="I64" i="1"/>
  <c r="J64" i="1"/>
  <c r="K64" i="1"/>
  <c r="L64" i="1"/>
  <c r="N64" i="1" s="1"/>
  <c r="O64" i="1"/>
  <c r="Q64" i="1"/>
  <c r="B65" i="1"/>
  <c r="H65" i="1"/>
  <c r="I65" i="1"/>
  <c r="J65" i="1"/>
  <c r="K65" i="1"/>
  <c r="L65" i="1" s="1"/>
  <c r="O65" i="1"/>
  <c r="B66" i="1"/>
  <c r="H66" i="1"/>
  <c r="J66" i="1"/>
  <c r="K66" i="1"/>
  <c r="L66" i="1"/>
  <c r="O66" i="1"/>
  <c r="B67" i="1"/>
  <c r="H67" i="1"/>
  <c r="O67" i="1" s="1"/>
  <c r="J67" i="1"/>
  <c r="K67" i="1"/>
  <c r="L67" i="1"/>
  <c r="B68" i="1"/>
  <c r="H68" i="1"/>
  <c r="O68" i="1" s="1"/>
  <c r="I68" i="1"/>
  <c r="J68" i="1"/>
  <c r="K68" i="1"/>
  <c r="L68" i="1"/>
  <c r="N68" i="1"/>
  <c r="P68" i="1"/>
  <c r="B69" i="1"/>
  <c r="H69" i="1"/>
  <c r="I69" i="1"/>
  <c r="J69" i="1"/>
  <c r="N69" i="1" s="1"/>
  <c r="Q69" i="1" s="1"/>
  <c r="K69" i="1"/>
  <c r="L69" i="1" s="1"/>
  <c r="O69" i="1"/>
  <c r="P69" i="1"/>
  <c r="B70" i="1"/>
  <c r="H70" i="1"/>
  <c r="O70" i="1" s="1"/>
  <c r="K70" i="1"/>
  <c r="L70" i="1" s="1"/>
  <c r="P70" i="1"/>
  <c r="B71" i="1"/>
  <c r="H71" i="1"/>
  <c r="J71" i="1"/>
  <c r="K71" i="1"/>
  <c r="L71" i="1" s="1"/>
  <c r="N71" i="1" s="1"/>
  <c r="O71" i="1"/>
  <c r="P71" i="1"/>
  <c r="B72" i="1"/>
  <c r="H72" i="1"/>
  <c r="O72" i="1" s="1"/>
  <c r="K72" i="1"/>
  <c r="L72" i="1" s="1"/>
  <c r="P72" i="1"/>
  <c r="B73" i="1"/>
  <c r="H73" i="1"/>
  <c r="O73" i="1" s="1"/>
  <c r="K73" i="1"/>
  <c r="P73" i="1"/>
  <c r="B74" i="1"/>
  <c r="H74" i="1"/>
  <c r="J74" i="1"/>
  <c r="K74" i="1"/>
  <c r="L74" i="1"/>
  <c r="N74" i="1" s="1"/>
  <c r="O74" i="1"/>
  <c r="P74" i="1"/>
  <c r="B75" i="1"/>
  <c r="H75" i="1"/>
  <c r="J75" i="1"/>
  <c r="K75" i="1"/>
  <c r="L75" i="1"/>
  <c r="N75" i="1" s="1"/>
  <c r="O75" i="1"/>
  <c r="B76" i="1"/>
  <c r="H76" i="1"/>
  <c r="I76" i="1"/>
  <c r="K76" i="1"/>
  <c r="L76" i="1" s="1"/>
  <c r="O76" i="1"/>
  <c r="B77" i="1"/>
  <c r="H77" i="1"/>
  <c r="O77" i="1" s="1"/>
  <c r="I77" i="1"/>
  <c r="K77" i="1"/>
  <c r="L77" i="1" s="1"/>
  <c r="P77" i="1"/>
  <c r="B78" i="1"/>
  <c r="H78" i="1"/>
  <c r="O78" i="1" s="1"/>
  <c r="I78" i="1"/>
  <c r="J78" i="1"/>
  <c r="K78" i="1"/>
  <c r="L78" i="1" s="1"/>
  <c r="N78" i="1"/>
  <c r="Q78" i="1" s="1"/>
  <c r="P78" i="1"/>
  <c r="B79" i="1"/>
  <c r="H79" i="1"/>
  <c r="J79" i="1"/>
  <c r="K79" i="1"/>
  <c r="L79" i="1"/>
  <c r="N79" i="1" s="1"/>
  <c r="O79" i="1"/>
  <c r="P79" i="1"/>
  <c r="B80" i="1"/>
  <c r="H80" i="1"/>
  <c r="J80" i="1"/>
  <c r="N80" i="1" s="1"/>
  <c r="K80" i="1"/>
  <c r="L80" i="1"/>
  <c r="O80" i="1"/>
  <c r="P80" i="1"/>
  <c r="B81" i="1"/>
  <c r="H81" i="1"/>
  <c r="O81" i="1" s="1"/>
  <c r="J81" i="1"/>
  <c r="N81" i="1" s="1"/>
  <c r="K81" i="1"/>
  <c r="L81" i="1"/>
  <c r="B82" i="1"/>
  <c r="H82" i="1"/>
  <c r="O82" i="1" s="1"/>
  <c r="I82" i="1"/>
  <c r="J82" i="1"/>
  <c r="K82" i="1"/>
  <c r="L82" i="1"/>
  <c r="N82" i="1"/>
  <c r="P82" i="1"/>
  <c r="B83" i="1"/>
  <c r="H83" i="1"/>
  <c r="O83" i="1" s="1"/>
  <c r="I83" i="1"/>
  <c r="J83" i="1"/>
  <c r="K83" i="1"/>
  <c r="L83" i="1" s="1"/>
  <c r="B84" i="1"/>
  <c r="H84" i="1"/>
  <c r="I84" i="1"/>
  <c r="P84" i="1" s="1"/>
  <c r="J84" i="1"/>
  <c r="N84" i="1" s="1"/>
  <c r="K84" i="1"/>
  <c r="L84" i="1" s="1"/>
  <c r="O84" i="1"/>
  <c r="R84" i="1"/>
  <c r="B85" i="1"/>
  <c r="H85" i="1"/>
  <c r="I85" i="1"/>
  <c r="J85" i="1"/>
  <c r="K85" i="1"/>
  <c r="L85" i="1" s="1"/>
  <c r="N85" i="1"/>
  <c r="O85" i="1"/>
  <c r="P85" i="1"/>
  <c r="B86" i="1"/>
  <c r="H86" i="1"/>
  <c r="O86" i="1" s="1"/>
  <c r="I86" i="1"/>
  <c r="R86" i="1" s="1"/>
  <c r="J86" i="1"/>
  <c r="K86" i="1"/>
  <c r="L86" i="1"/>
  <c r="N86" i="1" s="1"/>
  <c r="P86" i="1"/>
  <c r="B87" i="1"/>
  <c r="H87" i="1"/>
  <c r="O87" i="1" s="1"/>
  <c r="K87" i="1"/>
  <c r="L87" i="1"/>
  <c r="P87" i="1"/>
  <c r="B88" i="1"/>
  <c r="H88" i="1"/>
  <c r="K88" i="1"/>
  <c r="L88" i="1"/>
  <c r="O88" i="1"/>
  <c r="P88" i="1"/>
  <c r="B89" i="1"/>
  <c r="H89" i="1"/>
  <c r="K89" i="1"/>
  <c r="L89" i="1"/>
  <c r="O89" i="1"/>
  <c r="P89" i="1"/>
  <c r="B90" i="1"/>
  <c r="H90" i="1"/>
  <c r="O90" i="1" s="1"/>
  <c r="K90" i="1"/>
  <c r="L90" i="1"/>
  <c r="P90" i="1"/>
  <c r="B91" i="1"/>
  <c r="H91" i="1"/>
  <c r="O91" i="1" s="1"/>
  <c r="K91" i="1"/>
  <c r="L91" i="1"/>
  <c r="P91" i="1"/>
  <c r="B92" i="1"/>
  <c r="H92" i="1"/>
  <c r="J92" i="1"/>
  <c r="K92" i="1"/>
  <c r="L92" i="1" s="1"/>
  <c r="N92" i="1" s="1"/>
  <c r="O92" i="1"/>
  <c r="P92" i="1"/>
  <c r="B93" i="1"/>
  <c r="H93" i="1"/>
  <c r="J93" i="1"/>
  <c r="K93" i="1"/>
  <c r="L93" i="1"/>
  <c r="N93" i="1"/>
  <c r="O93" i="1"/>
  <c r="P93" i="1"/>
  <c r="B94" i="1"/>
  <c r="H94" i="1"/>
  <c r="O94" i="1" s="1"/>
  <c r="J94" i="1"/>
  <c r="N94" i="1" s="1"/>
  <c r="K94" i="1"/>
  <c r="L94" i="1" s="1"/>
  <c r="B95" i="1"/>
  <c r="H95" i="1"/>
  <c r="O95" i="1" s="1"/>
  <c r="I95" i="1"/>
  <c r="J95" i="1"/>
  <c r="N95" i="1" s="1"/>
  <c r="K95" i="1"/>
  <c r="L95" i="1"/>
  <c r="P95" i="1"/>
  <c r="B96" i="1"/>
  <c r="H96" i="1"/>
  <c r="O96" i="1" s="1"/>
  <c r="I96" i="1"/>
  <c r="J96" i="1"/>
  <c r="K96" i="1"/>
  <c r="L96" i="1"/>
  <c r="N96" i="1"/>
  <c r="P96" i="1"/>
  <c r="B97" i="1"/>
  <c r="H97" i="1"/>
  <c r="O97" i="1" s="1"/>
  <c r="K97" i="1"/>
  <c r="L97" i="1" s="1"/>
  <c r="B98" i="1"/>
  <c r="H98" i="1"/>
  <c r="O98" i="1" s="1"/>
  <c r="I98" i="1"/>
  <c r="K98" i="1"/>
  <c r="P98" i="1"/>
  <c r="B99" i="1"/>
  <c r="H99" i="1"/>
  <c r="I99" i="1"/>
  <c r="K99" i="1"/>
  <c r="O99" i="1"/>
  <c r="P99" i="1"/>
  <c r="B100" i="1"/>
  <c r="H100" i="1"/>
  <c r="I100" i="1"/>
  <c r="K100" i="1"/>
  <c r="L100" i="1"/>
  <c r="O100" i="1"/>
  <c r="P100" i="1"/>
  <c r="B101" i="1"/>
  <c r="H101" i="1"/>
  <c r="O101" i="1" s="1"/>
  <c r="K101" i="1"/>
  <c r="L101" i="1" s="1"/>
  <c r="P101" i="1"/>
  <c r="B102" i="1"/>
  <c r="H102" i="1"/>
  <c r="O102" i="1" s="1"/>
  <c r="J102" i="1"/>
  <c r="N102" i="1" s="1"/>
  <c r="K102" i="1"/>
  <c r="L102" i="1"/>
  <c r="B103" i="1"/>
  <c r="H103" i="1"/>
  <c r="O103" i="1" s="1"/>
  <c r="I103" i="1"/>
  <c r="R103" i="1" s="1"/>
  <c r="J103" i="1"/>
  <c r="K103" i="1"/>
  <c r="L103" i="1" s="1"/>
  <c r="N103" i="1"/>
  <c r="P103" i="1"/>
  <c r="B104" i="1"/>
  <c r="H104" i="1"/>
  <c r="O104" i="1" s="1"/>
  <c r="J104" i="1"/>
  <c r="N104" i="1" s="1"/>
  <c r="K104" i="1"/>
  <c r="L104" i="1"/>
  <c r="B105" i="1"/>
  <c r="H105" i="1"/>
  <c r="J105" i="1"/>
  <c r="K105" i="1"/>
  <c r="L105" i="1"/>
  <c r="N105" i="1"/>
  <c r="O105" i="1"/>
  <c r="P105" i="1"/>
  <c r="B106" i="1"/>
  <c r="H106" i="1"/>
  <c r="O106" i="1" s="1"/>
  <c r="J106" i="1"/>
  <c r="N106" i="1" s="1"/>
  <c r="K106" i="1"/>
  <c r="L106" i="1"/>
  <c r="P106" i="1"/>
  <c r="B107" i="1"/>
  <c r="H107" i="1"/>
  <c r="O107" i="1" s="1"/>
  <c r="J107" i="1"/>
  <c r="K107" i="1"/>
  <c r="L107" i="1" s="1"/>
  <c r="N107" i="1"/>
  <c r="P107" i="1"/>
  <c r="B108" i="1"/>
  <c r="H108" i="1"/>
  <c r="O108" i="1" s="1"/>
  <c r="I108" i="1"/>
  <c r="J108" i="1"/>
  <c r="N108" i="1" s="1"/>
  <c r="K108" i="1"/>
  <c r="P108" i="1"/>
  <c r="B109" i="1"/>
  <c r="H109" i="1"/>
  <c r="I109" i="1"/>
  <c r="J109" i="1"/>
  <c r="K109" i="1"/>
  <c r="L109" i="1" s="1"/>
  <c r="O109" i="1"/>
  <c r="B110" i="1"/>
  <c r="H110" i="1"/>
  <c r="I110" i="1"/>
  <c r="J110" i="1"/>
  <c r="K110" i="1"/>
  <c r="L110" i="1" s="1"/>
  <c r="N110" i="1"/>
  <c r="Q110" i="1" s="1"/>
  <c r="O110" i="1"/>
  <c r="P110" i="1"/>
  <c r="R110" i="1"/>
  <c r="B111" i="1"/>
  <c r="H111" i="1"/>
  <c r="O111" i="1" s="1"/>
  <c r="J111" i="1"/>
  <c r="K111" i="1"/>
  <c r="L111" i="1"/>
  <c r="N111" i="1"/>
  <c r="P111" i="1"/>
  <c r="B112" i="1"/>
  <c r="H112" i="1"/>
  <c r="O112" i="1" s="1"/>
  <c r="I112" i="1"/>
  <c r="J112" i="1"/>
  <c r="N112" i="1" s="1"/>
  <c r="K112" i="1"/>
  <c r="L112" i="1" s="1"/>
  <c r="B113" i="1"/>
  <c r="H113" i="1"/>
  <c r="O113" i="1" s="1"/>
  <c r="K113" i="1"/>
  <c r="L113" i="1"/>
  <c r="P113" i="1"/>
  <c r="B114" i="1"/>
  <c r="H114" i="1"/>
  <c r="O114" i="1" s="1"/>
  <c r="K114" i="1"/>
  <c r="L114" i="1" s="1"/>
  <c r="P114" i="1"/>
  <c r="B115" i="1"/>
  <c r="H115" i="1"/>
  <c r="I115" i="1"/>
  <c r="P115" i="1" s="1"/>
  <c r="J115" i="1"/>
  <c r="K115" i="1"/>
  <c r="L115" i="1"/>
  <c r="N115" i="1"/>
  <c r="O115" i="1"/>
  <c r="Q115" i="1"/>
  <c r="B116" i="1"/>
  <c r="H116" i="1"/>
  <c r="O116" i="1" s="1"/>
  <c r="J116" i="1"/>
  <c r="N116" i="1" s="1"/>
  <c r="K116" i="1"/>
  <c r="L116" i="1" s="1"/>
  <c r="P116" i="1"/>
  <c r="B117" i="1"/>
  <c r="H117" i="1"/>
  <c r="J117" i="1"/>
  <c r="N117" i="1" s="1"/>
  <c r="K117" i="1"/>
  <c r="L117" i="1"/>
  <c r="O117" i="1"/>
  <c r="P117" i="1"/>
  <c r="B118" i="1"/>
  <c r="H118" i="1"/>
  <c r="J118" i="1"/>
  <c r="K118" i="1"/>
  <c r="L118" i="1" s="1"/>
  <c r="N118" i="1"/>
  <c r="O118" i="1"/>
  <c r="P118" i="1"/>
  <c r="B119" i="1"/>
  <c r="H119" i="1"/>
  <c r="K119" i="1"/>
  <c r="L119" i="1" s="1"/>
  <c r="O119" i="1"/>
  <c r="P119" i="1"/>
  <c r="B120" i="1"/>
  <c r="H120" i="1"/>
  <c r="O120" i="1" s="1"/>
  <c r="K120" i="1"/>
  <c r="L120" i="1" s="1"/>
  <c r="P120" i="1"/>
  <c r="B121" i="1"/>
  <c r="H121" i="1"/>
  <c r="O121" i="1" s="1"/>
  <c r="J121" i="1"/>
  <c r="K121" i="1"/>
  <c r="L121" i="1" s="1"/>
  <c r="N121" i="1"/>
  <c r="P121" i="1"/>
  <c r="B122" i="1"/>
  <c r="H122" i="1"/>
  <c r="O122" i="1" s="1"/>
  <c r="J122" i="1"/>
  <c r="K122" i="1"/>
  <c r="L122" i="1" s="1"/>
  <c r="N122" i="1"/>
  <c r="P122" i="1"/>
  <c r="B123" i="1"/>
  <c r="H123" i="1"/>
  <c r="O123" i="1" s="1"/>
  <c r="J123" i="1"/>
  <c r="K123" i="1"/>
  <c r="L123" i="1"/>
  <c r="N123" i="1" s="1"/>
  <c r="B124" i="1"/>
  <c r="H124" i="1"/>
  <c r="O124" i="1" s="1"/>
  <c r="J124" i="1"/>
  <c r="K124" i="1"/>
  <c r="L124" i="1" s="1"/>
  <c r="N124" i="1"/>
  <c r="P124" i="1"/>
  <c r="B125" i="1"/>
  <c r="H125" i="1"/>
  <c r="J125" i="1"/>
  <c r="N125" i="1" s="1"/>
  <c r="K125" i="1"/>
  <c r="O125" i="1"/>
  <c r="P125" i="1"/>
  <c r="B126" i="1"/>
  <c r="H126" i="1"/>
  <c r="J126" i="1"/>
  <c r="K126" i="1"/>
  <c r="L126" i="1"/>
  <c r="O126" i="1"/>
  <c r="P126" i="1"/>
  <c r="B127" i="1"/>
  <c r="H127" i="1"/>
  <c r="O127" i="1" s="1"/>
  <c r="J127" i="1"/>
  <c r="N127" i="1" s="1"/>
  <c r="K127" i="1"/>
  <c r="L127" i="1"/>
  <c r="P127" i="1"/>
  <c r="B128" i="1"/>
  <c r="H128" i="1"/>
  <c r="O128" i="1" s="1"/>
  <c r="J128" i="1"/>
  <c r="K128" i="1"/>
  <c r="L128" i="1"/>
  <c r="B129" i="1"/>
  <c r="H129" i="1"/>
  <c r="I129" i="1"/>
  <c r="J129" i="1"/>
  <c r="K129" i="1"/>
  <c r="L129" i="1" s="1"/>
  <c r="N129" i="1"/>
  <c r="O129" i="1"/>
  <c r="P129" i="1"/>
  <c r="B130" i="1"/>
  <c r="H130" i="1"/>
  <c r="I130" i="1"/>
  <c r="J130" i="1"/>
  <c r="K130" i="1"/>
  <c r="L130" i="1" s="1"/>
  <c r="O130" i="1"/>
  <c r="P130" i="1"/>
  <c r="B131" i="1"/>
  <c r="H131" i="1"/>
  <c r="J131" i="1"/>
  <c r="K131" i="1"/>
  <c r="L131" i="1" s="1"/>
  <c r="N131" i="1"/>
  <c r="O131" i="1"/>
  <c r="B132" i="1"/>
  <c r="H132" i="1"/>
  <c r="J132" i="1"/>
  <c r="K132" i="1"/>
  <c r="L132" i="1"/>
  <c r="O132" i="1"/>
  <c r="P132" i="1"/>
  <c r="B133" i="1"/>
  <c r="H133" i="1"/>
  <c r="J133" i="1"/>
  <c r="K133" i="1"/>
  <c r="L133" i="1" s="1"/>
  <c r="N133" i="1" s="1"/>
  <c r="O133" i="1"/>
  <c r="P133" i="1"/>
  <c r="B134" i="1"/>
  <c r="H134" i="1"/>
  <c r="J134" i="1"/>
  <c r="K134" i="1"/>
  <c r="L134" i="1"/>
  <c r="N134" i="1"/>
  <c r="O134" i="1"/>
  <c r="P134" i="1"/>
  <c r="B135" i="1"/>
  <c r="H135" i="1"/>
  <c r="O135" i="1" s="1"/>
  <c r="J135" i="1"/>
  <c r="K135" i="1"/>
  <c r="L135" i="1"/>
  <c r="B136" i="1"/>
  <c r="H136" i="1"/>
  <c r="I136" i="1"/>
  <c r="P136" i="1" s="1"/>
  <c r="J136" i="1"/>
  <c r="K136" i="1"/>
  <c r="L136" i="1"/>
  <c r="O136" i="1"/>
  <c r="B137" i="1"/>
  <c r="H137" i="1"/>
  <c r="I137" i="1"/>
  <c r="J137" i="1"/>
  <c r="K137" i="1"/>
  <c r="N137" i="1"/>
  <c r="O137" i="1"/>
  <c r="P137" i="1"/>
  <c r="B138" i="1"/>
  <c r="H138" i="1"/>
  <c r="O138" i="1" s="1"/>
  <c r="I138" i="1"/>
  <c r="J138" i="1"/>
  <c r="N138" i="1" s="1"/>
  <c r="Q138" i="1" s="1"/>
  <c r="K138" i="1"/>
  <c r="L138" i="1"/>
  <c r="P138" i="1"/>
  <c r="R138" i="1"/>
  <c r="B139" i="1"/>
  <c r="H139" i="1"/>
  <c r="J139" i="1"/>
  <c r="N139" i="1" s="1"/>
  <c r="K139" i="1"/>
  <c r="L139" i="1"/>
  <c r="O139" i="1"/>
  <c r="B140" i="1"/>
  <c r="H140" i="1"/>
  <c r="I140" i="1"/>
  <c r="P140" i="1" s="1"/>
  <c r="J140" i="1"/>
  <c r="K140" i="1"/>
  <c r="L140" i="1" s="1"/>
  <c r="N140" i="1"/>
  <c r="O140" i="1"/>
  <c r="R140" i="1"/>
  <c r="B141" i="1"/>
  <c r="H141" i="1"/>
  <c r="J141" i="1"/>
  <c r="K141" i="1"/>
  <c r="L141" i="1" s="1"/>
  <c r="O141" i="1"/>
  <c r="P141" i="1"/>
  <c r="B142" i="1"/>
  <c r="H142" i="1"/>
  <c r="J142" i="1"/>
  <c r="K142" i="1"/>
  <c r="L142" i="1"/>
  <c r="N142" i="1" s="1"/>
  <c r="O142" i="1"/>
  <c r="B143" i="1"/>
  <c r="H143" i="1"/>
  <c r="J143" i="1"/>
  <c r="K143" i="1"/>
  <c r="L143" i="1"/>
  <c r="O143" i="1"/>
  <c r="B144" i="1"/>
  <c r="H144" i="1"/>
  <c r="O144" i="1" s="1"/>
  <c r="J144" i="1"/>
  <c r="N144" i="1" s="1"/>
  <c r="K144" i="1"/>
  <c r="L144" i="1" s="1"/>
  <c r="B145" i="1"/>
  <c r="H145" i="1"/>
  <c r="J145" i="1"/>
  <c r="K145" i="1"/>
  <c r="L145" i="1" s="1"/>
  <c r="N145" i="1" s="1"/>
  <c r="O145" i="1"/>
  <c r="B146" i="1"/>
  <c r="H146" i="1"/>
  <c r="O146" i="1" s="1"/>
  <c r="I146" i="1"/>
  <c r="J146" i="1"/>
  <c r="K146" i="1"/>
  <c r="L146" i="1" s="1"/>
  <c r="N146" i="1" s="1"/>
  <c r="Q146" i="1" s="1"/>
  <c r="B147" i="1"/>
  <c r="H147" i="1"/>
  <c r="O147" i="1" s="1"/>
  <c r="I147" i="1"/>
  <c r="J147" i="1"/>
  <c r="K147" i="1"/>
  <c r="L147" i="1"/>
  <c r="N147" i="1"/>
  <c r="P147" i="1"/>
  <c r="B148" i="1"/>
  <c r="H148" i="1"/>
  <c r="J148" i="1"/>
  <c r="N148" i="1" s="1"/>
  <c r="K148" i="1"/>
  <c r="L148" i="1"/>
  <c r="O148" i="1"/>
  <c r="P148" i="1"/>
  <c r="B149" i="1"/>
  <c r="H149" i="1"/>
  <c r="J149" i="1"/>
  <c r="N149" i="1" s="1"/>
  <c r="K149" i="1"/>
  <c r="L149" i="1"/>
  <c r="O149" i="1"/>
  <c r="P149" i="1"/>
  <c r="B150" i="1"/>
  <c r="H150" i="1"/>
  <c r="J150" i="1"/>
  <c r="K150" i="1"/>
  <c r="L150" i="1" s="1"/>
  <c r="N150" i="1" s="1"/>
  <c r="O150" i="1"/>
  <c r="P150" i="1"/>
  <c r="B151" i="1"/>
  <c r="H151" i="1"/>
  <c r="O151" i="1" s="1"/>
  <c r="J151" i="1"/>
  <c r="K151" i="1"/>
  <c r="L151" i="1" s="1"/>
  <c r="N151" i="1"/>
  <c r="P151" i="1"/>
  <c r="B152" i="1"/>
  <c r="H152" i="1"/>
  <c r="O152" i="1" s="1"/>
  <c r="J152" i="1"/>
  <c r="K152" i="1"/>
  <c r="L152" i="1" s="1"/>
  <c r="N152" i="1"/>
  <c r="P152" i="1"/>
  <c r="R152" i="1"/>
  <c r="B153" i="1"/>
  <c r="H153" i="1"/>
  <c r="O153" i="1" s="1"/>
  <c r="J153" i="1"/>
  <c r="K153" i="1"/>
  <c r="L153" i="1"/>
  <c r="N153" i="1" s="1"/>
  <c r="B154" i="1"/>
  <c r="H154" i="1"/>
  <c r="O154" i="1" s="1"/>
  <c r="I154" i="1"/>
  <c r="J154" i="1"/>
  <c r="N154" i="1" s="1"/>
  <c r="Q154" i="1" s="1"/>
  <c r="K154" i="1"/>
  <c r="L154" i="1" s="1"/>
  <c r="P154" i="1"/>
  <c r="B155" i="1"/>
  <c r="H155" i="1"/>
  <c r="I155" i="1"/>
  <c r="J155" i="1"/>
  <c r="K155" i="1"/>
  <c r="L155" i="1" s="1"/>
  <c r="N155" i="1"/>
  <c r="O155" i="1"/>
  <c r="P155" i="1"/>
  <c r="B156" i="1"/>
  <c r="H156" i="1"/>
  <c r="I156" i="1"/>
  <c r="J156" i="1"/>
  <c r="K156" i="1"/>
  <c r="L156" i="1" s="1"/>
  <c r="O156" i="1"/>
  <c r="P156" i="1"/>
  <c r="B157" i="1"/>
  <c r="H157" i="1"/>
  <c r="J157" i="1"/>
  <c r="K157" i="1"/>
  <c r="L157" i="1"/>
  <c r="O157" i="1"/>
  <c r="P157" i="1"/>
  <c r="B158" i="1"/>
  <c r="H158" i="1"/>
  <c r="O158" i="1" s="1"/>
  <c r="I158" i="1"/>
  <c r="J158" i="1"/>
  <c r="K158" i="1"/>
  <c r="L158" i="1"/>
  <c r="P158" i="1"/>
  <c r="B159" i="1"/>
  <c r="H159" i="1"/>
  <c r="I159" i="1"/>
  <c r="J159" i="1"/>
  <c r="N159" i="1" s="1"/>
  <c r="R159" i="1" s="1"/>
  <c r="K159" i="1"/>
  <c r="L159" i="1"/>
  <c r="O159" i="1"/>
  <c r="P159" i="1"/>
  <c r="Q159" i="1"/>
  <c r="B160" i="1"/>
  <c r="H160" i="1"/>
  <c r="I160" i="1"/>
  <c r="J160" i="1"/>
  <c r="K160" i="1"/>
  <c r="L160" i="1" s="1"/>
  <c r="N160" i="1"/>
  <c r="O160" i="1"/>
  <c r="P160" i="1"/>
  <c r="B161" i="1"/>
  <c r="H161" i="1"/>
  <c r="O161" i="1" s="1"/>
  <c r="I161" i="1"/>
  <c r="J161" i="1"/>
  <c r="K161" i="1"/>
  <c r="L161" i="1" s="1"/>
  <c r="P161" i="1"/>
  <c r="B162" i="1"/>
  <c r="H162" i="1"/>
  <c r="I162" i="1"/>
  <c r="J162" i="1"/>
  <c r="K162" i="1"/>
  <c r="L162" i="1" s="1"/>
  <c r="N162" i="1" s="1"/>
  <c r="O162" i="1"/>
  <c r="P162" i="1"/>
  <c r="B163" i="1"/>
  <c r="H163" i="1"/>
  <c r="O163" i="1" s="1"/>
  <c r="I163" i="1"/>
  <c r="J163" i="1"/>
  <c r="K163" i="1"/>
  <c r="L163" i="1"/>
  <c r="N163" i="1"/>
  <c r="P163" i="1"/>
  <c r="B164" i="1"/>
  <c r="H164" i="1"/>
  <c r="I164" i="1"/>
  <c r="K164" i="1"/>
  <c r="L164" i="1" s="1"/>
  <c r="O164" i="1"/>
  <c r="P164" i="1"/>
  <c r="B165" i="1"/>
  <c r="H165" i="1"/>
  <c r="O165" i="1" s="1"/>
  <c r="J165" i="1"/>
  <c r="N165" i="1" s="1"/>
  <c r="K165" i="1"/>
  <c r="L165" i="1"/>
  <c r="P165" i="1"/>
  <c r="B166" i="1"/>
  <c r="H166" i="1"/>
  <c r="J166" i="1"/>
  <c r="K166" i="1"/>
  <c r="L166" i="1" s="1"/>
  <c r="N166" i="1" s="1"/>
  <c r="O166" i="1"/>
  <c r="P166" i="1"/>
  <c r="B167" i="1"/>
  <c r="H167" i="1"/>
  <c r="O167" i="1" s="1"/>
  <c r="J167" i="1"/>
  <c r="K167" i="1"/>
  <c r="L167" i="1" s="1"/>
  <c r="N167" i="1" s="1"/>
  <c r="Q167" i="1" s="1"/>
  <c r="P167" i="1"/>
  <c r="B168" i="1"/>
  <c r="H168" i="1"/>
  <c r="O168" i="1" s="1"/>
  <c r="J168" i="1"/>
  <c r="K168" i="1"/>
  <c r="L168" i="1" s="1"/>
  <c r="N168" i="1"/>
  <c r="P168" i="1"/>
  <c r="B169" i="1"/>
  <c r="H169" i="1"/>
  <c r="J169" i="1"/>
  <c r="K169" i="1"/>
  <c r="N169" i="1"/>
  <c r="O169" i="1"/>
  <c r="P169" i="1"/>
  <c r="B170" i="1"/>
  <c r="H170" i="1"/>
  <c r="J170" i="1"/>
  <c r="N170" i="1" s="1"/>
  <c r="K170" i="1"/>
  <c r="L170" i="1" s="1"/>
  <c r="O170" i="1"/>
  <c r="P170" i="1"/>
  <c r="B171" i="1"/>
  <c r="H171" i="1"/>
  <c r="O171" i="1" s="1"/>
  <c r="K171" i="1"/>
  <c r="L171" i="1"/>
  <c r="B172" i="1"/>
  <c r="H172" i="1"/>
  <c r="J172" i="1"/>
  <c r="N172" i="1" s="1"/>
  <c r="K172" i="1"/>
  <c r="L172" i="1"/>
  <c r="O172" i="1"/>
  <c r="P172" i="1"/>
  <c r="B173" i="1"/>
  <c r="H173" i="1"/>
  <c r="J173" i="1"/>
  <c r="K173" i="1"/>
  <c r="L173" i="1" s="1"/>
  <c r="N173" i="1" s="1"/>
  <c r="O173" i="1"/>
  <c r="P173" i="1"/>
  <c r="B174" i="1"/>
  <c r="H174" i="1"/>
  <c r="K174" i="1"/>
  <c r="L174" i="1" s="1"/>
  <c r="O174" i="1"/>
  <c r="B175" i="1"/>
  <c r="H175" i="1"/>
  <c r="O175" i="1" s="1"/>
  <c r="K175" i="1"/>
  <c r="L175" i="1"/>
  <c r="B176" i="1"/>
  <c r="H176" i="1"/>
  <c r="K176" i="1"/>
  <c r="L176" i="1" s="1"/>
  <c r="O176" i="1"/>
  <c r="B177" i="1"/>
  <c r="H177" i="1"/>
  <c r="I177" i="1"/>
  <c r="K177" i="1"/>
  <c r="L177" i="1" s="1"/>
  <c r="O177" i="1"/>
  <c r="B178" i="1"/>
  <c r="H178" i="1"/>
  <c r="K178" i="1"/>
  <c r="L178" i="1" s="1"/>
  <c r="O178" i="1"/>
  <c r="B179" i="1"/>
  <c r="H179" i="1"/>
  <c r="O179" i="1" s="1"/>
  <c r="K179" i="1"/>
  <c r="L179" i="1"/>
  <c r="B180" i="1"/>
  <c r="H180" i="1"/>
  <c r="O180" i="1" s="1"/>
  <c r="K180" i="1"/>
  <c r="L180" i="1"/>
  <c r="B181" i="1"/>
  <c r="H181" i="1"/>
  <c r="K181" i="1"/>
  <c r="L181" i="1"/>
  <c r="O181" i="1"/>
  <c r="B182" i="1"/>
  <c r="H182" i="1"/>
  <c r="O182" i="1" s="1"/>
  <c r="I182" i="1"/>
  <c r="K182" i="1"/>
  <c r="L182" i="1" s="1"/>
  <c r="P182" i="1"/>
  <c r="B183" i="1"/>
  <c r="H183" i="1"/>
  <c r="O183" i="1" s="1"/>
  <c r="I183" i="1"/>
  <c r="K183" i="1"/>
  <c r="L183" i="1"/>
  <c r="P183" i="1"/>
  <c r="B184" i="1"/>
  <c r="H184" i="1"/>
  <c r="I184" i="1"/>
  <c r="K184" i="1"/>
  <c r="L184" i="1"/>
  <c r="O184" i="1"/>
  <c r="B185" i="1"/>
  <c r="H185" i="1"/>
  <c r="K185" i="1"/>
  <c r="L185" i="1" s="1"/>
  <c r="O185" i="1"/>
  <c r="B186" i="1"/>
  <c r="H186" i="1"/>
  <c r="O186" i="1" s="1"/>
  <c r="I186" i="1"/>
  <c r="K186" i="1"/>
  <c r="L186" i="1" s="1"/>
  <c r="P186" i="1"/>
  <c r="B187" i="1"/>
  <c r="H187" i="1"/>
  <c r="O187" i="1" s="1"/>
  <c r="K187" i="1"/>
  <c r="L187" i="1" s="1"/>
  <c r="B188" i="1"/>
  <c r="H188" i="1"/>
  <c r="I188" i="1"/>
  <c r="K188" i="1"/>
  <c r="L188" i="1"/>
  <c r="O188" i="1"/>
  <c r="B189" i="1"/>
  <c r="H189" i="1"/>
  <c r="I189" i="1"/>
  <c r="P189" i="1" s="1"/>
  <c r="K189" i="1"/>
  <c r="L189" i="1"/>
  <c r="O189" i="1"/>
  <c r="B190" i="1"/>
  <c r="H190" i="1"/>
  <c r="J190" i="1"/>
  <c r="K190" i="1"/>
  <c r="L190" i="1"/>
  <c r="O190" i="1"/>
  <c r="B191" i="1"/>
  <c r="H191" i="1"/>
  <c r="O191" i="1" s="1"/>
  <c r="J191" i="1"/>
  <c r="K191" i="1"/>
  <c r="L191" i="1"/>
  <c r="N191" i="1" s="1"/>
  <c r="B192" i="1"/>
  <c r="H192" i="1"/>
  <c r="O192" i="1" s="1"/>
  <c r="J192" i="1"/>
  <c r="K192" i="1"/>
  <c r="L192" i="1"/>
  <c r="N192" i="1"/>
  <c r="B193" i="1"/>
  <c r="H193" i="1"/>
  <c r="I193" i="1"/>
  <c r="J193" i="1"/>
  <c r="N193" i="1" s="1"/>
  <c r="K193" i="1"/>
  <c r="L193" i="1" s="1"/>
  <c r="O193" i="1"/>
  <c r="P193" i="1"/>
  <c r="B194" i="1"/>
  <c r="H194" i="1"/>
  <c r="J194" i="1"/>
  <c r="N194" i="1" s="1"/>
  <c r="K194" i="1"/>
  <c r="L194" i="1"/>
  <c r="O194" i="1"/>
  <c r="B195" i="1"/>
  <c r="H195" i="1"/>
  <c r="K195" i="1"/>
  <c r="O195" i="1"/>
  <c r="B196" i="1"/>
  <c r="H196" i="1"/>
  <c r="I196" i="1"/>
  <c r="J196" i="1"/>
  <c r="K196" i="1"/>
  <c r="L196" i="1" s="1"/>
  <c r="O196" i="1"/>
  <c r="P196" i="1"/>
  <c r="B197" i="1"/>
  <c r="H197" i="1"/>
  <c r="I197" i="1"/>
  <c r="J197" i="1"/>
  <c r="N197" i="1" s="1"/>
  <c r="K197" i="1"/>
  <c r="L197" i="1"/>
  <c r="O197" i="1"/>
  <c r="P197" i="1"/>
  <c r="B198" i="1"/>
  <c r="H198" i="1"/>
  <c r="I198" i="1"/>
  <c r="J198" i="1"/>
  <c r="K198" i="1"/>
  <c r="L198" i="1"/>
  <c r="O198" i="1"/>
  <c r="B199" i="1"/>
  <c r="H199" i="1"/>
  <c r="O199" i="1" s="1"/>
  <c r="I199" i="1"/>
  <c r="J199" i="1"/>
  <c r="K199" i="1"/>
  <c r="L199" i="1" s="1"/>
  <c r="N199" i="1" s="1"/>
  <c r="P199" i="1"/>
  <c r="B200" i="1"/>
  <c r="H200" i="1"/>
  <c r="O200" i="1" s="1"/>
  <c r="J200" i="1"/>
  <c r="N200" i="1" s="1"/>
  <c r="K200" i="1"/>
  <c r="L200" i="1"/>
  <c r="B201" i="1"/>
  <c r="H201" i="1"/>
  <c r="O201" i="1" s="1"/>
  <c r="J201" i="1"/>
  <c r="N201" i="1" s="1"/>
  <c r="K201" i="1"/>
  <c r="L201" i="1" s="1"/>
  <c r="B202" i="1"/>
  <c r="H202" i="1"/>
  <c r="O202" i="1" s="1"/>
  <c r="J202" i="1"/>
  <c r="K202" i="1"/>
  <c r="L202" i="1"/>
  <c r="N202" i="1"/>
  <c r="B203" i="1"/>
  <c r="H203" i="1"/>
  <c r="O203" i="1" s="1"/>
  <c r="J203" i="1"/>
  <c r="N203" i="1" s="1"/>
  <c r="K203" i="1"/>
  <c r="L203" i="1"/>
  <c r="P203" i="1"/>
  <c r="B204" i="1"/>
  <c r="H204" i="1"/>
  <c r="O204" i="1" s="1"/>
  <c r="J204" i="1"/>
  <c r="K204" i="1"/>
  <c r="L204" i="1"/>
  <c r="N204" i="1"/>
  <c r="B205" i="1"/>
  <c r="H205" i="1"/>
  <c r="I205" i="1"/>
  <c r="J205" i="1"/>
  <c r="K205" i="1"/>
  <c r="L205" i="1" s="1"/>
  <c r="N205" i="1" s="1"/>
  <c r="O205" i="1"/>
  <c r="P205" i="1"/>
  <c r="B206" i="1"/>
  <c r="H206" i="1"/>
  <c r="J206" i="1"/>
  <c r="K206" i="1"/>
  <c r="L206" i="1"/>
  <c r="O206" i="1"/>
  <c r="B207" i="1"/>
  <c r="H207" i="1"/>
  <c r="J207" i="1"/>
  <c r="K207" i="1"/>
  <c r="L207" i="1" s="1"/>
  <c r="N207" i="1" s="1"/>
  <c r="O207" i="1"/>
  <c r="P207" i="1"/>
  <c r="B208" i="1"/>
  <c r="H208" i="1"/>
  <c r="O208" i="1" s="1"/>
  <c r="J208" i="1"/>
  <c r="K208" i="1"/>
  <c r="L208" i="1" s="1"/>
  <c r="P208" i="1"/>
  <c r="B209" i="1"/>
  <c r="H209" i="1"/>
  <c r="O209" i="1" s="1"/>
  <c r="I209" i="1"/>
  <c r="J209" i="1"/>
  <c r="K209" i="1"/>
  <c r="L209" i="1"/>
  <c r="N209" i="1"/>
  <c r="P209" i="1"/>
  <c r="B210" i="1"/>
  <c r="H210" i="1"/>
  <c r="J210" i="1"/>
  <c r="K210" i="1"/>
  <c r="L210" i="1" s="1"/>
  <c r="N210" i="1"/>
  <c r="Q210" i="1" s="1"/>
  <c r="O210" i="1"/>
  <c r="P210" i="1"/>
  <c r="B211" i="1"/>
  <c r="H211" i="1"/>
  <c r="O211" i="1" s="1"/>
  <c r="J211" i="1"/>
  <c r="K211" i="1"/>
  <c r="L211" i="1" s="1"/>
  <c r="P211" i="1"/>
  <c r="B212" i="1"/>
  <c r="H212" i="1"/>
  <c r="J212" i="1"/>
  <c r="K212" i="1"/>
  <c r="L212" i="1"/>
  <c r="N212" i="1"/>
  <c r="O212" i="1"/>
  <c r="B213" i="1"/>
  <c r="H213" i="1"/>
  <c r="O213" i="1" s="1"/>
  <c r="J213" i="1"/>
  <c r="K213" i="1"/>
  <c r="L213" i="1" s="1"/>
  <c r="N213" i="1"/>
  <c r="B214" i="1"/>
  <c r="H214" i="1"/>
  <c r="O214" i="1" s="1"/>
  <c r="J214" i="1"/>
  <c r="K214" i="1"/>
  <c r="L214" i="1"/>
  <c r="N214" i="1"/>
  <c r="B215" i="1"/>
  <c r="H215" i="1"/>
  <c r="J215" i="1"/>
  <c r="K215" i="1"/>
  <c r="L215" i="1" s="1"/>
  <c r="N215" i="1"/>
  <c r="O215" i="1"/>
  <c r="B216" i="1"/>
  <c r="H216" i="1"/>
  <c r="O216" i="1" s="1"/>
  <c r="I216" i="1"/>
  <c r="J216" i="1"/>
  <c r="K216" i="1"/>
  <c r="L216" i="1" s="1"/>
  <c r="P216" i="1"/>
  <c r="B217" i="1"/>
  <c r="H217" i="1"/>
  <c r="I217" i="1"/>
  <c r="J217" i="1"/>
  <c r="K217" i="1"/>
  <c r="L217" i="1"/>
  <c r="N217" i="1" s="1"/>
  <c r="O217" i="1"/>
  <c r="B218" i="1"/>
  <c r="H218" i="1"/>
  <c r="O218" i="1" s="1"/>
  <c r="J218" i="1"/>
  <c r="K218" i="1"/>
  <c r="L218" i="1"/>
  <c r="P218" i="1"/>
  <c r="B219" i="1"/>
  <c r="H219" i="1"/>
  <c r="J219" i="1"/>
  <c r="K219" i="1"/>
  <c r="L219" i="1" s="1"/>
  <c r="N219" i="1"/>
  <c r="O219" i="1"/>
  <c r="B220" i="1"/>
  <c r="H220" i="1"/>
  <c r="J220" i="1"/>
  <c r="K220" i="1"/>
  <c r="L220" i="1"/>
  <c r="O220" i="1"/>
  <c r="P220" i="1"/>
  <c r="B221" i="1"/>
  <c r="H221" i="1"/>
  <c r="O221" i="1" s="1"/>
  <c r="J221" i="1"/>
  <c r="N221" i="1" s="1"/>
  <c r="K221" i="1"/>
  <c r="P221" i="1"/>
  <c r="B222" i="1"/>
  <c r="H222" i="1"/>
  <c r="O222" i="1" s="1"/>
  <c r="I222" i="1"/>
  <c r="J222" i="1"/>
  <c r="K222" i="1"/>
  <c r="L222" i="1" s="1"/>
  <c r="N222" i="1"/>
  <c r="P222" i="1"/>
  <c r="B223" i="1"/>
  <c r="H223" i="1"/>
  <c r="I223" i="1"/>
  <c r="J223" i="1"/>
  <c r="N223" i="1" s="1"/>
  <c r="K223" i="1"/>
  <c r="L223" i="1"/>
  <c r="O223" i="1"/>
  <c r="P223" i="1"/>
  <c r="B224" i="1"/>
  <c r="H224" i="1"/>
  <c r="O224" i="1" s="1"/>
  <c r="I224" i="1"/>
  <c r="J224" i="1"/>
  <c r="K224" i="1"/>
  <c r="L224" i="1" s="1"/>
  <c r="P224" i="1"/>
  <c r="B225" i="1"/>
  <c r="H225" i="1"/>
  <c r="O225" i="1" s="1"/>
  <c r="J225" i="1"/>
  <c r="N225" i="1" s="1"/>
  <c r="K225" i="1"/>
  <c r="L225" i="1"/>
  <c r="B226" i="1"/>
  <c r="H226" i="1"/>
  <c r="J226" i="1"/>
  <c r="N226" i="1" s="1"/>
  <c r="K226" i="1"/>
  <c r="L226" i="1" s="1"/>
  <c r="O226" i="1"/>
  <c r="B227" i="1"/>
  <c r="H227" i="1"/>
  <c r="J227" i="1"/>
  <c r="K227" i="1"/>
  <c r="L227" i="1"/>
  <c r="O227" i="1"/>
  <c r="P227" i="1"/>
  <c r="B228" i="1"/>
  <c r="H228" i="1"/>
  <c r="J228" i="1"/>
  <c r="K228" i="1"/>
  <c r="L228" i="1" s="1"/>
  <c r="N228" i="1" s="1"/>
  <c r="O228" i="1"/>
  <c r="B229" i="1"/>
  <c r="H229" i="1"/>
  <c r="J229" i="1"/>
  <c r="N229" i="1" s="1"/>
  <c r="K229" i="1"/>
  <c r="L229" i="1"/>
  <c r="O229" i="1"/>
  <c r="B230" i="1"/>
  <c r="H230" i="1"/>
  <c r="I230" i="1"/>
  <c r="R230" i="1" s="1"/>
  <c r="J230" i="1"/>
  <c r="K230" i="1"/>
  <c r="L230" i="1" s="1"/>
  <c r="N230" i="1"/>
  <c r="O230" i="1"/>
  <c r="P230" i="1"/>
  <c r="B231" i="1"/>
  <c r="H231" i="1"/>
  <c r="O231" i="1" s="1"/>
  <c r="I231" i="1"/>
  <c r="J231" i="1"/>
  <c r="N231" i="1" s="1"/>
  <c r="K231" i="1"/>
  <c r="L231" i="1" s="1"/>
  <c r="P231" i="1"/>
  <c r="B232" i="1"/>
  <c r="H232" i="1"/>
  <c r="O232" i="1" s="1"/>
  <c r="I232" i="1"/>
  <c r="J232" i="1"/>
  <c r="N232" i="1" s="1"/>
  <c r="Q232" i="1" s="1"/>
  <c r="K232" i="1"/>
  <c r="L232" i="1" s="1"/>
  <c r="P232" i="1"/>
  <c r="B233" i="1"/>
  <c r="H233" i="1"/>
  <c r="J233" i="1"/>
  <c r="N233" i="1" s="1"/>
  <c r="K233" i="1"/>
  <c r="L233" i="1"/>
  <c r="O233" i="1"/>
  <c r="B234" i="1"/>
  <c r="H234" i="1"/>
  <c r="J234" i="1"/>
  <c r="K234" i="1"/>
  <c r="L234" i="1" s="1"/>
  <c r="N234" i="1"/>
  <c r="O234" i="1"/>
  <c r="B235" i="1"/>
  <c r="H235" i="1"/>
  <c r="J235" i="1"/>
  <c r="N235" i="1" s="1"/>
  <c r="Q235" i="1" s="1"/>
  <c r="K235" i="1"/>
  <c r="L235" i="1"/>
  <c r="O235" i="1"/>
  <c r="P235" i="1"/>
  <c r="B236" i="1"/>
  <c r="H236" i="1"/>
  <c r="O236" i="1" s="1"/>
  <c r="I236" i="1"/>
  <c r="J236" i="1"/>
  <c r="K236" i="1"/>
  <c r="L236" i="1"/>
  <c r="N236" i="1"/>
  <c r="Q236" i="1" s="1"/>
  <c r="P236" i="1"/>
  <c r="B237" i="1"/>
  <c r="H237" i="1"/>
  <c r="I237" i="1"/>
  <c r="J237" i="1"/>
  <c r="N237" i="1" s="1"/>
  <c r="K237" i="1"/>
  <c r="L237" i="1"/>
  <c r="O237" i="1"/>
  <c r="B238" i="1"/>
  <c r="H238" i="1"/>
  <c r="O238" i="1" s="1"/>
  <c r="I238" i="1"/>
  <c r="J238" i="1"/>
  <c r="N238" i="1" s="1"/>
  <c r="K238" i="1"/>
  <c r="L238" i="1" s="1"/>
  <c r="P238" i="1"/>
  <c r="B239" i="1"/>
  <c r="H239" i="1"/>
  <c r="O239" i="1" s="1"/>
  <c r="I239" i="1"/>
  <c r="J239" i="1"/>
  <c r="K239" i="1"/>
  <c r="L239" i="1" s="1"/>
  <c r="N239" i="1"/>
  <c r="P239" i="1"/>
  <c r="B240" i="1"/>
  <c r="H240" i="1"/>
  <c r="O240" i="1" s="1"/>
  <c r="J240" i="1"/>
  <c r="K240" i="1"/>
  <c r="L240" i="1" s="1"/>
  <c r="B241" i="1"/>
  <c r="H241" i="1"/>
  <c r="J241" i="1"/>
  <c r="N241" i="1" s="1"/>
  <c r="K241" i="1"/>
  <c r="L241" i="1"/>
  <c r="O241" i="1"/>
  <c r="P241" i="1"/>
  <c r="B242" i="1"/>
  <c r="H242" i="1"/>
  <c r="J242" i="1"/>
  <c r="N242" i="1" s="1"/>
  <c r="K242" i="1"/>
  <c r="L242" i="1"/>
  <c r="O242" i="1"/>
  <c r="P242" i="1"/>
  <c r="B243" i="1"/>
  <c r="H243" i="1"/>
  <c r="O243" i="1" s="1"/>
  <c r="J243" i="1"/>
  <c r="K243" i="1"/>
  <c r="L243" i="1"/>
  <c r="P243" i="1"/>
  <c r="B244" i="1"/>
  <c r="H244" i="1"/>
  <c r="O244" i="1" s="1"/>
  <c r="I244" i="1"/>
  <c r="J244" i="1"/>
  <c r="K244" i="1"/>
  <c r="L244" i="1" s="1"/>
  <c r="N244" i="1" s="1"/>
  <c r="P244" i="1"/>
  <c r="B245" i="1"/>
  <c r="H245" i="1"/>
  <c r="O245" i="1" s="1"/>
  <c r="J245" i="1"/>
  <c r="N245" i="1" s="1"/>
  <c r="K245" i="1"/>
  <c r="B246" i="1"/>
  <c r="H246" i="1"/>
  <c r="I246" i="1"/>
  <c r="J246" i="1"/>
  <c r="N246" i="1" s="1"/>
  <c r="Q246" i="1" s="1"/>
  <c r="K246" i="1"/>
  <c r="L246" i="1" s="1"/>
  <c r="O246" i="1"/>
  <c r="P246" i="1"/>
  <c r="B247" i="1"/>
  <c r="H247" i="1"/>
  <c r="O247" i="1" s="1"/>
  <c r="I247" i="1"/>
  <c r="J247" i="1"/>
  <c r="K247" i="1"/>
  <c r="L247" i="1"/>
  <c r="N247" i="1"/>
  <c r="Q247" i="1" s="1"/>
  <c r="B248" i="1"/>
  <c r="J248" i="1"/>
  <c r="K248" i="1"/>
  <c r="N248" i="1"/>
  <c r="O248" i="1"/>
  <c r="P248" i="1"/>
  <c r="Q248" i="1"/>
  <c r="R248" i="1"/>
  <c r="B249" i="1"/>
  <c r="H249" i="1"/>
  <c r="I249" i="1"/>
  <c r="J249" i="1"/>
  <c r="K249" i="1"/>
  <c r="L249" i="1"/>
  <c r="N249" i="1"/>
  <c r="Q249" i="1" s="1"/>
  <c r="O249" i="1"/>
  <c r="B250" i="1"/>
  <c r="H250" i="1"/>
  <c r="I250" i="1"/>
  <c r="J250" i="1"/>
  <c r="N250" i="1" s="1"/>
  <c r="K250" i="1"/>
  <c r="L250" i="1" s="1"/>
  <c r="O250" i="1"/>
  <c r="P250" i="1"/>
  <c r="B251" i="1"/>
  <c r="H251" i="1"/>
  <c r="I251" i="1"/>
  <c r="J251" i="1"/>
  <c r="K251" i="1"/>
  <c r="L251" i="1" s="1"/>
  <c r="N251" i="1"/>
  <c r="O251" i="1"/>
  <c r="P251" i="1"/>
  <c r="B252" i="1"/>
  <c r="H252" i="1"/>
  <c r="O252" i="1" s="1"/>
  <c r="I252" i="1"/>
  <c r="J252" i="1"/>
  <c r="K252" i="1"/>
  <c r="L252" i="1"/>
  <c r="B253" i="1"/>
  <c r="H253" i="1"/>
  <c r="I253" i="1"/>
  <c r="P253" i="1" s="1"/>
  <c r="J253" i="1"/>
  <c r="N253" i="1" s="1"/>
  <c r="K253" i="1"/>
  <c r="L253" i="1"/>
  <c r="O253" i="1"/>
  <c r="B254" i="1"/>
  <c r="H254" i="1"/>
  <c r="I254" i="1"/>
  <c r="J254" i="1"/>
  <c r="K254" i="1"/>
  <c r="L254" i="1"/>
  <c r="O254" i="1"/>
  <c r="P254" i="1"/>
  <c r="B255" i="1"/>
  <c r="H255" i="1"/>
  <c r="O255" i="1" s="1"/>
  <c r="I255" i="1"/>
  <c r="J255" i="1"/>
  <c r="K255" i="1"/>
  <c r="L255" i="1"/>
  <c r="P255" i="1"/>
  <c r="B256" i="1"/>
  <c r="H256" i="1"/>
  <c r="I256" i="1"/>
  <c r="J256" i="1"/>
  <c r="K256" i="1"/>
  <c r="L256" i="1" s="1"/>
  <c r="N256" i="1"/>
  <c r="O256" i="1"/>
  <c r="P256" i="1"/>
  <c r="B257" i="1"/>
  <c r="H257" i="1"/>
  <c r="O257" i="1" s="1"/>
  <c r="I257" i="1"/>
  <c r="J257" i="1"/>
  <c r="K257" i="1"/>
  <c r="L257" i="1" s="1"/>
  <c r="N257" i="1" s="1"/>
  <c r="P257" i="1"/>
  <c r="B258" i="1"/>
  <c r="H258" i="1"/>
  <c r="I258" i="1"/>
  <c r="J258" i="1"/>
  <c r="N258" i="1" s="1"/>
  <c r="K258" i="1"/>
  <c r="L258" i="1" s="1"/>
  <c r="O258" i="1"/>
  <c r="P258" i="1"/>
  <c r="B259" i="1"/>
  <c r="H259" i="1"/>
  <c r="O259" i="1" s="1"/>
  <c r="K259" i="1"/>
  <c r="L259" i="1" s="1"/>
  <c r="P259" i="1"/>
  <c r="B260" i="1"/>
  <c r="H260" i="1"/>
  <c r="O260" i="1" s="1"/>
  <c r="I260" i="1"/>
  <c r="K260" i="1"/>
  <c r="L260" i="1"/>
  <c r="P260" i="1"/>
  <c r="B261" i="1"/>
  <c r="H261" i="1"/>
  <c r="O261" i="1" s="1"/>
  <c r="K261" i="1"/>
  <c r="L261" i="1"/>
  <c r="P261" i="1"/>
  <c r="B262" i="1"/>
  <c r="H262" i="1"/>
  <c r="K262" i="1"/>
  <c r="L262" i="1" s="1"/>
  <c r="O262" i="1"/>
  <c r="P262" i="1"/>
  <c r="B263" i="1"/>
  <c r="H263" i="1"/>
  <c r="K263" i="1"/>
  <c r="L263" i="1" s="1"/>
  <c r="O263" i="1"/>
  <c r="P263" i="1"/>
  <c r="B264" i="1"/>
  <c r="H264" i="1"/>
  <c r="O264" i="1" s="1"/>
  <c r="K264" i="1"/>
  <c r="L264" i="1"/>
  <c r="P264" i="1"/>
  <c r="B265" i="1"/>
  <c r="H265" i="1"/>
  <c r="K265" i="1"/>
  <c r="L265" i="1" s="1"/>
  <c r="O265" i="1"/>
  <c r="P265" i="1"/>
  <c r="B266" i="1"/>
  <c r="H266" i="1"/>
  <c r="O266" i="1" s="1"/>
  <c r="I266" i="1"/>
  <c r="K266" i="1"/>
  <c r="L266" i="1" s="1"/>
  <c r="P266" i="1"/>
  <c r="B267" i="1"/>
  <c r="H267" i="1"/>
  <c r="O267" i="1" s="1"/>
  <c r="I267" i="1"/>
  <c r="J267" i="1"/>
  <c r="K267" i="1"/>
  <c r="L267" i="1"/>
  <c r="N267" i="1"/>
  <c r="Q267" i="1" s="1"/>
  <c r="P267" i="1"/>
  <c r="B268" i="1"/>
  <c r="H268" i="1"/>
  <c r="O268" i="1" s="1"/>
  <c r="K268" i="1"/>
  <c r="L268" i="1"/>
  <c r="B269" i="1"/>
  <c r="H269" i="1"/>
  <c r="O269" i="1" s="1"/>
  <c r="K269" i="1"/>
  <c r="L269" i="1"/>
  <c r="B270" i="1"/>
  <c r="H270" i="1"/>
  <c r="K270" i="1"/>
  <c r="L270" i="1" s="1"/>
  <c r="O270" i="1"/>
  <c r="B271" i="1"/>
  <c r="H271" i="1"/>
  <c r="I271" i="1"/>
  <c r="J271" i="1"/>
  <c r="K271" i="1"/>
  <c r="L271" i="1"/>
  <c r="O271" i="1"/>
  <c r="P271" i="1"/>
  <c r="B272" i="1"/>
  <c r="H272" i="1"/>
  <c r="J272" i="1"/>
  <c r="K272" i="1"/>
  <c r="L272" i="1" s="1"/>
  <c r="N272" i="1" s="1"/>
  <c r="O272" i="1"/>
  <c r="B273" i="1"/>
  <c r="H273" i="1"/>
  <c r="J273" i="1"/>
  <c r="K273" i="1"/>
  <c r="L273" i="1" s="1"/>
  <c r="O273" i="1"/>
  <c r="B274" i="1"/>
  <c r="H274" i="1"/>
  <c r="O274" i="1" s="1"/>
  <c r="J274" i="1"/>
  <c r="N274" i="1" s="1"/>
  <c r="K274" i="1"/>
  <c r="L274" i="1"/>
  <c r="P274" i="1"/>
  <c r="B275" i="1"/>
  <c r="H275" i="1"/>
  <c r="J275" i="1"/>
  <c r="K275" i="1"/>
  <c r="L275" i="1"/>
  <c r="N275" i="1"/>
  <c r="O275" i="1"/>
  <c r="B276" i="1"/>
  <c r="H276" i="1"/>
  <c r="O276" i="1" s="1"/>
  <c r="I276" i="1"/>
  <c r="J276" i="1"/>
  <c r="K276" i="1"/>
  <c r="L276" i="1" s="1"/>
  <c r="P276" i="1"/>
  <c r="B277" i="1"/>
  <c r="H277" i="1"/>
  <c r="I277" i="1"/>
  <c r="K277" i="1"/>
  <c r="L277" i="1"/>
  <c r="O277" i="1"/>
  <c r="P277" i="1"/>
  <c r="B278" i="1"/>
  <c r="H278" i="1"/>
  <c r="I278" i="1"/>
  <c r="K278" i="1"/>
  <c r="L278" i="1" s="1"/>
  <c r="O278" i="1"/>
  <c r="P278" i="1"/>
  <c r="B279" i="1"/>
  <c r="H279" i="1"/>
  <c r="O279" i="1" s="1"/>
  <c r="J279" i="1"/>
  <c r="K279" i="1"/>
  <c r="L279" i="1" s="1"/>
  <c r="N279" i="1"/>
  <c r="P279" i="1"/>
  <c r="B280" i="1"/>
  <c r="H280" i="1"/>
  <c r="J280" i="1"/>
  <c r="K280" i="1"/>
  <c r="L280" i="1" s="1"/>
  <c r="N280" i="1" s="1"/>
  <c r="O280" i="1"/>
  <c r="B281" i="1"/>
  <c r="H281" i="1"/>
  <c r="O281" i="1" s="1"/>
  <c r="I281" i="1"/>
  <c r="J281" i="1"/>
  <c r="K281" i="1"/>
  <c r="L281" i="1" s="1"/>
  <c r="N281" i="1"/>
  <c r="Q281" i="1" s="1"/>
  <c r="P281" i="1"/>
  <c r="B282" i="1"/>
  <c r="H282" i="1"/>
  <c r="I282" i="1"/>
  <c r="J282" i="1"/>
  <c r="K282" i="1"/>
  <c r="L282" i="1"/>
  <c r="O282" i="1"/>
  <c r="B283" i="1"/>
  <c r="H283" i="1"/>
  <c r="J283" i="1"/>
  <c r="N283" i="1" s="1"/>
  <c r="K283" i="1"/>
  <c r="L283" i="1"/>
  <c r="O283" i="1"/>
  <c r="B284" i="1"/>
  <c r="H284" i="1"/>
  <c r="J284" i="1"/>
  <c r="K284" i="1"/>
  <c r="L284" i="1"/>
  <c r="O284" i="1"/>
  <c r="B285" i="1"/>
  <c r="H285" i="1"/>
  <c r="O285" i="1" s="1"/>
  <c r="J285" i="1"/>
  <c r="K285" i="1"/>
  <c r="L285" i="1"/>
  <c r="N285" i="1"/>
  <c r="B286" i="1"/>
  <c r="H286" i="1"/>
  <c r="I286" i="1"/>
  <c r="P286" i="1" s="1"/>
  <c r="J286" i="1"/>
  <c r="N286" i="1" s="1"/>
  <c r="K286" i="1"/>
  <c r="O286" i="1"/>
  <c r="R286" i="1"/>
  <c r="B287" i="1"/>
  <c r="H287" i="1"/>
  <c r="O287" i="1" s="1"/>
  <c r="J287" i="1"/>
  <c r="K287" i="1"/>
  <c r="L287" i="1"/>
  <c r="B288" i="1"/>
  <c r="H288" i="1"/>
  <c r="J288" i="1"/>
  <c r="K288" i="1"/>
  <c r="L288" i="1"/>
  <c r="N288" i="1" s="1"/>
  <c r="O288" i="1"/>
  <c r="B289" i="1"/>
  <c r="H289" i="1"/>
  <c r="I289" i="1"/>
  <c r="J289" i="1"/>
  <c r="K289" i="1"/>
  <c r="L289" i="1" s="1"/>
  <c r="O289" i="1"/>
  <c r="P289" i="1"/>
  <c r="B290" i="1"/>
  <c r="H290" i="1"/>
  <c r="I290" i="1"/>
  <c r="P290" i="1" s="1"/>
  <c r="J290" i="1"/>
  <c r="N290" i="1" s="1"/>
  <c r="K290" i="1"/>
  <c r="L290" i="1"/>
  <c r="O290" i="1"/>
  <c r="B291" i="1"/>
  <c r="H291" i="1"/>
  <c r="J291" i="1"/>
  <c r="K291" i="1"/>
  <c r="L291" i="1" s="1"/>
  <c r="N291" i="1" s="1"/>
  <c r="O291" i="1"/>
  <c r="B292" i="1"/>
  <c r="H292" i="1"/>
  <c r="J292" i="1"/>
  <c r="N292" i="1" s="1"/>
  <c r="K292" i="1"/>
  <c r="L292" i="1" s="1"/>
  <c r="O292" i="1"/>
  <c r="B293" i="1"/>
  <c r="H293" i="1"/>
  <c r="O293" i="1" s="1"/>
  <c r="J293" i="1"/>
  <c r="K293" i="1"/>
  <c r="L293" i="1" s="1"/>
  <c r="N293" i="1"/>
  <c r="B294" i="1"/>
  <c r="H294" i="1"/>
  <c r="O294" i="1" s="1"/>
  <c r="I294" i="1"/>
  <c r="J294" i="1"/>
  <c r="N294" i="1" s="1"/>
  <c r="K294" i="1"/>
  <c r="L294" i="1"/>
  <c r="P294" i="1"/>
  <c r="B295" i="1"/>
  <c r="H295" i="1"/>
  <c r="O295" i="1" s="1"/>
  <c r="I295" i="1"/>
  <c r="J295" i="1"/>
  <c r="K295" i="1"/>
  <c r="L295" i="1"/>
  <c r="N295" i="1"/>
  <c r="Q295" i="1" s="1"/>
  <c r="P295" i="1"/>
  <c r="R295" i="1"/>
  <c r="B296" i="1"/>
  <c r="H296" i="1"/>
  <c r="J296" i="1"/>
  <c r="N296" i="1" s="1"/>
  <c r="K296" i="1"/>
  <c r="L296" i="1"/>
  <c r="O296" i="1"/>
  <c r="B297" i="1"/>
  <c r="H297" i="1"/>
  <c r="I297" i="1"/>
  <c r="J297" i="1"/>
  <c r="K297" i="1"/>
  <c r="L297" i="1" s="1"/>
  <c r="O297" i="1"/>
  <c r="P297" i="1"/>
  <c r="B298" i="1"/>
  <c r="H298" i="1"/>
  <c r="O298" i="1" s="1"/>
  <c r="J298" i="1"/>
  <c r="K298" i="1"/>
  <c r="L298" i="1"/>
  <c r="B299" i="1"/>
  <c r="H299" i="1"/>
  <c r="J299" i="1"/>
  <c r="K299" i="1"/>
  <c r="L299" i="1" s="1"/>
  <c r="N299" i="1" s="1"/>
  <c r="O299" i="1"/>
  <c r="B300" i="1"/>
  <c r="H300" i="1"/>
  <c r="J300" i="1"/>
  <c r="N300" i="1" s="1"/>
  <c r="K300" i="1"/>
  <c r="L300" i="1" s="1"/>
  <c r="O300" i="1"/>
  <c r="B301" i="1"/>
  <c r="H301" i="1"/>
  <c r="O301" i="1" s="1"/>
  <c r="J301" i="1"/>
  <c r="K301" i="1"/>
  <c r="L301" i="1" s="1"/>
  <c r="N301" i="1" s="1"/>
  <c r="P301" i="1"/>
  <c r="B302" i="1"/>
  <c r="H302" i="1"/>
  <c r="O302" i="1" s="1"/>
  <c r="J302" i="1"/>
  <c r="K302" i="1"/>
  <c r="L302" i="1" s="1"/>
  <c r="P302" i="1"/>
  <c r="B303" i="1"/>
  <c r="H303" i="1"/>
  <c r="O303" i="1" s="1"/>
  <c r="J303" i="1"/>
  <c r="K303" i="1"/>
  <c r="L303" i="1"/>
  <c r="N303" i="1"/>
  <c r="P303" i="1"/>
  <c r="B304" i="1"/>
  <c r="H304" i="1"/>
  <c r="J304" i="1"/>
  <c r="K304" i="1"/>
  <c r="N304" i="1"/>
  <c r="O304" i="1"/>
  <c r="P304" i="1"/>
  <c r="B305" i="1"/>
  <c r="H305" i="1"/>
  <c r="O305" i="1" s="1"/>
  <c r="J305" i="1"/>
  <c r="K305" i="1"/>
  <c r="N305" i="1"/>
  <c r="P305" i="1"/>
  <c r="B306" i="1"/>
  <c r="H306" i="1"/>
  <c r="O306" i="1" s="1"/>
  <c r="I306" i="1"/>
  <c r="J306" i="1"/>
  <c r="K306" i="1"/>
  <c r="L306" i="1" s="1"/>
  <c r="P306" i="1"/>
  <c r="B307" i="1"/>
  <c r="H307" i="1"/>
  <c r="I307" i="1"/>
  <c r="J307" i="1"/>
  <c r="K307" i="1"/>
  <c r="L307" i="1" s="1"/>
  <c r="N307" i="1"/>
  <c r="O307" i="1"/>
  <c r="P307" i="1"/>
  <c r="B308" i="1"/>
  <c r="H308" i="1"/>
  <c r="O308" i="1" s="1"/>
  <c r="I308" i="1"/>
  <c r="J308" i="1"/>
  <c r="K308" i="1"/>
  <c r="L308" i="1" s="1"/>
  <c r="N308" i="1" s="1"/>
  <c r="P308" i="1"/>
  <c r="B309" i="1"/>
  <c r="H309" i="1"/>
  <c r="O309" i="1" s="1"/>
  <c r="I309" i="1"/>
  <c r="K309" i="1"/>
  <c r="L309" i="1"/>
  <c r="P309" i="1"/>
  <c r="B310" i="1"/>
  <c r="H310" i="1"/>
  <c r="J310" i="1"/>
  <c r="K310" i="1"/>
  <c r="N310" i="1"/>
  <c r="O310" i="1"/>
  <c r="P310" i="1"/>
  <c r="B311" i="1"/>
  <c r="H311" i="1"/>
  <c r="O311" i="1" s="1"/>
  <c r="J311" i="1"/>
  <c r="K311" i="1"/>
  <c r="L311" i="1"/>
  <c r="P311" i="1"/>
  <c r="B312" i="1"/>
  <c r="H312" i="1"/>
  <c r="O312" i="1" s="1"/>
  <c r="I312" i="1"/>
  <c r="J312" i="1"/>
  <c r="N312" i="1" s="1"/>
  <c r="Q312" i="1" s="1"/>
  <c r="K312" i="1"/>
  <c r="L312" i="1"/>
  <c r="P312" i="1"/>
  <c r="R312" i="1"/>
  <c r="B313" i="1"/>
  <c r="H313" i="1"/>
  <c r="K313" i="1"/>
  <c r="L313" i="1"/>
  <c r="O313" i="1"/>
  <c r="P313" i="1"/>
  <c r="B314" i="1"/>
  <c r="H314" i="1"/>
  <c r="I314" i="1"/>
  <c r="K314" i="1"/>
  <c r="L314" i="1"/>
  <c r="O314" i="1"/>
  <c r="P314" i="1"/>
  <c r="B315" i="1"/>
  <c r="H315" i="1"/>
  <c r="O315" i="1" s="1"/>
  <c r="K315" i="1"/>
  <c r="L315" i="1"/>
  <c r="P315" i="1"/>
  <c r="B316" i="1"/>
  <c r="H316" i="1"/>
  <c r="K316" i="1"/>
  <c r="L316" i="1" s="1"/>
  <c r="O316" i="1"/>
  <c r="P316" i="1"/>
  <c r="B317" i="1"/>
  <c r="H317" i="1"/>
  <c r="O317" i="1" s="1"/>
  <c r="I317" i="1"/>
  <c r="K317" i="1"/>
  <c r="L317" i="1" s="1"/>
  <c r="P317" i="1"/>
  <c r="B318" i="1"/>
  <c r="H318" i="1"/>
  <c r="O318" i="1" s="1"/>
  <c r="K318" i="1"/>
  <c r="L318" i="1" s="1"/>
  <c r="P318" i="1"/>
  <c r="B319" i="1"/>
  <c r="H319" i="1"/>
  <c r="O319" i="1" s="1"/>
  <c r="I319" i="1"/>
  <c r="K319" i="1"/>
  <c r="L319" i="1" s="1"/>
  <c r="P319" i="1"/>
  <c r="B320" i="1"/>
  <c r="H320" i="1"/>
  <c r="O320" i="1" s="1"/>
  <c r="J320" i="1"/>
  <c r="N320" i="1" s="1"/>
  <c r="K320" i="1"/>
  <c r="L320" i="1"/>
  <c r="P320" i="1"/>
  <c r="R320" i="1"/>
  <c r="B321" i="1"/>
  <c r="H321" i="1"/>
  <c r="I321" i="1"/>
  <c r="J321" i="1"/>
  <c r="N321" i="1" s="1"/>
  <c r="K321" i="1"/>
  <c r="L321" i="1"/>
  <c r="O321" i="1"/>
  <c r="P321" i="1"/>
  <c r="B322" i="1"/>
  <c r="H322" i="1"/>
  <c r="I322" i="1"/>
  <c r="P322" i="1" s="1"/>
  <c r="J322" i="1"/>
  <c r="N322" i="1" s="1"/>
  <c r="Q322" i="1" s="1"/>
  <c r="K322" i="1"/>
  <c r="L322" i="1"/>
  <c r="O322" i="1"/>
  <c r="R322" i="1"/>
  <c r="B323" i="1"/>
  <c r="H323" i="1"/>
  <c r="O323" i="1" s="1"/>
  <c r="I323" i="1"/>
  <c r="P323" i="1" s="1"/>
  <c r="J323" i="1"/>
  <c r="K323" i="1"/>
  <c r="L323" i="1"/>
  <c r="B324" i="1"/>
  <c r="H324" i="1"/>
  <c r="I324" i="1"/>
  <c r="P324" i="1" s="1"/>
  <c r="J324" i="1"/>
  <c r="K324" i="1"/>
  <c r="L324" i="1"/>
  <c r="N324" i="1" s="1"/>
  <c r="Q324" i="1" s="1"/>
  <c r="O324" i="1"/>
  <c r="R324" i="1"/>
  <c r="B325" i="1"/>
  <c r="H325" i="1"/>
  <c r="O325" i="1" s="1"/>
  <c r="I325" i="1"/>
  <c r="P325" i="1" s="1"/>
  <c r="J325" i="1"/>
  <c r="K325" i="1"/>
  <c r="L325" i="1" s="1"/>
  <c r="B326" i="1"/>
  <c r="H326" i="1"/>
  <c r="O326" i="1" s="1"/>
  <c r="J326" i="1"/>
  <c r="N326" i="1" s="1"/>
  <c r="Q326" i="1" s="1"/>
  <c r="K326" i="1"/>
  <c r="L326" i="1" s="1"/>
  <c r="P326" i="1"/>
  <c r="B327" i="1"/>
  <c r="H327" i="1"/>
  <c r="O327" i="1" s="1"/>
  <c r="J327" i="1"/>
  <c r="K327" i="1"/>
  <c r="L327" i="1"/>
  <c r="P327" i="1"/>
  <c r="B328" i="1"/>
  <c r="H328" i="1"/>
  <c r="O328" i="1" s="1"/>
  <c r="I328" i="1"/>
  <c r="J328" i="1"/>
  <c r="K328" i="1"/>
  <c r="L328" i="1"/>
  <c r="N328" i="1"/>
  <c r="Q328" i="1" s="1"/>
  <c r="P328" i="1"/>
  <c r="B329" i="1"/>
  <c r="H329" i="1"/>
  <c r="I329" i="1"/>
  <c r="J329" i="1"/>
  <c r="K329" i="1"/>
  <c r="N329" i="1"/>
  <c r="O329" i="1"/>
  <c r="B330" i="1"/>
  <c r="H330" i="1"/>
  <c r="O330" i="1" s="1"/>
  <c r="J330" i="1"/>
  <c r="N330" i="1" s="1"/>
  <c r="K330" i="1"/>
  <c r="L330" i="1"/>
  <c r="P330" i="1"/>
  <c r="B331" i="1"/>
  <c r="H331" i="1"/>
  <c r="O331" i="1" s="1"/>
  <c r="J331" i="1"/>
  <c r="N331" i="1" s="1"/>
  <c r="K331" i="1"/>
  <c r="L331" i="1"/>
  <c r="P331" i="1"/>
  <c r="B332" i="1"/>
  <c r="H332" i="1"/>
  <c r="J332" i="1"/>
  <c r="N332" i="1" s="1"/>
  <c r="K332" i="1"/>
  <c r="L332" i="1"/>
  <c r="O332" i="1"/>
  <c r="P332" i="1"/>
  <c r="B333" i="1"/>
  <c r="H333" i="1"/>
  <c r="I333" i="1"/>
  <c r="J333" i="1"/>
  <c r="N333" i="1" s="1"/>
  <c r="Q333" i="1" s="1"/>
  <c r="K333" i="1"/>
  <c r="L333" i="1"/>
  <c r="O333" i="1"/>
  <c r="P333" i="1"/>
  <c r="R333" i="1"/>
  <c r="B334" i="1"/>
  <c r="H334" i="1"/>
  <c r="I334" i="1"/>
  <c r="P334" i="1" s="1"/>
  <c r="J334" i="1"/>
  <c r="K334" i="1"/>
  <c r="L334" i="1" s="1"/>
  <c r="O334" i="1"/>
  <c r="B335" i="1"/>
  <c r="H335" i="1"/>
  <c r="I335" i="1"/>
  <c r="J335" i="1"/>
  <c r="K335" i="1"/>
  <c r="L335" i="1"/>
  <c r="N335" i="1" s="1"/>
  <c r="Q335" i="1" s="1"/>
  <c r="O335" i="1"/>
  <c r="P335" i="1"/>
  <c r="R335" i="1"/>
  <c r="O336" i="1"/>
  <c r="J4" i="8"/>
  <c r="I172" i="1" s="1"/>
  <c r="M4" i="8" s="1"/>
  <c r="L4" i="8"/>
  <c r="N4" i="8"/>
  <c r="J5" i="8"/>
  <c r="I23" i="1" s="1"/>
  <c r="L5" i="8"/>
  <c r="M5" i="8"/>
  <c r="N5" i="8"/>
  <c r="J6" i="8"/>
  <c r="L6" i="8"/>
  <c r="J7" i="8"/>
  <c r="L7" i="8"/>
  <c r="J8" i="8"/>
  <c r="L8" i="8"/>
  <c r="J9" i="8"/>
  <c r="I105" i="1" s="1"/>
  <c r="R105" i="1" s="1"/>
  <c r="L9" i="8"/>
  <c r="J10" i="8"/>
  <c r="I320" i="1" s="1"/>
  <c r="M10" i="8" s="1"/>
  <c r="N10" i="8" s="1"/>
  <c r="L10" i="8"/>
  <c r="J11" i="8"/>
  <c r="I327" i="1" s="1"/>
  <c r="L11" i="8"/>
  <c r="M11" i="8"/>
  <c r="J12" i="8"/>
  <c r="L12" i="8"/>
  <c r="J13" i="8"/>
  <c r="I167" i="1" s="1"/>
  <c r="L13" i="8"/>
  <c r="J14" i="8"/>
  <c r="I208" i="1" s="1"/>
  <c r="L14" i="8"/>
  <c r="J15" i="8"/>
  <c r="L15" i="8"/>
  <c r="J16" i="8"/>
  <c r="I25" i="1" s="1"/>
  <c r="L16" i="8"/>
  <c r="J17" i="8"/>
  <c r="I168" i="1" s="1"/>
  <c r="R168" i="1" s="1"/>
  <c r="L17" i="8"/>
  <c r="M17" i="8"/>
  <c r="J18" i="8"/>
  <c r="I169" i="1" s="1"/>
  <c r="L18" i="8"/>
  <c r="J19" i="8"/>
  <c r="I170" i="1" s="1"/>
  <c r="R170" i="1" s="1"/>
  <c r="L19" i="8"/>
  <c r="J20" i="8"/>
  <c r="L20" i="8"/>
  <c r="J21" i="8"/>
  <c r="L21" i="8"/>
  <c r="J22" i="8"/>
  <c r="L22" i="8"/>
  <c r="J23" i="8"/>
  <c r="L23" i="8"/>
  <c r="M23" i="8"/>
  <c r="J24" i="8"/>
  <c r="L24" i="8"/>
  <c r="J25" i="8"/>
  <c r="I326" i="1" s="1"/>
  <c r="M25" i="8" s="1"/>
  <c r="L25" i="8"/>
  <c r="N25" i="8"/>
  <c r="J26" i="8"/>
  <c r="I121" i="1" s="1"/>
  <c r="L26" i="8"/>
  <c r="J27" i="8"/>
  <c r="I122" i="1" s="1"/>
  <c r="R122" i="1" s="1"/>
  <c r="L27" i="8"/>
  <c r="M27" i="8"/>
  <c r="J28" i="8"/>
  <c r="L28" i="8"/>
  <c r="J29" i="8"/>
  <c r="I80" i="1" s="1"/>
  <c r="L29" i="8"/>
  <c r="J30" i="8"/>
  <c r="I148" i="1" s="1"/>
  <c r="M30" i="8" s="1"/>
  <c r="L30" i="8"/>
  <c r="N30" i="8"/>
  <c r="J31" i="8"/>
  <c r="L31" i="8"/>
  <c r="J32" i="8"/>
  <c r="I150" i="1" s="1"/>
  <c r="L32" i="8"/>
  <c r="J33" i="8"/>
  <c r="I151" i="1" s="1"/>
  <c r="R151" i="1" s="1"/>
  <c r="L33" i="8"/>
  <c r="M33" i="8"/>
  <c r="J34" i="8"/>
  <c r="L34" i="8"/>
  <c r="J35" i="8"/>
  <c r="I157" i="1" s="1"/>
  <c r="M35" i="8" s="1"/>
  <c r="N35" i="8" s="1"/>
  <c r="L35" i="8"/>
  <c r="J36" i="8"/>
  <c r="I72" i="1" s="1"/>
  <c r="L36" i="8"/>
  <c r="J37" i="8"/>
  <c r="I87" i="1" s="1"/>
  <c r="L37" i="8"/>
  <c r="M37" i="8"/>
  <c r="N37" i="8"/>
  <c r="J38" i="8"/>
  <c r="L38" i="8"/>
  <c r="J39" i="8"/>
  <c r="L39" i="8"/>
  <c r="J40" i="8"/>
  <c r="L40" i="8"/>
  <c r="J41" i="8"/>
  <c r="I235" i="1" s="1"/>
  <c r="M41" i="8" s="1"/>
  <c r="L41" i="8"/>
  <c r="N41" i="8"/>
  <c r="J42" i="8"/>
  <c r="I127" i="1" s="1"/>
  <c r="L42" i="8"/>
  <c r="J43" i="8"/>
  <c r="I43" i="1" s="1"/>
  <c r="L43" i="8"/>
  <c r="M43" i="8"/>
  <c r="J44" i="8"/>
  <c r="L44" i="8"/>
  <c r="J45" i="8"/>
  <c r="L45" i="8"/>
  <c r="J46" i="8"/>
  <c r="I305" i="1" s="1"/>
  <c r="M46" i="8" s="1"/>
  <c r="L46" i="8"/>
  <c r="N46" i="8"/>
  <c r="J47" i="8"/>
  <c r="L47" i="8"/>
  <c r="J48" i="8"/>
  <c r="L48" i="8"/>
  <c r="J49" i="8"/>
  <c r="I46" i="1" s="1"/>
  <c r="L49" i="8"/>
  <c r="M49" i="8"/>
  <c r="J50" i="8"/>
  <c r="I261" i="1" s="1"/>
  <c r="L50" i="8"/>
  <c r="J51" i="8"/>
  <c r="I22" i="1" s="1"/>
  <c r="L51" i="8"/>
  <c r="J52" i="8"/>
  <c r="I47" i="1" s="1"/>
  <c r="L52" i="8"/>
  <c r="J53" i="8"/>
  <c r="I88" i="1" s="1"/>
  <c r="L53" i="8"/>
  <c r="M53" i="8"/>
  <c r="N53" i="8"/>
  <c r="J54" i="8"/>
  <c r="L54" i="8"/>
  <c r="J55" i="8"/>
  <c r="L55" i="8"/>
  <c r="J56" i="8"/>
  <c r="L56" i="8"/>
  <c r="J57" i="8"/>
  <c r="I51" i="1" s="1"/>
  <c r="M57" i="8" s="1"/>
  <c r="N57" i="8" s="1"/>
  <c r="L57" i="8"/>
  <c r="J58" i="8"/>
  <c r="L58" i="8"/>
  <c r="J59" i="8"/>
  <c r="I52" i="1" s="1"/>
  <c r="L59" i="8"/>
  <c r="M59" i="8"/>
  <c r="J60" i="8"/>
  <c r="I53" i="1" s="1"/>
  <c r="L60" i="8"/>
  <c r="J61" i="8"/>
  <c r="I54" i="1" s="1"/>
  <c r="L61" i="8"/>
  <c r="J62" i="8"/>
  <c r="I89" i="1" s="1"/>
  <c r="M62" i="8" s="1"/>
  <c r="L62" i="8"/>
  <c r="N62" i="8"/>
  <c r="J63" i="8"/>
  <c r="L63" i="8"/>
  <c r="J64" i="8"/>
  <c r="I331" i="1" s="1"/>
  <c r="M64" i="8" s="1"/>
  <c r="L64" i="8"/>
  <c r="N64" i="8"/>
  <c r="J65" i="8"/>
  <c r="I210" i="1" s="1"/>
  <c r="L65" i="8"/>
  <c r="M65" i="8"/>
  <c r="J66" i="8"/>
  <c r="I11" i="1" s="1"/>
  <c r="L66" i="8"/>
  <c r="J67" i="8"/>
  <c r="I262" i="1" s="1"/>
  <c r="L67" i="8"/>
  <c r="M67" i="8"/>
  <c r="J68" i="8"/>
  <c r="I101" i="1" s="1"/>
  <c r="L68" i="8"/>
  <c r="J69" i="8"/>
  <c r="I311" i="1" s="1"/>
  <c r="L69" i="8"/>
  <c r="M69" i="8"/>
  <c r="N69" i="8"/>
  <c r="J70" i="8"/>
  <c r="L70" i="8"/>
  <c r="J71" i="8"/>
  <c r="L71" i="8"/>
  <c r="J72" i="8"/>
  <c r="L72" i="8"/>
  <c r="J73" i="8"/>
  <c r="I220" i="1" s="1"/>
  <c r="M73" i="8" s="1"/>
  <c r="N73" i="8" s="1"/>
  <c r="L73" i="8"/>
  <c r="J74" i="8"/>
  <c r="I221" i="1" s="1"/>
  <c r="L74" i="8"/>
  <c r="J75" i="8"/>
  <c r="I265" i="1" s="1"/>
  <c r="L75" i="8"/>
  <c r="M75" i="8"/>
  <c r="N75" i="8" s="1"/>
  <c r="J76" i="8"/>
  <c r="I152" i="1" s="1"/>
  <c r="M76" i="8" s="1"/>
  <c r="L76" i="8"/>
  <c r="N76" i="8"/>
  <c r="J77" i="8"/>
  <c r="I90" i="1" s="1"/>
  <c r="L77" i="8"/>
  <c r="J78" i="8"/>
  <c r="I211" i="1" s="1"/>
  <c r="L78" i="8"/>
  <c r="J79" i="8"/>
  <c r="L79" i="8"/>
  <c r="J80" i="8"/>
  <c r="L80" i="8"/>
  <c r="J81" i="8"/>
  <c r="L81" i="8"/>
  <c r="J82" i="8"/>
  <c r="L82" i="8"/>
  <c r="J83" i="8"/>
  <c r="L83" i="8"/>
  <c r="J84" i="8"/>
  <c r="L84" i="8"/>
  <c r="J85" i="8"/>
  <c r="L85" i="8"/>
  <c r="J86" i="8"/>
  <c r="L86" i="8"/>
  <c r="J87" i="8"/>
  <c r="L87" i="8"/>
  <c r="J88" i="8"/>
  <c r="L88" i="8"/>
  <c r="J89" i="8"/>
  <c r="L89" i="8"/>
  <c r="J90" i="8"/>
  <c r="L90" i="8"/>
  <c r="J91" i="8"/>
  <c r="L91" i="8"/>
  <c r="J92" i="8"/>
  <c r="L92" i="8"/>
  <c r="J93" i="8"/>
  <c r="L93" i="8"/>
  <c r="J94" i="8"/>
  <c r="L94" i="8"/>
  <c r="J95" i="8"/>
  <c r="L95" i="8"/>
  <c r="J96" i="8"/>
  <c r="L96" i="8"/>
  <c r="J97" i="8"/>
  <c r="L97" i="8"/>
  <c r="J98" i="8"/>
  <c r="L98" i="8"/>
  <c r="J99" i="8"/>
  <c r="L99" i="8"/>
  <c r="J100" i="8"/>
  <c r="L100" i="8"/>
  <c r="J101" i="8"/>
  <c r="L101" i="8"/>
  <c r="J102" i="8"/>
  <c r="L102" i="8"/>
  <c r="J103" i="8"/>
  <c r="L103" i="8"/>
  <c r="J104" i="8"/>
  <c r="L104" i="8"/>
  <c r="J105" i="8"/>
  <c r="L105" i="8"/>
  <c r="J106" i="8"/>
  <c r="L106" i="8"/>
  <c r="J107" i="8"/>
  <c r="L107" i="8"/>
  <c r="J108" i="8"/>
  <c r="L108" i="8"/>
  <c r="J109" i="8"/>
  <c r="L109" i="8"/>
  <c r="J110" i="8"/>
  <c r="L110" i="8"/>
  <c r="J111" i="8"/>
  <c r="L111" i="8"/>
  <c r="J112" i="8"/>
  <c r="L112" i="8"/>
  <c r="J113" i="8"/>
  <c r="L113" i="8"/>
  <c r="J114" i="8"/>
  <c r="L114" i="8"/>
  <c r="J115" i="8"/>
  <c r="L115" i="8"/>
  <c r="J116" i="8"/>
  <c r="I291" i="1" s="1"/>
  <c r="L116" i="8"/>
  <c r="J117" i="8"/>
  <c r="L117" i="8"/>
  <c r="J118" i="8"/>
  <c r="L118" i="8"/>
  <c r="J119" i="8"/>
  <c r="L119" i="8"/>
  <c r="J120" i="8"/>
  <c r="L120" i="8"/>
  <c r="J121" i="8"/>
  <c r="I275" i="1" s="1"/>
  <c r="L121" i="8"/>
  <c r="J122" i="8"/>
  <c r="L122" i="8"/>
  <c r="J123" i="8"/>
  <c r="L123" i="8"/>
  <c r="J124" i="8"/>
  <c r="L124" i="8"/>
  <c r="J125" i="8"/>
  <c r="L125" i="8"/>
  <c r="J126" i="8"/>
  <c r="L126" i="8"/>
  <c r="J127" i="8"/>
  <c r="I185" i="1" s="1"/>
  <c r="L127" i="8"/>
  <c r="J128" i="8"/>
  <c r="L128" i="8"/>
  <c r="J129" i="8"/>
  <c r="L129" i="8"/>
  <c r="J130" i="8"/>
  <c r="L130" i="8"/>
  <c r="J131" i="8"/>
  <c r="L131" i="8"/>
  <c r="J132" i="8"/>
  <c r="L132" i="8"/>
  <c r="J133" i="8"/>
  <c r="L133" i="8"/>
  <c r="J134" i="8"/>
  <c r="L134" i="8"/>
  <c r="J135" i="8"/>
  <c r="L135" i="8"/>
  <c r="J136" i="8"/>
  <c r="L136" i="8"/>
  <c r="J137" i="8"/>
  <c r="L137" i="8"/>
  <c r="J138" i="8"/>
  <c r="L138" i="8"/>
  <c r="M138" i="8"/>
  <c r="J139" i="8"/>
  <c r="L139" i="8"/>
  <c r="J140" i="8"/>
  <c r="L140" i="8"/>
  <c r="J141" i="8"/>
  <c r="L141" i="8"/>
  <c r="J142" i="8"/>
  <c r="L142" i="8"/>
  <c r="J143" i="8"/>
  <c r="L143" i="8"/>
  <c r="J144" i="8"/>
  <c r="L144" i="8"/>
  <c r="J145" i="8"/>
  <c r="L145" i="8"/>
  <c r="J146" i="8"/>
  <c r="L146" i="8"/>
  <c r="J147" i="8"/>
  <c r="L147" i="8"/>
  <c r="J148" i="8"/>
  <c r="L148" i="8"/>
  <c r="J149" i="8"/>
  <c r="L149" i="8"/>
  <c r="J150" i="8"/>
  <c r="L150" i="8"/>
  <c r="J151" i="8"/>
  <c r="L151" i="8"/>
  <c r="J152" i="8"/>
  <c r="L152" i="8"/>
  <c r="J153" i="8"/>
  <c r="L153" i="8"/>
  <c r="J154" i="8"/>
  <c r="L154" i="8"/>
  <c r="J155" i="8"/>
  <c r="L155" i="8"/>
  <c r="J156" i="8"/>
  <c r="L156" i="8"/>
  <c r="J157" i="8"/>
  <c r="I225" i="1" s="1"/>
  <c r="L157" i="8"/>
  <c r="J158" i="8"/>
  <c r="L158" i="8"/>
  <c r="J159" i="8"/>
  <c r="L159" i="8"/>
  <c r="J160" i="8"/>
  <c r="L160" i="8"/>
  <c r="J161" i="8"/>
  <c r="L161" i="8"/>
  <c r="J162" i="8"/>
  <c r="L162" i="8"/>
  <c r="J163" i="8"/>
  <c r="L163" i="8"/>
  <c r="J164" i="8"/>
  <c r="L164" i="8"/>
  <c r="J165" i="8"/>
  <c r="L165" i="8"/>
  <c r="J166" i="8"/>
  <c r="L166" i="8"/>
  <c r="J167" i="8"/>
  <c r="L167" i="8"/>
  <c r="J168" i="8"/>
  <c r="L168" i="8"/>
  <c r="J169" i="8"/>
  <c r="L169" i="8"/>
  <c r="J170" i="8"/>
  <c r="L170" i="8"/>
  <c r="J171" i="8"/>
  <c r="L171" i="8"/>
  <c r="J172" i="8"/>
  <c r="L172" i="8"/>
  <c r="J173" i="8"/>
  <c r="L173" i="8"/>
  <c r="J174" i="8"/>
  <c r="L174" i="8"/>
  <c r="J175" i="8"/>
  <c r="L175" i="8"/>
  <c r="J176" i="8"/>
  <c r="L176" i="8"/>
  <c r="J177" i="8"/>
  <c r="L177" i="8"/>
  <c r="J178" i="8"/>
  <c r="L178" i="8"/>
  <c r="J179" i="8"/>
  <c r="L179" i="8"/>
  <c r="J180" i="8"/>
  <c r="L180" i="8"/>
  <c r="J181" i="8"/>
  <c r="L181" i="8"/>
  <c r="J182" i="8"/>
  <c r="L182" i="8"/>
  <c r="J183" i="8"/>
  <c r="L183" i="8"/>
  <c r="J184" i="8"/>
  <c r="L184" i="8"/>
  <c r="J185" i="8"/>
  <c r="L185" i="8"/>
  <c r="J186" i="8"/>
  <c r="L186" i="8"/>
  <c r="J187" i="8"/>
  <c r="L187" i="8"/>
  <c r="J188" i="8"/>
  <c r="L188" i="8"/>
  <c r="J189" i="8"/>
  <c r="L189" i="8"/>
  <c r="J190" i="8"/>
  <c r="L190" i="8"/>
  <c r="J191" i="8"/>
  <c r="L191" i="8"/>
  <c r="J192" i="8"/>
  <c r="L192" i="8"/>
  <c r="J193" i="8"/>
  <c r="L193" i="8"/>
  <c r="J194" i="8"/>
  <c r="L194" i="8"/>
  <c r="J195" i="8"/>
  <c r="L195" i="8"/>
  <c r="J196" i="8"/>
  <c r="L196" i="8"/>
  <c r="J197" i="8"/>
  <c r="L197" i="8"/>
  <c r="J198" i="8"/>
  <c r="L198" i="8"/>
  <c r="J199" i="8"/>
  <c r="L199" i="8"/>
  <c r="J200" i="8"/>
  <c r="L200" i="8"/>
  <c r="J201" i="8"/>
  <c r="L201" i="8"/>
  <c r="J202" i="8"/>
  <c r="L202" i="8"/>
  <c r="J203" i="8"/>
  <c r="L203" i="8"/>
  <c r="J204" i="8"/>
  <c r="L204" i="8"/>
  <c r="J205" i="8"/>
  <c r="L205" i="8"/>
  <c r="E132" i="29"/>
  <c r="L1" i="19"/>
  <c r="J5" i="19"/>
  <c r="M5" i="19"/>
  <c r="O5" i="19" s="1"/>
  <c r="J6" i="19"/>
  <c r="M6" i="19"/>
  <c r="O6" i="19" s="1"/>
  <c r="J7" i="19"/>
  <c r="M7" i="19"/>
  <c r="O7" i="19"/>
  <c r="J8" i="19"/>
  <c r="M8" i="19"/>
  <c r="O8" i="19" s="1"/>
  <c r="J9" i="19"/>
  <c r="M9" i="19"/>
  <c r="O9" i="19" s="1"/>
  <c r="J10" i="19"/>
  <c r="M10" i="19"/>
  <c r="O10" i="19" s="1"/>
  <c r="J11" i="19"/>
  <c r="M11" i="19"/>
  <c r="O11" i="19"/>
  <c r="J12" i="19"/>
  <c r="K12" i="19"/>
  <c r="R148" i="18" s="1"/>
  <c r="M12" i="19"/>
  <c r="O12" i="19" s="1"/>
  <c r="J13" i="19"/>
  <c r="M13" i="19"/>
  <c r="O13" i="19" s="1"/>
  <c r="J14" i="19"/>
  <c r="M14" i="19"/>
  <c r="O14" i="19" s="1"/>
  <c r="J15" i="19"/>
  <c r="M15" i="19"/>
  <c r="O15" i="19"/>
  <c r="J16" i="19"/>
  <c r="M16" i="19"/>
  <c r="O16" i="19" s="1"/>
  <c r="J17" i="19"/>
  <c r="M17" i="19"/>
  <c r="O17" i="19" s="1"/>
  <c r="J18" i="19"/>
  <c r="M18" i="19"/>
  <c r="O18" i="19" s="1"/>
  <c r="J19" i="19"/>
  <c r="M19" i="19"/>
  <c r="O19" i="19"/>
  <c r="J20" i="19"/>
  <c r="M20" i="19"/>
  <c r="O20" i="19" s="1"/>
  <c r="J21" i="19"/>
  <c r="K21" i="19"/>
  <c r="L21" i="19"/>
  <c r="M21" i="19"/>
  <c r="O21" i="19" s="1"/>
  <c r="P21" i="19" s="1"/>
  <c r="J22" i="19"/>
  <c r="K22" i="19"/>
  <c r="L22" i="19"/>
  <c r="M22" i="19"/>
  <c r="O22" i="19" s="1"/>
  <c r="P22" i="19"/>
  <c r="J23" i="19"/>
  <c r="K23" i="19"/>
  <c r="M23" i="19"/>
  <c r="O23" i="19"/>
  <c r="J24" i="19"/>
  <c r="K24" i="19"/>
  <c r="M24" i="19"/>
  <c r="O24" i="19" s="1"/>
  <c r="J25" i="19"/>
  <c r="M25" i="19"/>
  <c r="O25" i="19" s="1"/>
  <c r="J26" i="19"/>
  <c r="K26" i="19"/>
  <c r="L26" i="19"/>
  <c r="M26" i="19"/>
  <c r="O26" i="19" s="1"/>
  <c r="P26" i="19"/>
  <c r="J27" i="19"/>
  <c r="K27" i="19"/>
  <c r="L27" i="19"/>
  <c r="J28" i="19"/>
  <c r="K28" i="19"/>
  <c r="L28" i="19"/>
  <c r="J29" i="19"/>
  <c r="K29" i="19"/>
  <c r="L29" i="19"/>
  <c r="J30" i="19"/>
  <c r="K30" i="19"/>
  <c r="L30" i="19"/>
  <c r="J31" i="19"/>
  <c r="K31" i="19"/>
  <c r="L31" i="19"/>
  <c r="J32" i="19"/>
  <c r="K32" i="19"/>
  <c r="L32" i="19"/>
  <c r="J33" i="19"/>
  <c r="K33" i="19"/>
  <c r="L33" i="19"/>
  <c r="J34" i="19"/>
  <c r="K34" i="19"/>
  <c r="L34" i="19"/>
  <c r="J35" i="19"/>
  <c r="K35" i="19"/>
  <c r="J36" i="19"/>
  <c r="J37" i="19"/>
  <c r="L37" i="19"/>
  <c r="J38" i="19"/>
  <c r="J39" i="19"/>
  <c r="J40" i="19"/>
  <c r="J41" i="19"/>
  <c r="J42" i="19"/>
  <c r="K42" i="19"/>
  <c r="R36" i="18" s="1"/>
  <c r="J43" i="19"/>
  <c r="K43" i="19"/>
  <c r="J44" i="19"/>
  <c r="K44" i="19"/>
  <c r="L44" i="19"/>
  <c r="J45" i="19"/>
  <c r="K45" i="19"/>
  <c r="J46" i="19"/>
  <c r="K46" i="19"/>
  <c r="J47" i="19"/>
  <c r="J48" i="19"/>
  <c r="K48" i="19"/>
  <c r="J49" i="19"/>
  <c r="J50" i="19"/>
  <c r="J51" i="19"/>
  <c r="J52" i="19"/>
  <c r="J53" i="19"/>
  <c r="J54" i="19"/>
  <c r="K54" i="19"/>
  <c r="L54" i="19"/>
  <c r="J55" i="19"/>
  <c r="J56" i="19"/>
  <c r="K56" i="19"/>
  <c r="J57" i="19"/>
  <c r="J58" i="19"/>
  <c r="J59" i="19"/>
  <c r="J60" i="19"/>
  <c r="J61" i="19"/>
  <c r="K61" i="19"/>
  <c r="L61" i="19"/>
  <c r="J62" i="19"/>
  <c r="K62" i="19"/>
  <c r="J63" i="19"/>
  <c r="K63" i="19"/>
  <c r="J64" i="19"/>
  <c r="J65" i="19"/>
  <c r="J66" i="19"/>
  <c r="L66" i="19"/>
  <c r="J67" i="19"/>
  <c r="J68" i="19"/>
  <c r="J69" i="19"/>
  <c r="J70" i="19"/>
  <c r="J71" i="19"/>
  <c r="K71" i="19"/>
  <c r="J72" i="19"/>
  <c r="J73" i="19"/>
  <c r="K73" i="19"/>
  <c r="L73" i="19"/>
  <c r="J74" i="19"/>
  <c r="K74" i="19"/>
  <c r="L74" i="19"/>
  <c r="J75" i="19"/>
  <c r="K75" i="19"/>
  <c r="L75" i="19"/>
  <c r="J76" i="19"/>
  <c r="K76" i="19"/>
  <c r="M76" i="19"/>
  <c r="O76" i="19" s="1"/>
  <c r="J77" i="19"/>
  <c r="J78" i="19"/>
  <c r="J79" i="19"/>
  <c r="J80" i="19"/>
  <c r="M80" i="19"/>
  <c r="O80" i="19" s="1"/>
  <c r="J81" i="19"/>
  <c r="M81" i="19"/>
  <c r="O81" i="19"/>
  <c r="J82" i="19"/>
  <c r="M82" i="19"/>
  <c r="O82" i="19"/>
  <c r="J83" i="19"/>
  <c r="M83" i="19"/>
  <c r="O83" i="19"/>
  <c r="J84" i="19"/>
  <c r="M84" i="19"/>
  <c r="O84" i="19" s="1"/>
  <c r="J85" i="19"/>
  <c r="M85" i="19"/>
  <c r="O85" i="19"/>
  <c r="J86" i="19"/>
  <c r="M86" i="19"/>
  <c r="O86" i="19"/>
  <c r="J87" i="19"/>
  <c r="K87" i="19"/>
  <c r="R122" i="18" s="1"/>
  <c r="S122" i="18" s="1"/>
  <c r="M87" i="19"/>
  <c r="O87" i="19"/>
  <c r="J88" i="19"/>
  <c r="M88" i="19"/>
  <c r="O88" i="19" s="1"/>
  <c r="J89" i="19"/>
  <c r="M89" i="19"/>
  <c r="O89" i="19"/>
  <c r="J90" i="19"/>
  <c r="K90" i="19"/>
  <c r="M90" i="19"/>
  <c r="O90" i="19"/>
  <c r="J91" i="19"/>
  <c r="K91" i="19"/>
  <c r="M91" i="19"/>
  <c r="O91" i="19"/>
  <c r="J92" i="19"/>
  <c r="K92" i="19"/>
  <c r="L92" i="19"/>
  <c r="M92" i="19"/>
  <c r="O92" i="19" s="1"/>
  <c r="J93" i="19"/>
  <c r="M93" i="19"/>
  <c r="O93" i="19"/>
  <c r="J94" i="19"/>
  <c r="M94" i="19"/>
  <c r="O94" i="19"/>
  <c r="J95" i="19"/>
  <c r="K95" i="19"/>
  <c r="M95" i="19"/>
  <c r="O95" i="19"/>
  <c r="J96" i="19"/>
  <c r="L96" i="19"/>
  <c r="J97" i="19"/>
  <c r="J98" i="19"/>
  <c r="J99" i="19"/>
  <c r="J100" i="19"/>
  <c r="J101" i="19"/>
  <c r="J102" i="19"/>
  <c r="J103" i="19"/>
  <c r="J104" i="19"/>
  <c r="J105" i="19"/>
  <c r="J106" i="19"/>
  <c r="J107" i="19"/>
  <c r="M107" i="19"/>
  <c r="O107" i="19"/>
  <c r="J108" i="19"/>
  <c r="M108" i="19"/>
  <c r="O108" i="19" s="1"/>
  <c r="J109" i="19"/>
  <c r="M109" i="19"/>
  <c r="O109" i="19"/>
  <c r="J110" i="19"/>
  <c r="K110" i="19"/>
  <c r="L110" i="19"/>
  <c r="P110" i="19" s="1"/>
  <c r="M110" i="19"/>
  <c r="O110" i="19"/>
  <c r="J111" i="19"/>
  <c r="K111" i="19"/>
  <c r="L111" i="19"/>
  <c r="M111" i="19"/>
  <c r="O111" i="19"/>
  <c r="J112" i="19"/>
  <c r="M112" i="19"/>
  <c r="O112" i="19" s="1"/>
  <c r="J113" i="19"/>
  <c r="K113" i="19"/>
  <c r="L113" i="19"/>
  <c r="J114" i="19"/>
  <c r="K114" i="19"/>
  <c r="L114" i="19"/>
  <c r="J115" i="19"/>
  <c r="K115" i="19"/>
  <c r="L115" i="19"/>
  <c r="J116" i="19"/>
  <c r="K116" i="19"/>
  <c r="L116" i="19"/>
  <c r="M116" i="19"/>
  <c r="O116" i="19" s="1"/>
  <c r="J117" i="19"/>
  <c r="K117" i="19"/>
  <c r="L117" i="19"/>
  <c r="P117" i="19" s="1"/>
  <c r="M117" i="19"/>
  <c r="O117" i="19"/>
  <c r="J118" i="19"/>
  <c r="K118" i="19"/>
  <c r="L118" i="19"/>
  <c r="P118" i="19" s="1"/>
  <c r="M118" i="19"/>
  <c r="O118" i="19"/>
  <c r="J119" i="19"/>
  <c r="K119" i="19"/>
  <c r="R58" i="18" s="1"/>
  <c r="S58" i="18" s="1"/>
  <c r="M119" i="19"/>
  <c r="O119" i="19"/>
  <c r="J120" i="19"/>
  <c r="K120" i="19"/>
  <c r="L120" i="19"/>
  <c r="M120" i="19"/>
  <c r="O120" i="19" s="1"/>
  <c r="J121" i="19"/>
  <c r="K121" i="19"/>
  <c r="L121" i="19"/>
  <c r="M121" i="19"/>
  <c r="O121" i="19"/>
  <c r="P121" i="19"/>
  <c r="J122" i="19"/>
  <c r="M122" i="19"/>
  <c r="O122" i="19"/>
  <c r="J123" i="19"/>
  <c r="K123" i="19"/>
  <c r="M123" i="19"/>
  <c r="O123" i="19"/>
  <c r="J124" i="19"/>
  <c r="M124" i="19"/>
  <c r="O124" i="19" s="1"/>
  <c r="J125" i="19"/>
  <c r="M125" i="19"/>
  <c r="O125" i="19"/>
  <c r="J126" i="19"/>
  <c r="M126" i="19"/>
  <c r="O126" i="19"/>
  <c r="J127" i="19"/>
  <c r="M127" i="19"/>
  <c r="O127" i="19"/>
  <c r="J128" i="19"/>
  <c r="K128" i="19"/>
  <c r="M128" i="19"/>
  <c r="O128" i="19" s="1"/>
  <c r="J129" i="19"/>
  <c r="K129" i="19"/>
  <c r="M129" i="19"/>
  <c r="O129" i="19"/>
  <c r="J130" i="19"/>
  <c r="K130" i="19"/>
  <c r="M130" i="19"/>
  <c r="O130" i="19"/>
  <c r="J131" i="19"/>
  <c r="O131" i="19"/>
  <c r="J132" i="19"/>
  <c r="O132" i="19"/>
  <c r="J133" i="19"/>
  <c r="K133" i="19"/>
  <c r="L133" i="19"/>
  <c r="P133" i="19" s="1"/>
  <c r="O133" i="19"/>
  <c r="J134" i="19"/>
  <c r="O134" i="19"/>
  <c r="J135" i="19"/>
  <c r="K135" i="19"/>
  <c r="L135" i="19"/>
  <c r="P135" i="19" s="1"/>
  <c r="M135" i="19"/>
  <c r="O135" i="19"/>
  <c r="J136" i="19"/>
  <c r="K136" i="19"/>
  <c r="L136" i="19"/>
  <c r="M136" i="19"/>
  <c r="O136" i="19"/>
  <c r="J137" i="19"/>
  <c r="J138" i="19"/>
  <c r="L138" i="19"/>
  <c r="J139" i="19"/>
  <c r="J140" i="19"/>
  <c r="J141" i="19"/>
  <c r="J142" i="19"/>
  <c r="J143" i="19"/>
  <c r="J144" i="19"/>
  <c r="J145" i="19"/>
  <c r="J146" i="19"/>
  <c r="J147" i="19"/>
  <c r="J148" i="19"/>
  <c r="J149" i="19"/>
  <c r="J150" i="19"/>
  <c r="J151" i="19"/>
  <c r="J152" i="19"/>
  <c r="K152" i="19"/>
  <c r="J153" i="19"/>
  <c r="J154" i="19"/>
  <c r="J155" i="19"/>
  <c r="M155" i="19"/>
  <c r="O155" i="19"/>
  <c r="J156" i="19"/>
  <c r="K156" i="19"/>
  <c r="O156" i="19"/>
  <c r="J157" i="19"/>
  <c r="M157" i="19"/>
  <c r="O157" i="19"/>
  <c r="J158" i="19"/>
  <c r="M158" i="19"/>
  <c r="O158" i="19"/>
  <c r="J159" i="19"/>
  <c r="M159" i="19"/>
  <c r="O159" i="19" s="1"/>
  <c r="J160" i="19"/>
  <c r="M160" i="19"/>
  <c r="O160" i="19" s="1"/>
  <c r="J161" i="19"/>
  <c r="M161" i="19"/>
  <c r="O161" i="19"/>
  <c r="J162" i="19"/>
  <c r="M162" i="19"/>
  <c r="O162" i="19" s="1"/>
  <c r="J163" i="19"/>
  <c r="K163" i="19"/>
  <c r="R135" i="18" s="1"/>
  <c r="S135" i="18" s="1"/>
  <c r="M163" i="19"/>
  <c r="O163" i="19" s="1"/>
  <c r="J164" i="19"/>
  <c r="M164" i="19"/>
  <c r="O164" i="19" s="1"/>
  <c r="P164" i="19"/>
  <c r="J165" i="19"/>
  <c r="M165" i="19"/>
  <c r="O165" i="19"/>
  <c r="J166" i="19"/>
  <c r="M166" i="19"/>
  <c r="O166" i="19"/>
  <c r="J167" i="19"/>
  <c r="M167" i="19"/>
  <c r="O167" i="19" s="1"/>
  <c r="J168" i="19"/>
  <c r="M168" i="19"/>
  <c r="O168" i="19" s="1"/>
  <c r="J169" i="19"/>
  <c r="K169" i="19"/>
  <c r="R22" i="18" s="1"/>
  <c r="M169" i="19"/>
  <c r="O169" i="19"/>
  <c r="J170" i="19"/>
  <c r="K170" i="19"/>
  <c r="M170" i="19"/>
  <c r="O170" i="19"/>
  <c r="J171" i="19"/>
  <c r="M171" i="19"/>
  <c r="O171" i="19" s="1"/>
  <c r="J172" i="19"/>
  <c r="M172" i="19"/>
  <c r="O172" i="19" s="1"/>
  <c r="P172" i="19"/>
  <c r="J173" i="19"/>
  <c r="M173" i="19"/>
  <c r="O173" i="19"/>
  <c r="J174" i="19"/>
  <c r="M174" i="19"/>
  <c r="O174" i="19" s="1"/>
  <c r="J175" i="19"/>
  <c r="K175" i="19"/>
  <c r="L175" i="19"/>
  <c r="M175" i="19"/>
  <c r="O175" i="19" s="1"/>
  <c r="P175" i="19" s="1"/>
  <c r="J176" i="19"/>
  <c r="K176" i="19"/>
  <c r="L176" i="19"/>
  <c r="M176" i="19"/>
  <c r="O176" i="19" s="1"/>
  <c r="P176" i="19"/>
  <c r="J177" i="19"/>
  <c r="K177" i="19"/>
  <c r="L177" i="19"/>
  <c r="P177" i="19" s="1"/>
  <c r="M177" i="19"/>
  <c r="O177" i="19"/>
  <c r="J178" i="19"/>
  <c r="M178" i="19"/>
  <c r="O178" i="19"/>
  <c r="J179" i="19"/>
  <c r="M179" i="19"/>
  <c r="O179" i="19" s="1"/>
  <c r="J180" i="19"/>
  <c r="J181" i="19"/>
  <c r="L181" i="19"/>
  <c r="J182" i="19"/>
  <c r="K182" i="19"/>
  <c r="R71" i="18" s="1"/>
  <c r="J183" i="19"/>
  <c r="J184" i="19"/>
  <c r="J185" i="19"/>
  <c r="J186" i="19"/>
  <c r="J187" i="19"/>
  <c r="J188" i="19"/>
  <c r="J189" i="19"/>
  <c r="L189" i="19"/>
  <c r="J190" i="19"/>
  <c r="J191" i="19"/>
  <c r="J192" i="19"/>
  <c r="K192" i="19"/>
  <c r="M192" i="19"/>
  <c r="O192" i="19" s="1"/>
  <c r="J193" i="19"/>
  <c r="K193" i="19"/>
  <c r="L193" i="19"/>
  <c r="P193" i="19" s="1"/>
  <c r="M193" i="19"/>
  <c r="O193" i="19"/>
  <c r="J194" i="19"/>
  <c r="K194" i="19"/>
  <c r="L194" i="19"/>
  <c r="M194" i="19"/>
  <c r="O194" i="19"/>
  <c r="J195" i="19"/>
  <c r="K195" i="19"/>
  <c r="L195" i="19"/>
  <c r="M195" i="19"/>
  <c r="O195" i="19" s="1"/>
  <c r="P195" i="19"/>
  <c r="J196" i="19"/>
  <c r="K196" i="19"/>
  <c r="L196" i="19"/>
  <c r="M196" i="19"/>
  <c r="O196" i="19" s="1"/>
  <c r="P196" i="19"/>
  <c r="J197" i="19"/>
  <c r="M197" i="19"/>
  <c r="O197" i="19"/>
  <c r="J198" i="19"/>
  <c r="M198" i="19"/>
  <c r="O198" i="19" s="1"/>
  <c r="J199" i="19"/>
  <c r="M199" i="19"/>
  <c r="O199" i="19" s="1"/>
  <c r="J200" i="19"/>
  <c r="M200" i="19"/>
  <c r="O200" i="19" s="1"/>
  <c r="J201" i="19"/>
  <c r="M201" i="19"/>
  <c r="O201" i="19"/>
  <c r="J202" i="19"/>
  <c r="M202" i="19"/>
  <c r="O202" i="19"/>
  <c r="J203" i="19"/>
  <c r="K203" i="19"/>
  <c r="M203" i="19"/>
  <c r="O203" i="19" s="1"/>
  <c r="J204" i="19"/>
  <c r="M204" i="19"/>
  <c r="O204" i="19" s="1"/>
  <c r="J205" i="19"/>
  <c r="M205" i="19"/>
  <c r="O205" i="19"/>
  <c r="J206" i="19"/>
  <c r="M206" i="19"/>
  <c r="O206" i="19"/>
  <c r="J207" i="19"/>
  <c r="M207" i="19"/>
  <c r="O207" i="19" s="1"/>
  <c r="J208" i="19"/>
  <c r="K208" i="19"/>
  <c r="L208" i="19"/>
  <c r="M208" i="19"/>
  <c r="O208" i="19" s="1"/>
  <c r="P208" i="19" s="1"/>
  <c r="J209" i="19"/>
  <c r="K209" i="19"/>
  <c r="L209" i="19"/>
  <c r="P209" i="19" s="1"/>
  <c r="M209" i="19"/>
  <c r="O209" i="19"/>
  <c r="J210" i="19"/>
  <c r="M210" i="19"/>
  <c r="O210" i="19" s="1"/>
  <c r="J211" i="19"/>
  <c r="M211" i="19"/>
  <c r="O211" i="19" s="1"/>
  <c r="J212" i="19"/>
  <c r="M212" i="19"/>
  <c r="O212" i="19" s="1"/>
  <c r="J213" i="19"/>
  <c r="L213" i="19"/>
  <c r="J214" i="19"/>
  <c r="J215" i="19"/>
  <c r="J216" i="19"/>
  <c r="J217" i="19"/>
  <c r="J218" i="19"/>
  <c r="J219" i="19"/>
  <c r="K219" i="19"/>
  <c r="L219" i="19"/>
  <c r="J220" i="19"/>
  <c r="J221" i="19"/>
  <c r="J222" i="19"/>
  <c r="J223" i="19"/>
  <c r="K223" i="19"/>
  <c r="L223" i="19"/>
  <c r="M223" i="19"/>
  <c r="O223" i="19" s="1"/>
  <c r="J224" i="19"/>
  <c r="K224" i="19"/>
  <c r="L224" i="19"/>
  <c r="M224" i="19"/>
  <c r="O224" i="19"/>
  <c r="P224" i="19" s="1"/>
  <c r="J225" i="19"/>
  <c r="K225" i="19"/>
  <c r="L225" i="19"/>
  <c r="P225" i="19" s="1"/>
  <c r="M225" i="19"/>
  <c r="O225" i="19" s="1"/>
  <c r="J226" i="19"/>
  <c r="K226" i="19"/>
  <c r="L226" i="19"/>
  <c r="M226" i="19"/>
  <c r="O226" i="19"/>
  <c r="P226" i="19"/>
  <c r="J227" i="19"/>
  <c r="K227" i="19"/>
  <c r="L227" i="19"/>
  <c r="P227" i="19" s="1"/>
  <c r="M227" i="19"/>
  <c r="O227" i="19"/>
  <c r="J228" i="19"/>
  <c r="K228" i="19"/>
  <c r="L228" i="19"/>
  <c r="M228" i="19"/>
  <c r="O228" i="19"/>
  <c r="P228" i="19" s="1"/>
  <c r="J229" i="19"/>
  <c r="K229" i="19"/>
  <c r="L229" i="19"/>
  <c r="M229" i="19"/>
  <c r="O229" i="19" s="1"/>
  <c r="J230" i="19"/>
  <c r="K230" i="19"/>
  <c r="L230" i="19"/>
  <c r="P230" i="19" s="1"/>
  <c r="M230" i="19"/>
  <c r="O230" i="19"/>
  <c r="J231" i="19"/>
  <c r="K231" i="19"/>
  <c r="L231" i="19"/>
  <c r="M231" i="19"/>
  <c r="O231" i="19"/>
  <c r="J232" i="19"/>
  <c r="K232" i="19"/>
  <c r="L232" i="19"/>
  <c r="M232" i="19"/>
  <c r="O232" i="19"/>
  <c r="P232" i="19" s="1"/>
  <c r="J233" i="19"/>
  <c r="J234" i="19"/>
  <c r="J235" i="19"/>
  <c r="J236" i="19"/>
  <c r="J237" i="19"/>
  <c r="J238" i="19"/>
  <c r="J239" i="19"/>
  <c r="J240" i="19"/>
  <c r="J241" i="19"/>
  <c r="J242" i="19"/>
  <c r="J243" i="19"/>
  <c r="J244" i="19"/>
  <c r="J245" i="19"/>
  <c r="J246" i="19"/>
  <c r="J247" i="19"/>
  <c r="J248" i="19"/>
  <c r="J249" i="19"/>
  <c r="J250" i="19"/>
  <c r="J251" i="19"/>
  <c r="M251" i="19"/>
  <c r="O251" i="19"/>
  <c r="J252" i="19"/>
  <c r="M252" i="19"/>
  <c r="O252" i="19"/>
  <c r="J253" i="19"/>
  <c r="M253" i="19"/>
  <c r="O253" i="19" s="1"/>
  <c r="J254" i="19"/>
  <c r="M254" i="19"/>
  <c r="O254" i="19" s="1"/>
  <c r="J255" i="19"/>
  <c r="M255" i="19"/>
  <c r="O255" i="19"/>
  <c r="J256" i="19"/>
  <c r="K256" i="19"/>
  <c r="L256" i="19"/>
  <c r="M256" i="19"/>
  <c r="O256" i="19" s="1"/>
  <c r="P256" i="19" s="1"/>
  <c r="J257" i="19"/>
  <c r="K257" i="19"/>
  <c r="L257" i="19"/>
  <c r="P257" i="19" s="1"/>
  <c r="M257" i="19"/>
  <c r="O257" i="19" s="1"/>
  <c r="J258" i="19"/>
  <c r="K258" i="19"/>
  <c r="L258" i="19"/>
  <c r="P258" i="19" s="1"/>
  <c r="M258" i="19"/>
  <c r="O258" i="19"/>
  <c r="J259" i="19"/>
  <c r="K259" i="19"/>
  <c r="L259" i="19"/>
  <c r="M259" i="19"/>
  <c r="O259" i="19"/>
  <c r="J260" i="19"/>
  <c r="K260" i="19"/>
  <c r="L260" i="19"/>
  <c r="M260" i="19"/>
  <c r="O260" i="19" s="1"/>
  <c r="P260" i="19" s="1"/>
  <c r="J261" i="19"/>
  <c r="K261" i="19"/>
  <c r="L261" i="19"/>
  <c r="M261" i="19"/>
  <c r="O261" i="19" s="1"/>
  <c r="P261" i="19"/>
  <c r="J262" i="19"/>
  <c r="K262" i="19"/>
  <c r="L262" i="19"/>
  <c r="M262" i="19"/>
  <c r="O262" i="19"/>
  <c r="J263" i="19"/>
  <c r="K263" i="19"/>
  <c r="L263" i="19"/>
  <c r="M263" i="19"/>
  <c r="O263" i="19"/>
  <c r="P263" i="19"/>
  <c r="J264" i="19"/>
  <c r="K264" i="19"/>
  <c r="L264" i="19"/>
  <c r="M264" i="19"/>
  <c r="O264" i="19" s="1"/>
  <c r="P264" i="19" s="1"/>
  <c r="J265" i="19"/>
  <c r="K265" i="19"/>
  <c r="J266" i="19"/>
  <c r="K266" i="19"/>
  <c r="J267" i="19"/>
  <c r="J268" i="19"/>
  <c r="J269" i="19"/>
  <c r="J270" i="19"/>
  <c r="J271" i="19"/>
  <c r="J272" i="19"/>
  <c r="J273" i="19"/>
  <c r="K273" i="19"/>
  <c r="R68" i="18" s="1"/>
  <c r="J274" i="19"/>
  <c r="K274" i="19"/>
  <c r="L274" i="19"/>
  <c r="J275" i="19"/>
  <c r="K275" i="19"/>
  <c r="R97" i="18" s="1"/>
  <c r="S97" i="18" s="1"/>
  <c r="J276" i="19"/>
  <c r="J277" i="19"/>
  <c r="J278" i="19"/>
  <c r="J279" i="19"/>
  <c r="J280" i="19"/>
  <c r="M280" i="19"/>
  <c r="O280" i="19"/>
  <c r="J281" i="19"/>
  <c r="M281" i="19"/>
  <c r="O281" i="19" s="1"/>
  <c r="J282" i="19"/>
  <c r="M282" i="19"/>
  <c r="O282" i="19"/>
  <c r="J283" i="19"/>
  <c r="M283" i="19"/>
  <c r="O283" i="19"/>
  <c r="J284" i="19"/>
  <c r="M284" i="19"/>
  <c r="O284" i="19" s="1"/>
  <c r="J285" i="19"/>
  <c r="M285" i="19"/>
  <c r="O285" i="19" s="1"/>
  <c r="J286" i="19"/>
  <c r="M286" i="19"/>
  <c r="O286" i="19"/>
  <c r="J287" i="19"/>
  <c r="L287" i="19"/>
  <c r="P287" i="19" s="1"/>
  <c r="M287" i="19"/>
  <c r="O287" i="19"/>
  <c r="J288" i="19"/>
  <c r="K288" i="19"/>
  <c r="R100" i="18" s="1"/>
  <c r="M288" i="19"/>
  <c r="O288" i="19"/>
  <c r="J289" i="19"/>
  <c r="M289" i="19"/>
  <c r="O289" i="19" s="1"/>
  <c r="J290" i="19"/>
  <c r="M290" i="19"/>
  <c r="O290" i="19"/>
  <c r="J291" i="19"/>
  <c r="M291" i="19"/>
  <c r="O291" i="19"/>
  <c r="J292" i="19"/>
  <c r="M292" i="19"/>
  <c r="O292" i="19" s="1"/>
  <c r="J293" i="19"/>
  <c r="K293" i="19"/>
  <c r="L293" i="19"/>
  <c r="O293" i="19"/>
  <c r="J294" i="19"/>
  <c r="K294" i="19"/>
  <c r="L294" i="19"/>
  <c r="O294" i="19"/>
  <c r="P294" i="19"/>
  <c r="J295" i="19"/>
  <c r="K295" i="19"/>
  <c r="L295" i="19"/>
  <c r="O295" i="19"/>
  <c r="P295" i="19" s="1"/>
  <c r="J296" i="19"/>
  <c r="K296" i="19"/>
  <c r="L296" i="19"/>
  <c r="O296" i="19"/>
  <c r="J297" i="19"/>
  <c r="K297" i="19"/>
  <c r="L297" i="19"/>
  <c r="O297" i="19"/>
  <c r="P297" i="19"/>
  <c r="J298" i="19"/>
  <c r="K298" i="19"/>
  <c r="L298" i="19"/>
  <c r="O298" i="19"/>
  <c r="P298" i="19"/>
  <c r="J299" i="19"/>
  <c r="K299" i="19"/>
  <c r="L299" i="19"/>
  <c r="O299" i="19"/>
  <c r="P299" i="19"/>
  <c r="J300" i="19"/>
  <c r="K300" i="19"/>
  <c r="L300" i="19"/>
  <c r="P300" i="19" s="1"/>
  <c r="O300" i="19"/>
  <c r="J301" i="19"/>
  <c r="K301" i="19"/>
  <c r="L301" i="19"/>
  <c r="O301" i="19"/>
  <c r="J302" i="19"/>
  <c r="M302" i="19"/>
  <c r="O302" i="19" s="1"/>
  <c r="J303" i="19"/>
  <c r="K303" i="19"/>
  <c r="M303" i="19"/>
  <c r="O303" i="19" s="1"/>
  <c r="J304" i="19"/>
  <c r="L304" i="19"/>
  <c r="M304" i="19"/>
  <c r="O304" i="19"/>
  <c r="J305" i="19"/>
  <c r="M305" i="19"/>
  <c r="O305" i="19"/>
  <c r="J306" i="19"/>
  <c r="M306" i="19"/>
  <c r="O306" i="19" s="1"/>
  <c r="J307" i="19"/>
  <c r="M307" i="19"/>
  <c r="O307" i="19" s="1"/>
  <c r="J308" i="19"/>
  <c r="K308" i="19"/>
  <c r="L308" i="19"/>
  <c r="M308" i="19"/>
  <c r="O308" i="19"/>
  <c r="P308" i="19" s="1"/>
  <c r="J309" i="19"/>
  <c r="L309" i="19"/>
  <c r="M309" i="19"/>
  <c r="O309" i="19" s="1"/>
  <c r="J310" i="19"/>
  <c r="K310" i="19"/>
  <c r="R140" i="18" s="1"/>
  <c r="M310" i="19"/>
  <c r="O310" i="19"/>
  <c r="J311" i="19"/>
  <c r="M311" i="19"/>
  <c r="O311" i="19" s="1"/>
  <c r="J312" i="19"/>
  <c r="K312" i="19"/>
  <c r="M312" i="19"/>
  <c r="O312" i="19"/>
  <c r="J313" i="19"/>
  <c r="M313" i="19"/>
  <c r="O313" i="19"/>
  <c r="J314" i="19"/>
  <c r="M314" i="19"/>
  <c r="O314" i="19" s="1"/>
  <c r="J315" i="19"/>
  <c r="K315" i="19"/>
  <c r="L315" i="19"/>
  <c r="M315" i="19"/>
  <c r="O315" i="19" s="1"/>
  <c r="P315" i="19"/>
  <c r="J316" i="19"/>
  <c r="K316" i="19"/>
  <c r="L316" i="19"/>
  <c r="M316" i="19"/>
  <c r="O316" i="19"/>
  <c r="P316" i="19"/>
  <c r="J317" i="19"/>
  <c r="K317" i="19"/>
  <c r="L317" i="19"/>
  <c r="P317" i="19" s="1"/>
  <c r="M317" i="19"/>
  <c r="O317" i="19"/>
  <c r="J318" i="19"/>
  <c r="K318" i="19"/>
  <c r="L318" i="19"/>
  <c r="M318" i="19"/>
  <c r="O318" i="19"/>
  <c r="P318" i="19" s="1"/>
  <c r="J319" i="19"/>
  <c r="M319" i="19"/>
  <c r="O319" i="19" s="1"/>
  <c r="J320" i="19"/>
  <c r="M320" i="19"/>
  <c r="O320" i="19"/>
  <c r="J321" i="19"/>
  <c r="K321" i="19"/>
  <c r="L321" i="19"/>
  <c r="O321" i="19"/>
  <c r="P321" i="19"/>
  <c r="J322" i="19"/>
  <c r="K322" i="19"/>
  <c r="L322" i="19"/>
  <c r="P322" i="19" s="1"/>
  <c r="O322" i="19"/>
  <c r="J323" i="19"/>
  <c r="K323" i="19"/>
  <c r="L323" i="19"/>
  <c r="P323" i="19" s="1"/>
  <c r="O323" i="19"/>
  <c r="J324" i="19"/>
  <c r="K324" i="19"/>
  <c r="L324" i="19"/>
  <c r="O324" i="19"/>
  <c r="P324" i="19" s="1"/>
  <c r="J325" i="19"/>
  <c r="K325" i="19"/>
  <c r="L325" i="19"/>
  <c r="O325" i="19"/>
  <c r="J326" i="19"/>
  <c r="K326" i="19"/>
  <c r="L326" i="19"/>
  <c r="P326" i="19" s="1"/>
  <c r="O326" i="19"/>
  <c r="J327" i="19"/>
  <c r="M327" i="19"/>
  <c r="O327" i="19"/>
  <c r="J328" i="19"/>
  <c r="K328" i="19"/>
  <c r="L328" i="19"/>
  <c r="M328" i="19"/>
  <c r="O328" i="19" s="1"/>
  <c r="P328" i="19" s="1"/>
  <c r="J329" i="19"/>
  <c r="K329" i="19"/>
  <c r="R16" i="18" s="1"/>
  <c r="M329" i="19"/>
  <c r="O329" i="19"/>
  <c r="J330" i="19"/>
  <c r="M330" i="19"/>
  <c r="O330" i="19"/>
  <c r="J331" i="19"/>
  <c r="K331" i="19"/>
  <c r="R116" i="18" s="1"/>
  <c r="M331" i="19"/>
  <c r="O331" i="19"/>
  <c r="J2" i="18"/>
  <c r="K2" i="18"/>
  <c r="L2" i="18"/>
  <c r="M2" i="18"/>
  <c r="O2" i="18"/>
  <c r="K5" i="19" s="1"/>
  <c r="P2" i="18"/>
  <c r="Q2" i="18"/>
  <c r="V2" i="18"/>
  <c r="X2" i="18"/>
  <c r="AD2" i="18"/>
  <c r="J3" i="18"/>
  <c r="K3" i="18"/>
  <c r="P3" i="18" s="1"/>
  <c r="L35" i="19" s="1"/>
  <c r="L3" i="18"/>
  <c r="M3" i="18"/>
  <c r="N3" i="18"/>
  <c r="O3" i="18"/>
  <c r="Q3" i="18"/>
  <c r="R3" i="18"/>
  <c r="S3" i="18" s="1"/>
  <c r="U3" i="18"/>
  <c r="V3" i="18"/>
  <c r="W3" i="18"/>
  <c r="AD3" i="18"/>
  <c r="J4" i="18"/>
  <c r="O4" i="18" s="1"/>
  <c r="K36" i="19" s="1"/>
  <c r="R4" i="18" s="1"/>
  <c r="K4" i="18"/>
  <c r="L4" i="18"/>
  <c r="M4" i="18"/>
  <c r="N4" i="18"/>
  <c r="Q4" i="18"/>
  <c r="U4" i="18"/>
  <c r="AD4" i="18"/>
  <c r="J5" i="18"/>
  <c r="O5" i="18" s="1"/>
  <c r="K37" i="19" s="1"/>
  <c r="R5" i="18" s="1"/>
  <c r="S5" i="18" s="1"/>
  <c r="K5" i="18"/>
  <c r="L5" i="18"/>
  <c r="P5" i="18"/>
  <c r="T5" i="18" s="1"/>
  <c r="Q5" i="18"/>
  <c r="U5" i="18"/>
  <c r="W5" i="18"/>
  <c r="AD5" i="18"/>
  <c r="J6" i="18"/>
  <c r="K6" i="18"/>
  <c r="L6" i="18"/>
  <c r="N6" i="18"/>
  <c r="Q6" i="18"/>
  <c r="V6" i="18"/>
  <c r="W6" i="18"/>
  <c r="AD6" i="18"/>
  <c r="J7" i="18"/>
  <c r="K7" i="18"/>
  <c r="W7" i="18" s="1"/>
  <c r="L7" i="18"/>
  <c r="N7" i="18"/>
  <c r="P7" i="18"/>
  <c r="Q7" i="18"/>
  <c r="U7" i="18"/>
  <c r="V7" i="18"/>
  <c r="Y7" i="18" s="1"/>
  <c r="X7" i="18"/>
  <c r="AD7" i="18"/>
  <c r="J8" i="18"/>
  <c r="M8" i="18" s="1"/>
  <c r="K8" i="18"/>
  <c r="L8" i="18"/>
  <c r="N8" i="18"/>
  <c r="O8" i="18"/>
  <c r="K38" i="19" s="1"/>
  <c r="R8" i="18" s="1"/>
  <c r="P8" i="18"/>
  <c r="L38" i="19" s="1"/>
  <c r="Q8" i="18"/>
  <c r="U8" i="18"/>
  <c r="V8" i="18"/>
  <c r="W8" i="18"/>
  <c r="X8" i="18"/>
  <c r="AD8" i="18"/>
  <c r="J9" i="18"/>
  <c r="K9" i="18"/>
  <c r="L9" i="18"/>
  <c r="M9" i="18"/>
  <c r="O9" i="18"/>
  <c r="K153" i="19" s="1"/>
  <c r="R9" i="18" s="1"/>
  <c r="Q9" i="18"/>
  <c r="V9" i="18"/>
  <c r="AD9" i="18"/>
  <c r="J10" i="18"/>
  <c r="K10" i="18"/>
  <c r="Q10" i="18"/>
  <c r="R10" i="18"/>
  <c r="V10" i="18"/>
  <c r="J11" i="18"/>
  <c r="K11" i="18"/>
  <c r="P11" i="18"/>
  <c r="Q11" i="18"/>
  <c r="R11" i="18"/>
  <c r="S11" i="18"/>
  <c r="V11" i="18"/>
  <c r="X11" i="18"/>
  <c r="J12" i="18"/>
  <c r="K12" i="18"/>
  <c r="Q12" i="18"/>
  <c r="R12" i="18"/>
  <c r="S12" i="18" s="1"/>
  <c r="V12" i="18"/>
  <c r="W12" i="18"/>
  <c r="J13" i="18"/>
  <c r="K13" i="18"/>
  <c r="W13" i="18" s="1"/>
  <c r="P13" i="18"/>
  <c r="Q13" i="18"/>
  <c r="R13" i="18"/>
  <c r="U13" i="18"/>
  <c r="V13" i="18"/>
  <c r="X13" i="18"/>
  <c r="J14" i="18"/>
  <c r="K14" i="18"/>
  <c r="Q14" i="18"/>
  <c r="R14" i="18"/>
  <c r="S14" i="18"/>
  <c r="W14" i="18"/>
  <c r="J15" i="18"/>
  <c r="K15" i="18"/>
  <c r="Q15" i="18"/>
  <c r="R15" i="18"/>
  <c r="V15" i="18"/>
  <c r="X15" i="18"/>
  <c r="J16" i="18"/>
  <c r="K16" i="18"/>
  <c r="Q16" i="18"/>
  <c r="J17" i="18"/>
  <c r="K17" i="18"/>
  <c r="Q17" i="18"/>
  <c r="R17" i="18"/>
  <c r="J18" i="18"/>
  <c r="K18" i="18"/>
  <c r="Q18" i="18"/>
  <c r="R18" i="18"/>
  <c r="S18" i="18"/>
  <c r="V18" i="18"/>
  <c r="W18" i="18"/>
  <c r="J19" i="18"/>
  <c r="K19" i="18"/>
  <c r="Q19" i="18"/>
  <c r="R19" i="18"/>
  <c r="U19" i="18"/>
  <c r="X19" i="18"/>
  <c r="J20" i="18"/>
  <c r="K20" i="18"/>
  <c r="Q20" i="18"/>
  <c r="R20" i="18"/>
  <c r="S20" i="18" s="1"/>
  <c r="W20" i="18"/>
  <c r="J21" i="18"/>
  <c r="K21" i="18"/>
  <c r="V21" i="18" s="1"/>
  <c r="P21" i="18"/>
  <c r="Q21" i="18"/>
  <c r="R21" i="18"/>
  <c r="S21" i="18"/>
  <c r="U21" i="18"/>
  <c r="W21" i="18"/>
  <c r="X21" i="18"/>
  <c r="J22" i="18"/>
  <c r="K22" i="18"/>
  <c r="Q22" i="18"/>
  <c r="S22" i="18"/>
  <c r="V22" i="18"/>
  <c r="J23" i="18"/>
  <c r="K23" i="18"/>
  <c r="P23" i="18"/>
  <c r="Q23" i="18"/>
  <c r="R23" i="18"/>
  <c r="S23" i="18"/>
  <c r="U23" i="18"/>
  <c r="V23" i="18"/>
  <c r="W23" i="18"/>
  <c r="X23" i="18"/>
  <c r="J24" i="18"/>
  <c r="K24" i="18"/>
  <c r="Q24" i="18"/>
  <c r="R24" i="18"/>
  <c r="V24" i="18"/>
  <c r="J25" i="18"/>
  <c r="K25" i="18"/>
  <c r="U25" i="18" s="1"/>
  <c r="Y25" i="18" s="1"/>
  <c r="P25" i="18"/>
  <c r="Q25" i="18"/>
  <c r="R25" i="18"/>
  <c r="S25" i="18"/>
  <c r="V25" i="18"/>
  <c r="W25" i="18"/>
  <c r="X25" i="18"/>
  <c r="J26" i="18"/>
  <c r="K26" i="18"/>
  <c r="Q26" i="18"/>
  <c r="R26" i="18"/>
  <c r="V26" i="18"/>
  <c r="J27" i="18"/>
  <c r="K27" i="18"/>
  <c r="S27" i="18" s="1"/>
  <c r="P27" i="18"/>
  <c r="Q27" i="18"/>
  <c r="R27" i="18"/>
  <c r="V27" i="18"/>
  <c r="X27" i="18"/>
  <c r="J28" i="18"/>
  <c r="K28" i="18"/>
  <c r="Q28" i="18"/>
  <c r="R28" i="18"/>
  <c r="S28" i="18" s="1"/>
  <c r="V28" i="18"/>
  <c r="W28" i="18"/>
  <c r="J29" i="18"/>
  <c r="K29" i="18"/>
  <c r="W29" i="18" s="1"/>
  <c r="P29" i="18"/>
  <c r="Q29" i="18"/>
  <c r="R29" i="18"/>
  <c r="U29" i="18"/>
  <c r="V29" i="18"/>
  <c r="X29" i="18"/>
  <c r="J30" i="18"/>
  <c r="K30" i="18"/>
  <c r="Q30" i="18"/>
  <c r="R30" i="18"/>
  <c r="S30" i="18"/>
  <c r="W30" i="18"/>
  <c r="J31" i="18"/>
  <c r="K31" i="18"/>
  <c r="V31" i="18" s="1"/>
  <c r="Q31" i="18"/>
  <c r="R31" i="18"/>
  <c r="J32" i="18"/>
  <c r="K32" i="18"/>
  <c r="Q32" i="18"/>
  <c r="R32" i="18"/>
  <c r="J33" i="18"/>
  <c r="K33" i="18"/>
  <c r="Q33" i="18"/>
  <c r="R33" i="18"/>
  <c r="U33" i="18"/>
  <c r="W33" i="18"/>
  <c r="X33" i="18"/>
  <c r="J34" i="18"/>
  <c r="K34" i="18"/>
  <c r="Q34" i="18"/>
  <c r="R34" i="18"/>
  <c r="S34" i="18"/>
  <c r="V34" i="18"/>
  <c r="W34" i="18"/>
  <c r="J35" i="18"/>
  <c r="K35" i="18"/>
  <c r="Q35" i="18"/>
  <c r="R35" i="18"/>
  <c r="U35" i="18"/>
  <c r="X35" i="18"/>
  <c r="J36" i="18"/>
  <c r="K36" i="18"/>
  <c r="Q36" i="18"/>
  <c r="J37" i="18"/>
  <c r="K37" i="18"/>
  <c r="V37" i="18" s="1"/>
  <c r="P37" i="18"/>
  <c r="Q37" i="18"/>
  <c r="R37" i="18"/>
  <c r="S37" i="18"/>
  <c r="U37" i="18"/>
  <c r="W37" i="18"/>
  <c r="X37" i="18"/>
  <c r="J38" i="18"/>
  <c r="K38" i="18"/>
  <c r="S38" i="18" s="1"/>
  <c r="Q38" i="18"/>
  <c r="R38" i="18"/>
  <c r="J39" i="18"/>
  <c r="K39" i="18"/>
  <c r="P39" i="18"/>
  <c r="T39" i="18" s="1"/>
  <c r="Q39" i="18"/>
  <c r="R39" i="18"/>
  <c r="S39" i="18"/>
  <c r="U39" i="18"/>
  <c r="V39" i="18"/>
  <c r="W39" i="18"/>
  <c r="X39" i="18"/>
  <c r="J40" i="18"/>
  <c r="K40" i="18"/>
  <c r="Q40" i="18"/>
  <c r="R40" i="18"/>
  <c r="J41" i="18"/>
  <c r="K41" i="18"/>
  <c r="L41" i="18"/>
  <c r="N41" i="18"/>
  <c r="Q41" i="18"/>
  <c r="V41" i="18"/>
  <c r="W41" i="18"/>
  <c r="AD41" i="18"/>
  <c r="J42" i="18"/>
  <c r="O42" i="18" s="1"/>
  <c r="K50" i="19" s="1"/>
  <c r="K42" i="18"/>
  <c r="W42" i="18" s="1"/>
  <c r="L42" i="18"/>
  <c r="N42" i="18"/>
  <c r="P42" i="18"/>
  <c r="Q42" i="18"/>
  <c r="R42" i="18"/>
  <c r="S42" i="18" s="1"/>
  <c r="U42" i="18"/>
  <c r="V42" i="18"/>
  <c r="Y42" i="18" s="1"/>
  <c r="X42" i="18"/>
  <c r="AD42" i="18"/>
  <c r="J43" i="18"/>
  <c r="M43" i="18" s="1"/>
  <c r="K43" i="18"/>
  <c r="L43" i="18"/>
  <c r="N43" i="18"/>
  <c r="O43" i="18"/>
  <c r="K49" i="19" s="1"/>
  <c r="R43" i="18" s="1"/>
  <c r="P43" i="18"/>
  <c r="L49" i="19" s="1"/>
  <c r="Q43" i="18"/>
  <c r="U43" i="18"/>
  <c r="Y43" i="18" s="1"/>
  <c r="V43" i="18"/>
  <c r="W43" i="18"/>
  <c r="X43" i="18"/>
  <c r="AD43" i="18"/>
  <c r="J44" i="18"/>
  <c r="K44" i="18"/>
  <c r="L44" i="18"/>
  <c r="M44" i="18"/>
  <c r="O44" i="18"/>
  <c r="K59" i="19" s="1"/>
  <c r="R44" i="18" s="1"/>
  <c r="Q44" i="18"/>
  <c r="V44" i="18"/>
  <c r="AD44" i="18"/>
  <c r="J45" i="18"/>
  <c r="O45" i="18" s="1"/>
  <c r="K51" i="19" s="1"/>
  <c r="R45" i="18" s="1"/>
  <c r="S45" i="18" s="1"/>
  <c r="K45" i="18"/>
  <c r="N45" i="18" s="1"/>
  <c r="L45" i="18"/>
  <c r="M45" i="18"/>
  <c r="P45" i="18"/>
  <c r="Q45" i="18"/>
  <c r="U45" i="18"/>
  <c r="V45" i="18"/>
  <c r="X45" i="18"/>
  <c r="AD45" i="18"/>
  <c r="J46" i="18"/>
  <c r="O46" i="18" s="1"/>
  <c r="K53" i="19" s="1"/>
  <c r="R46" i="18" s="1"/>
  <c r="S46" i="18" s="1"/>
  <c r="K46" i="18"/>
  <c r="P46" i="18" s="1"/>
  <c r="L46" i="18"/>
  <c r="M46" i="18"/>
  <c r="N46" i="18"/>
  <c r="Q46" i="18"/>
  <c r="U46" i="18"/>
  <c r="V46" i="18"/>
  <c r="W46" i="18"/>
  <c r="AD46" i="18"/>
  <c r="J47" i="18"/>
  <c r="O47" i="18" s="1"/>
  <c r="K57" i="19" s="1"/>
  <c r="R47" i="18" s="1"/>
  <c r="K47" i="18"/>
  <c r="L47" i="18"/>
  <c r="M47" i="18"/>
  <c r="P47" i="18"/>
  <c r="Q47" i="18"/>
  <c r="U47" i="18"/>
  <c r="X47" i="18"/>
  <c r="AD47" i="18"/>
  <c r="J48" i="18"/>
  <c r="O48" i="18" s="1"/>
  <c r="K58" i="19" s="1"/>
  <c r="K48" i="18"/>
  <c r="L48" i="18"/>
  <c r="M48" i="18"/>
  <c r="P48" i="18"/>
  <c r="Q48" i="18"/>
  <c r="R48" i="18"/>
  <c r="S48" i="18" s="1"/>
  <c r="U48" i="18"/>
  <c r="W48" i="18"/>
  <c r="X48" i="18"/>
  <c r="AD48" i="18"/>
  <c r="J49" i="18"/>
  <c r="M49" i="18" s="1"/>
  <c r="K49" i="18"/>
  <c r="L49" i="18"/>
  <c r="O49" i="18"/>
  <c r="K269" i="19" s="1"/>
  <c r="R49" i="18" s="1"/>
  <c r="Q49" i="18"/>
  <c r="V49" i="18"/>
  <c r="W49" i="18"/>
  <c r="AD49" i="18"/>
  <c r="J50" i="18"/>
  <c r="K50" i="18"/>
  <c r="W50" i="18" s="1"/>
  <c r="L50" i="18"/>
  <c r="N50" i="18"/>
  <c r="P50" i="18"/>
  <c r="Q50" i="18"/>
  <c r="U50" i="18"/>
  <c r="V50" i="18"/>
  <c r="Y50" i="18" s="1"/>
  <c r="X50" i="18"/>
  <c r="AD50" i="18"/>
  <c r="J51" i="18"/>
  <c r="K51" i="18"/>
  <c r="L51" i="18"/>
  <c r="M51" i="18"/>
  <c r="N51" i="18"/>
  <c r="O51" i="18"/>
  <c r="K267" i="19" s="1"/>
  <c r="R51" i="18" s="1"/>
  <c r="S51" i="18" s="1"/>
  <c r="P51" i="18"/>
  <c r="Q51" i="18"/>
  <c r="U51" i="18"/>
  <c r="V51" i="18"/>
  <c r="W51" i="18"/>
  <c r="X51" i="18"/>
  <c r="Y51" i="18"/>
  <c r="AD51" i="18"/>
  <c r="J52" i="18"/>
  <c r="K52" i="18"/>
  <c r="U52" i="18" s="1"/>
  <c r="L52" i="18"/>
  <c r="M52" i="18"/>
  <c r="N52" i="18"/>
  <c r="O52" i="18"/>
  <c r="K268" i="19" s="1"/>
  <c r="R52" i="18" s="1"/>
  <c r="P52" i="18"/>
  <c r="Q52" i="18"/>
  <c r="V52" i="18"/>
  <c r="X52" i="18"/>
  <c r="AD52" i="18"/>
  <c r="J53" i="18"/>
  <c r="O53" i="18" s="1"/>
  <c r="K180" i="19" s="1"/>
  <c r="K53" i="18"/>
  <c r="L53" i="18"/>
  <c r="M53" i="18"/>
  <c r="N53" i="18"/>
  <c r="P53" i="18"/>
  <c r="Q53" i="18"/>
  <c r="R53" i="18"/>
  <c r="S53" i="18" s="1"/>
  <c r="U53" i="18"/>
  <c r="V53" i="18"/>
  <c r="W53" i="18"/>
  <c r="X53" i="18"/>
  <c r="AD53" i="18"/>
  <c r="J54" i="18"/>
  <c r="O54" i="18" s="1"/>
  <c r="K107" i="19" s="1"/>
  <c r="R54" i="18" s="1"/>
  <c r="K54" i="18"/>
  <c r="L54" i="18"/>
  <c r="M54" i="18"/>
  <c r="N54" i="18"/>
  <c r="P54" i="18"/>
  <c r="L107" i="19" s="1"/>
  <c r="P107" i="19" s="1"/>
  <c r="Q54" i="18"/>
  <c r="U54" i="18"/>
  <c r="V54" i="18"/>
  <c r="Y54" i="18" s="1"/>
  <c r="W54" i="18"/>
  <c r="X54" i="18"/>
  <c r="AD54" i="18"/>
  <c r="J55" i="18"/>
  <c r="O55" i="18" s="1"/>
  <c r="K108" i="19" s="1"/>
  <c r="R55" i="18" s="1"/>
  <c r="K55" i="18"/>
  <c r="L55" i="18"/>
  <c r="M55" i="18"/>
  <c r="N55" i="18"/>
  <c r="Q55" i="18"/>
  <c r="U55" i="18"/>
  <c r="AD55" i="18"/>
  <c r="J56" i="18"/>
  <c r="K56" i="18"/>
  <c r="L56" i="18"/>
  <c r="P56" i="18"/>
  <c r="Q56" i="18"/>
  <c r="U56" i="18"/>
  <c r="W56" i="18"/>
  <c r="AD56" i="18"/>
  <c r="J57" i="18"/>
  <c r="M57" i="18" s="1"/>
  <c r="K57" i="18"/>
  <c r="L57" i="18"/>
  <c r="N57" i="18"/>
  <c r="Q57" i="18"/>
  <c r="V57" i="18"/>
  <c r="W57" i="18"/>
  <c r="AD57" i="18"/>
  <c r="J58" i="18"/>
  <c r="O58" i="18" s="1"/>
  <c r="K58" i="18"/>
  <c r="W58" i="18" s="1"/>
  <c r="L58" i="18"/>
  <c r="M58" i="18"/>
  <c r="N58" i="18"/>
  <c r="P58" i="18"/>
  <c r="Q58" i="18"/>
  <c r="U58" i="18"/>
  <c r="V58" i="18"/>
  <c r="X58" i="18"/>
  <c r="AD58" i="18"/>
  <c r="J59" i="18"/>
  <c r="M59" i="18" s="1"/>
  <c r="K59" i="18"/>
  <c r="L59" i="18"/>
  <c r="N59" i="18"/>
  <c r="O59" i="18"/>
  <c r="K181" i="19" s="1"/>
  <c r="P59" i="18"/>
  <c r="Q59" i="18"/>
  <c r="R59" i="18"/>
  <c r="U59" i="18"/>
  <c r="Y59" i="18" s="1"/>
  <c r="V59" i="18"/>
  <c r="W59" i="18"/>
  <c r="X59" i="18"/>
  <c r="AD59" i="18"/>
  <c r="J60" i="18"/>
  <c r="K60" i="18"/>
  <c r="L60" i="18"/>
  <c r="M60" i="18"/>
  <c r="N60" i="18"/>
  <c r="O60" i="18"/>
  <c r="K201" i="19" s="1"/>
  <c r="R60" i="18" s="1"/>
  <c r="Q60" i="18"/>
  <c r="AD60" i="18"/>
  <c r="J61" i="18"/>
  <c r="K61" i="18"/>
  <c r="L61" i="18"/>
  <c r="M61" i="18"/>
  <c r="O61" i="18"/>
  <c r="K272" i="19" s="1"/>
  <c r="R61" i="18" s="1"/>
  <c r="P61" i="18"/>
  <c r="Q61" i="18"/>
  <c r="U61" i="18"/>
  <c r="V61" i="18"/>
  <c r="X61" i="18"/>
  <c r="AD61" i="18"/>
  <c r="J62" i="18"/>
  <c r="O62" i="18" s="1"/>
  <c r="K304" i="19" s="1"/>
  <c r="R62" i="18" s="1"/>
  <c r="K62" i="18"/>
  <c r="L62" i="18"/>
  <c r="M62" i="18"/>
  <c r="N62" i="18"/>
  <c r="P62" i="18"/>
  <c r="Q62" i="18"/>
  <c r="U62" i="18"/>
  <c r="Y62" i="18" s="1"/>
  <c r="V62" i="18"/>
  <c r="W62" i="18"/>
  <c r="X62" i="18"/>
  <c r="AD62" i="18"/>
  <c r="J63" i="18"/>
  <c r="K63" i="18"/>
  <c r="L63" i="18"/>
  <c r="M63" i="18"/>
  <c r="O63" i="18"/>
  <c r="K155" i="19" s="1"/>
  <c r="R63" i="18" s="1"/>
  <c r="Q63" i="18"/>
  <c r="V63" i="18"/>
  <c r="AD63" i="18"/>
  <c r="J64" i="18"/>
  <c r="K64" i="18"/>
  <c r="L64" i="18"/>
  <c r="M64" i="18"/>
  <c r="O64" i="18"/>
  <c r="K287" i="19" s="1"/>
  <c r="P64" i="18"/>
  <c r="Q64" i="18"/>
  <c r="R64" i="18"/>
  <c r="S64" i="18" s="1"/>
  <c r="U64" i="18"/>
  <c r="W64" i="18"/>
  <c r="X64" i="18"/>
  <c r="AD64" i="18"/>
  <c r="J65" i="18"/>
  <c r="M65" i="18" s="1"/>
  <c r="K65" i="18"/>
  <c r="L65" i="18"/>
  <c r="O65" i="18"/>
  <c r="K270" i="19" s="1"/>
  <c r="Q65" i="18"/>
  <c r="R65" i="18"/>
  <c r="S65" i="18" s="1"/>
  <c r="AD65" i="18"/>
  <c r="J66" i="18"/>
  <c r="K66" i="18"/>
  <c r="L66" i="18"/>
  <c r="N66" i="18"/>
  <c r="P66" i="18"/>
  <c r="Q66" i="18"/>
  <c r="U66" i="18"/>
  <c r="V66" i="18"/>
  <c r="AD66" i="18"/>
  <c r="J67" i="18"/>
  <c r="O67" i="18" s="1"/>
  <c r="K271" i="19" s="1"/>
  <c r="R67" i="18" s="1"/>
  <c r="K67" i="18"/>
  <c r="L67" i="18"/>
  <c r="M67" i="18"/>
  <c r="N67" i="18"/>
  <c r="P67" i="18"/>
  <c r="L271" i="19" s="1"/>
  <c r="Q67" i="18"/>
  <c r="U67" i="18"/>
  <c r="V67" i="18"/>
  <c r="W67" i="18"/>
  <c r="X67" i="18"/>
  <c r="Y67" i="18"/>
  <c r="AD67" i="18"/>
  <c r="J68" i="18"/>
  <c r="M68" i="18" s="1"/>
  <c r="K68" i="18"/>
  <c r="L68" i="18"/>
  <c r="N68" i="18"/>
  <c r="O68" i="18"/>
  <c r="Q68" i="18"/>
  <c r="S68" i="18"/>
  <c r="AD68" i="18"/>
  <c r="J69" i="18"/>
  <c r="K69" i="18"/>
  <c r="L69" i="18"/>
  <c r="P69" i="18"/>
  <c r="Q69" i="18"/>
  <c r="V69" i="18"/>
  <c r="AD69" i="18"/>
  <c r="J70" i="18"/>
  <c r="K70" i="18"/>
  <c r="L70" i="18"/>
  <c r="M70" i="18"/>
  <c r="N70" i="18"/>
  <c r="O70" i="18"/>
  <c r="K96" i="19" s="1"/>
  <c r="R70" i="18" s="1"/>
  <c r="S70" i="18" s="1"/>
  <c r="P70" i="18"/>
  <c r="Q70" i="18"/>
  <c r="T70" i="18"/>
  <c r="U70" i="18"/>
  <c r="Y70" i="18" s="1"/>
  <c r="V70" i="18"/>
  <c r="W70" i="18"/>
  <c r="X70" i="18"/>
  <c r="AD70" i="18"/>
  <c r="J71" i="18"/>
  <c r="K71" i="18"/>
  <c r="L71" i="18"/>
  <c r="M71" i="18"/>
  <c r="N71" i="18"/>
  <c r="O71" i="18"/>
  <c r="Q71" i="18"/>
  <c r="U71" i="18"/>
  <c r="AD71" i="18"/>
  <c r="J72" i="18"/>
  <c r="K72" i="18"/>
  <c r="L72" i="18"/>
  <c r="P72" i="18"/>
  <c r="Q72" i="18"/>
  <c r="U72" i="18"/>
  <c r="W72" i="18"/>
  <c r="X72" i="18"/>
  <c r="AD72" i="18"/>
  <c r="J73" i="18"/>
  <c r="K73" i="18"/>
  <c r="W73" i="18" s="1"/>
  <c r="L73" i="18"/>
  <c r="Q73" i="18"/>
  <c r="AD73" i="18"/>
  <c r="J74" i="18"/>
  <c r="K74" i="18"/>
  <c r="W74" i="18" s="1"/>
  <c r="L74" i="18"/>
  <c r="N74" i="18"/>
  <c r="P74" i="18"/>
  <c r="Q74" i="18"/>
  <c r="U74" i="18"/>
  <c r="V74" i="18"/>
  <c r="Y74" i="18" s="1"/>
  <c r="X74" i="18"/>
  <c r="AD74" i="18"/>
  <c r="J75" i="18"/>
  <c r="K75" i="18"/>
  <c r="N75" i="18" s="1"/>
  <c r="L75" i="18"/>
  <c r="M75" i="18"/>
  <c r="O75" i="18"/>
  <c r="K160" i="19" s="1"/>
  <c r="R75" i="18" s="1"/>
  <c r="S75" i="18" s="1"/>
  <c r="P75" i="18"/>
  <c r="Q75" i="18"/>
  <c r="U75" i="18"/>
  <c r="W75" i="18"/>
  <c r="X75" i="18"/>
  <c r="AD75" i="18"/>
  <c r="J76" i="18"/>
  <c r="M76" i="18" s="1"/>
  <c r="K76" i="18"/>
  <c r="L76" i="18"/>
  <c r="N76" i="18"/>
  <c r="O76" i="18"/>
  <c r="K327" i="19" s="1"/>
  <c r="R76" i="18" s="1"/>
  <c r="Q76" i="18"/>
  <c r="S76" i="18"/>
  <c r="X76" i="18"/>
  <c r="AD76" i="18"/>
  <c r="J77" i="18"/>
  <c r="K77" i="18"/>
  <c r="L77" i="18"/>
  <c r="Q77" i="18"/>
  <c r="U77" i="18"/>
  <c r="V77" i="18"/>
  <c r="X77" i="18"/>
  <c r="AD77" i="18"/>
  <c r="J78" i="18"/>
  <c r="O78" i="18" s="1"/>
  <c r="K183" i="19" s="1"/>
  <c r="R78" i="18" s="1"/>
  <c r="S78" i="18" s="1"/>
  <c r="K78" i="18"/>
  <c r="L78" i="18"/>
  <c r="M78" i="18"/>
  <c r="N78" i="18"/>
  <c r="P78" i="18"/>
  <c r="L183" i="19" s="1"/>
  <c r="Q78" i="18"/>
  <c r="U78" i="18"/>
  <c r="V78" i="18"/>
  <c r="Y78" i="18" s="1"/>
  <c r="W78" i="18"/>
  <c r="X78" i="18"/>
  <c r="AD78" i="18"/>
  <c r="J79" i="18"/>
  <c r="K79" i="18"/>
  <c r="L79" i="18"/>
  <c r="M79" i="18"/>
  <c r="N79" i="18"/>
  <c r="O79" i="18"/>
  <c r="K200" i="19" s="1"/>
  <c r="R79" i="18" s="1"/>
  <c r="P79" i="18"/>
  <c r="L200" i="19" s="1"/>
  <c r="P200" i="19" s="1"/>
  <c r="Q79" i="18"/>
  <c r="T79" i="18"/>
  <c r="U79" i="18"/>
  <c r="V79" i="18"/>
  <c r="X79" i="18"/>
  <c r="AD79" i="18"/>
  <c r="J80" i="18"/>
  <c r="O80" i="18" s="1"/>
  <c r="K277" i="19" s="1"/>
  <c r="R80" i="18" s="1"/>
  <c r="K80" i="18"/>
  <c r="L80" i="18"/>
  <c r="M80" i="18"/>
  <c r="P80" i="18"/>
  <c r="Q80" i="18"/>
  <c r="S80" i="18"/>
  <c r="U80" i="18"/>
  <c r="W80" i="18"/>
  <c r="X80" i="18"/>
  <c r="AD80" i="18"/>
  <c r="J81" i="18"/>
  <c r="M81" i="18" s="1"/>
  <c r="K81" i="18"/>
  <c r="L81" i="18"/>
  <c r="O81" i="18"/>
  <c r="K184" i="19" s="1"/>
  <c r="R81" i="18" s="1"/>
  <c r="Q81" i="18"/>
  <c r="AD81" i="18"/>
  <c r="J82" i="18"/>
  <c r="K82" i="18"/>
  <c r="L82" i="18"/>
  <c r="N82" i="18"/>
  <c r="Q82" i="18"/>
  <c r="U82" i="18"/>
  <c r="AD82" i="18"/>
  <c r="J83" i="18"/>
  <c r="K83" i="18"/>
  <c r="N83" i="18" s="1"/>
  <c r="L83" i="18"/>
  <c r="M83" i="18"/>
  <c r="O83" i="18"/>
  <c r="K309" i="19" s="1"/>
  <c r="R83" i="18" s="1"/>
  <c r="P83" i="18"/>
  <c r="Q83" i="18"/>
  <c r="U83" i="18"/>
  <c r="W83" i="18"/>
  <c r="X83" i="18"/>
  <c r="AD83" i="18"/>
  <c r="J84" i="18"/>
  <c r="M84" i="18" s="1"/>
  <c r="K84" i="18"/>
  <c r="N84" i="18" s="1"/>
  <c r="L84" i="18"/>
  <c r="O84" i="18"/>
  <c r="K283" i="19" s="1"/>
  <c r="R84" i="18" s="1"/>
  <c r="Q84" i="18"/>
  <c r="X84" i="18"/>
  <c r="AD84" i="18"/>
  <c r="J85" i="18"/>
  <c r="K85" i="18"/>
  <c r="L85" i="18"/>
  <c r="M85" i="18"/>
  <c r="N85" i="18"/>
  <c r="O85" i="18"/>
  <c r="K202" i="19" s="1"/>
  <c r="R85" i="18" s="1"/>
  <c r="S85" i="18" s="1"/>
  <c r="P85" i="18"/>
  <c r="Q85" i="18"/>
  <c r="U85" i="18"/>
  <c r="V85" i="18"/>
  <c r="W85" i="18"/>
  <c r="X85" i="18"/>
  <c r="Y85" i="18"/>
  <c r="AD85" i="18"/>
  <c r="J86" i="18"/>
  <c r="K86" i="18"/>
  <c r="L86" i="18"/>
  <c r="N86" i="18"/>
  <c r="P86" i="18"/>
  <c r="Q86" i="18"/>
  <c r="U86" i="18"/>
  <c r="Y86" i="18" s="1"/>
  <c r="V86" i="18"/>
  <c r="W86" i="18"/>
  <c r="X86" i="18"/>
  <c r="AD86" i="18"/>
  <c r="J87" i="18"/>
  <c r="K87" i="18"/>
  <c r="L87" i="18"/>
  <c r="M87" i="18"/>
  <c r="N87" i="18"/>
  <c r="O87" i="18"/>
  <c r="K278" i="19" s="1"/>
  <c r="R87" i="18" s="1"/>
  <c r="S87" i="18" s="1"/>
  <c r="P87" i="18"/>
  <c r="Q87" i="18"/>
  <c r="U87" i="18"/>
  <c r="Y87" i="18" s="1"/>
  <c r="V87" i="18"/>
  <c r="W87" i="18"/>
  <c r="X87" i="18"/>
  <c r="AD87" i="18"/>
  <c r="J88" i="18"/>
  <c r="O88" i="18" s="1"/>
  <c r="K89" i="19" s="1"/>
  <c r="K88" i="18"/>
  <c r="L88" i="18"/>
  <c r="N88" i="18"/>
  <c r="P88" i="18"/>
  <c r="Q88" i="18"/>
  <c r="R88" i="18"/>
  <c r="S88" i="18" s="1"/>
  <c r="U88" i="18"/>
  <c r="V88" i="18"/>
  <c r="W88" i="18"/>
  <c r="X88" i="18"/>
  <c r="Y88" i="18"/>
  <c r="AD88" i="18"/>
  <c r="J89" i="18"/>
  <c r="K89" i="18"/>
  <c r="U89" i="18" s="1"/>
  <c r="L89" i="18"/>
  <c r="M89" i="18"/>
  <c r="O89" i="18"/>
  <c r="K185" i="19" s="1"/>
  <c r="R89" i="18" s="1"/>
  <c r="P89" i="18"/>
  <c r="Q89" i="18"/>
  <c r="S89" i="18"/>
  <c r="V89" i="18"/>
  <c r="W89" i="18"/>
  <c r="AD89" i="18"/>
  <c r="J90" i="18"/>
  <c r="K90" i="18"/>
  <c r="L90" i="18"/>
  <c r="M90" i="18"/>
  <c r="N90" i="18"/>
  <c r="O90" i="18"/>
  <c r="K79" i="19" s="1"/>
  <c r="R90" i="18" s="1"/>
  <c r="Q90" i="18"/>
  <c r="AD90" i="18"/>
  <c r="J91" i="18"/>
  <c r="K91" i="18"/>
  <c r="P91" i="18" s="1"/>
  <c r="L122" i="19" s="1"/>
  <c r="L91" i="18"/>
  <c r="N91" i="18"/>
  <c r="Q91" i="18"/>
  <c r="U91" i="18"/>
  <c r="V91" i="18"/>
  <c r="W91" i="18"/>
  <c r="AD91" i="18"/>
  <c r="J92" i="18"/>
  <c r="O92" i="18" s="1"/>
  <c r="K60" i="19" s="1"/>
  <c r="R92" i="18" s="1"/>
  <c r="K92" i="18"/>
  <c r="W92" i="18" s="1"/>
  <c r="L92" i="18"/>
  <c r="M92" i="18"/>
  <c r="N92" i="18"/>
  <c r="P92" i="18"/>
  <c r="L60" i="19" s="1"/>
  <c r="Q92" i="18"/>
  <c r="S92" i="18"/>
  <c r="U92" i="18"/>
  <c r="V92" i="18"/>
  <c r="AD92" i="18"/>
  <c r="J93" i="18"/>
  <c r="K93" i="18"/>
  <c r="L93" i="18"/>
  <c r="Q93" i="18"/>
  <c r="AD93" i="18"/>
  <c r="J94" i="18"/>
  <c r="K94" i="18"/>
  <c r="L94" i="18"/>
  <c r="N94" i="18"/>
  <c r="Q94" i="18"/>
  <c r="V94" i="18"/>
  <c r="W94" i="18"/>
  <c r="AD94" i="18"/>
  <c r="J95" i="18"/>
  <c r="O95" i="18" s="1"/>
  <c r="K206" i="19" s="1"/>
  <c r="R95" i="18" s="1"/>
  <c r="K95" i="18"/>
  <c r="L95" i="18"/>
  <c r="M95" i="18"/>
  <c r="P95" i="18"/>
  <c r="Q95" i="18"/>
  <c r="U95" i="18"/>
  <c r="X95" i="18"/>
  <c r="AD95" i="18"/>
  <c r="J96" i="18"/>
  <c r="K96" i="18"/>
  <c r="L96" i="18"/>
  <c r="M96" i="18"/>
  <c r="N96" i="18"/>
  <c r="O96" i="18"/>
  <c r="K280" i="19" s="1"/>
  <c r="R96" i="18" s="1"/>
  <c r="S96" i="18" s="1"/>
  <c r="P96" i="18"/>
  <c r="L280" i="19" s="1"/>
  <c r="P280" i="19" s="1"/>
  <c r="Q96" i="18"/>
  <c r="U96" i="18"/>
  <c r="V96" i="18"/>
  <c r="W96" i="18"/>
  <c r="X96" i="18"/>
  <c r="Y96" i="18" s="1"/>
  <c r="AD96" i="18"/>
  <c r="J97" i="18"/>
  <c r="M97" i="18" s="1"/>
  <c r="K97" i="18"/>
  <c r="U97" i="18" s="1"/>
  <c r="L97" i="18"/>
  <c r="N97" i="18"/>
  <c r="O97" i="18"/>
  <c r="P97" i="18"/>
  <c r="Q97" i="18"/>
  <c r="V97" i="18"/>
  <c r="W97" i="18"/>
  <c r="X97" i="18"/>
  <c r="AD97" i="18"/>
  <c r="J98" i="18"/>
  <c r="M98" i="18" s="1"/>
  <c r="K98" i="18"/>
  <c r="L98" i="18"/>
  <c r="O98" i="18"/>
  <c r="K109" i="19" s="1"/>
  <c r="R98" i="18" s="1"/>
  <c r="Q98" i="18"/>
  <c r="U98" i="18"/>
  <c r="AD98" i="18"/>
  <c r="J99" i="18"/>
  <c r="K99" i="18"/>
  <c r="L99" i="18"/>
  <c r="N99" i="18"/>
  <c r="P99" i="18"/>
  <c r="L276" i="19" s="1"/>
  <c r="Q99" i="18"/>
  <c r="U99" i="18"/>
  <c r="Y99" i="18" s="1"/>
  <c r="V99" i="18"/>
  <c r="W99" i="18"/>
  <c r="X99" i="18"/>
  <c r="AD99" i="18"/>
  <c r="J100" i="18"/>
  <c r="K100" i="18"/>
  <c r="W100" i="18" s="1"/>
  <c r="L100" i="18"/>
  <c r="M100" i="18"/>
  <c r="N100" i="18"/>
  <c r="O100" i="18"/>
  <c r="P100" i="18"/>
  <c r="Q100" i="18"/>
  <c r="S100" i="18"/>
  <c r="U100" i="18"/>
  <c r="V100" i="18"/>
  <c r="AD100" i="18"/>
  <c r="J101" i="18"/>
  <c r="K101" i="18"/>
  <c r="L101" i="18"/>
  <c r="M101" i="18"/>
  <c r="O101" i="18"/>
  <c r="K305" i="19" s="1"/>
  <c r="Q101" i="18"/>
  <c r="R101" i="18"/>
  <c r="W101" i="18"/>
  <c r="X101" i="18"/>
  <c r="AD101" i="18"/>
  <c r="J102" i="18"/>
  <c r="K102" i="18"/>
  <c r="L102" i="18"/>
  <c r="M102" i="18"/>
  <c r="N102" i="18"/>
  <c r="O102" i="18"/>
  <c r="K221" i="19" s="1"/>
  <c r="R102" i="18" s="1"/>
  <c r="Q102" i="18"/>
  <c r="W102" i="18"/>
  <c r="AD102" i="18"/>
  <c r="J103" i="18"/>
  <c r="K103" i="18"/>
  <c r="W103" i="18" s="1"/>
  <c r="L103" i="18"/>
  <c r="P103" i="18"/>
  <c r="Q103" i="18"/>
  <c r="U103" i="18"/>
  <c r="Y103" i="18" s="1"/>
  <c r="V103" i="18"/>
  <c r="X103" i="18"/>
  <c r="AD103" i="18"/>
  <c r="J104" i="18"/>
  <c r="M104" i="18" s="1"/>
  <c r="K104" i="18"/>
  <c r="N104" i="18" s="1"/>
  <c r="L104" i="18"/>
  <c r="P104" i="18"/>
  <c r="Q104" i="18"/>
  <c r="U104" i="18"/>
  <c r="W104" i="18"/>
  <c r="X104" i="18"/>
  <c r="AD104" i="18"/>
  <c r="J105" i="18"/>
  <c r="M105" i="18" s="1"/>
  <c r="K105" i="18"/>
  <c r="L105" i="18"/>
  <c r="N105" i="18"/>
  <c r="O105" i="18"/>
  <c r="K291" i="19" s="1"/>
  <c r="R105" i="18" s="1"/>
  <c r="Q105" i="18"/>
  <c r="S105" i="18"/>
  <c r="X105" i="18"/>
  <c r="AD105" i="18"/>
  <c r="J106" i="18"/>
  <c r="K106" i="18"/>
  <c r="L106" i="18"/>
  <c r="M106" i="18"/>
  <c r="O106" i="18"/>
  <c r="K285" i="19" s="1"/>
  <c r="R106" i="18" s="1"/>
  <c r="P106" i="18"/>
  <c r="Q106" i="18"/>
  <c r="S106" i="18"/>
  <c r="V106" i="18"/>
  <c r="X106" i="18"/>
  <c r="AD106" i="18"/>
  <c r="J107" i="18"/>
  <c r="M107" i="18" s="1"/>
  <c r="K107" i="18"/>
  <c r="L107" i="18"/>
  <c r="N107" i="18"/>
  <c r="O107" i="18"/>
  <c r="K222" i="19" s="1"/>
  <c r="R107" i="18" s="1"/>
  <c r="P107" i="18"/>
  <c r="L222" i="19" s="1"/>
  <c r="Q107" i="18"/>
  <c r="U107" i="18"/>
  <c r="Y107" i="18" s="1"/>
  <c r="V107" i="18"/>
  <c r="W107" i="18"/>
  <c r="X107" i="18"/>
  <c r="AD107" i="18"/>
  <c r="J108" i="18"/>
  <c r="K108" i="18"/>
  <c r="W108" i="18" s="1"/>
  <c r="L108" i="18"/>
  <c r="M108" i="18"/>
  <c r="N108" i="18"/>
  <c r="O108" i="18"/>
  <c r="K65" i="19" s="1"/>
  <c r="R108" i="18" s="1"/>
  <c r="P108" i="18"/>
  <c r="Q108" i="18"/>
  <c r="U108" i="18"/>
  <c r="X108" i="18"/>
  <c r="AD108" i="18"/>
  <c r="J109" i="18"/>
  <c r="O109" i="18" s="1"/>
  <c r="K292" i="19" s="1"/>
  <c r="R109" i="18" s="1"/>
  <c r="S109" i="18" s="1"/>
  <c r="K109" i="18"/>
  <c r="X109" i="18" s="1"/>
  <c r="L109" i="18"/>
  <c r="P109" i="18"/>
  <c r="Q109" i="18"/>
  <c r="U109" i="18"/>
  <c r="W109" i="18"/>
  <c r="AD109" i="18"/>
  <c r="J110" i="18"/>
  <c r="M110" i="18" s="1"/>
  <c r="K110" i="18"/>
  <c r="L110" i="18"/>
  <c r="Q110" i="18"/>
  <c r="AD110" i="18"/>
  <c r="J111" i="18"/>
  <c r="K111" i="18"/>
  <c r="W111" i="18" s="1"/>
  <c r="L111" i="18"/>
  <c r="N111" i="18"/>
  <c r="P111" i="18"/>
  <c r="Q111" i="18"/>
  <c r="U111" i="18"/>
  <c r="V111" i="18"/>
  <c r="X111" i="18"/>
  <c r="Y111" i="18"/>
  <c r="AD111" i="18"/>
  <c r="J112" i="18"/>
  <c r="M112" i="18" s="1"/>
  <c r="K112" i="18"/>
  <c r="N112" i="18" s="1"/>
  <c r="L112" i="18"/>
  <c r="O112" i="18"/>
  <c r="K81" i="19" s="1"/>
  <c r="P112" i="18"/>
  <c r="L81" i="19" s="1"/>
  <c r="P81" i="19" s="1"/>
  <c r="Q112" i="18"/>
  <c r="R112" i="18"/>
  <c r="S112" i="18" s="1"/>
  <c r="U112" i="18"/>
  <c r="W112" i="18"/>
  <c r="X112" i="18"/>
  <c r="AD112" i="18"/>
  <c r="J113" i="18"/>
  <c r="M113" i="18" s="1"/>
  <c r="K113" i="18"/>
  <c r="L113" i="18"/>
  <c r="O113" i="18"/>
  <c r="K82" i="19" s="1"/>
  <c r="R113" i="18" s="1"/>
  <c r="Q113" i="18"/>
  <c r="AD113" i="18"/>
  <c r="J114" i="18"/>
  <c r="K114" i="18"/>
  <c r="N114" i="18" s="1"/>
  <c r="L114" i="18"/>
  <c r="P114" i="18"/>
  <c r="Q114" i="18"/>
  <c r="U114" i="18"/>
  <c r="V114" i="18"/>
  <c r="AD114" i="18"/>
  <c r="J115" i="18"/>
  <c r="K115" i="18"/>
  <c r="L115" i="18"/>
  <c r="M115" i="18"/>
  <c r="N115" i="18"/>
  <c r="O115" i="18"/>
  <c r="K66" i="19" s="1"/>
  <c r="R115" i="18" s="1"/>
  <c r="S115" i="18" s="1"/>
  <c r="P115" i="18"/>
  <c r="Q115" i="18"/>
  <c r="U115" i="18"/>
  <c r="Y115" i="18" s="1"/>
  <c r="V115" i="18"/>
  <c r="W115" i="18"/>
  <c r="X115" i="18"/>
  <c r="AD115" i="18"/>
  <c r="J116" i="18"/>
  <c r="K116" i="18"/>
  <c r="L116" i="18"/>
  <c r="M116" i="18"/>
  <c r="O116" i="18"/>
  <c r="Q116" i="18"/>
  <c r="V116" i="18"/>
  <c r="AD116" i="18"/>
  <c r="J117" i="18"/>
  <c r="M117" i="18" s="1"/>
  <c r="K117" i="18"/>
  <c r="L117" i="18"/>
  <c r="O117" i="18"/>
  <c r="K281" i="19" s="1"/>
  <c r="R117" i="18" s="1"/>
  <c r="S117" i="18" s="1"/>
  <c r="P117" i="18"/>
  <c r="Q117" i="18"/>
  <c r="U117" i="18"/>
  <c r="W117" i="18"/>
  <c r="X117" i="18"/>
  <c r="AD117" i="18"/>
  <c r="J118" i="18"/>
  <c r="K118" i="18"/>
  <c r="W118" i="18" s="1"/>
  <c r="L118" i="18"/>
  <c r="M118" i="18"/>
  <c r="N118" i="18"/>
  <c r="O118" i="18"/>
  <c r="K72" i="19" s="1"/>
  <c r="Q118" i="18"/>
  <c r="R118" i="18"/>
  <c r="V118" i="18"/>
  <c r="AD118" i="18"/>
  <c r="J119" i="18"/>
  <c r="K119" i="18"/>
  <c r="L119" i="18"/>
  <c r="N119" i="18"/>
  <c r="Q119" i="18"/>
  <c r="U119" i="18"/>
  <c r="AD119" i="18"/>
  <c r="J120" i="18"/>
  <c r="O120" i="18" s="1"/>
  <c r="K174" i="19" s="1"/>
  <c r="R120" i="18" s="1"/>
  <c r="S120" i="18" s="1"/>
  <c r="K120" i="18"/>
  <c r="N120" i="18" s="1"/>
  <c r="L120" i="18"/>
  <c r="P120" i="18"/>
  <c r="L174" i="19" s="1"/>
  <c r="P174" i="19" s="1"/>
  <c r="Q120" i="18"/>
  <c r="T120" i="18"/>
  <c r="U120" i="18"/>
  <c r="W120" i="18"/>
  <c r="X120" i="18"/>
  <c r="AD120" i="18"/>
  <c r="J121" i="18"/>
  <c r="M121" i="18" s="1"/>
  <c r="K121" i="18"/>
  <c r="U121" i="18" s="1"/>
  <c r="L121" i="18"/>
  <c r="N121" i="18"/>
  <c r="O121" i="18"/>
  <c r="K313" i="19" s="1"/>
  <c r="R121" i="18" s="1"/>
  <c r="P121" i="18"/>
  <c r="L313" i="19" s="1"/>
  <c r="P313" i="19" s="1"/>
  <c r="Q121" i="18"/>
  <c r="V121" i="18"/>
  <c r="W121" i="18"/>
  <c r="Y121" i="18" s="1"/>
  <c r="X121" i="18"/>
  <c r="AD121" i="18"/>
  <c r="J122" i="18"/>
  <c r="M122" i="18" s="1"/>
  <c r="K122" i="18"/>
  <c r="V122" i="18" s="1"/>
  <c r="L122" i="18"/>
  <c r="N122" i="18"/>
  <c r="O122" i="18"/>
  <c r="P122" i="18"/>
  <c r="Q122" i="18"/>
  <c r="U122" i="18"/>
  <c r="Y122" i="18" s="1"/>
  <c r="W122" i="18"/>
  <c r="X122" i="18"/>
  <c r="AD122" i="18"/>
  <c r="J123" i="18"/>
  <c r="K123" i="18"/>
  <c r="L123" i="18"/>
  <c r="M123" i="18"/>
  <c r="N123" i="18"/>
  <c r="O123" i="18"/>
  <c r="K88" i="19" s="1"/>
  <c r="R123" i="18" s="1"/>
  <c r="P123" i="18"/>
  <c r="L88" i="19" s="1"/>
  <c r="P88" i="19" s="1"/>
  <c r="Q123" i="18"/>
  <c r="U123" i="18"/>
  <c r="V123" i="18"/>
  <c r="Y123" i="18" s="1"/>
  <c r="W123" i="18"/>
  <c r="X123" i="18"/>
  <c r="AD123" i="18"/>
  <c r="J124" i="18"/>
  <c r="K124" i="18"/>
  <c r="W124" i="18" s="1"/>
  <c r="L124" i="18"/>
  <c r="M124" i="18"/>
  <c r="O124" i="18"/>
  <c r="K84" i="19" s="1"/>
  <c r="R124" i="18" s="1"/>
  <c r="S124" i="18" s="1"/>
  <c r="P124" i="18"/>
  <c r="L84" i="19" s="1"/>
  <c r="P84" i="19" s="1"/>
  <c r="Q124" i="18"/>
  <c r="U124" i="18"/>
  <c r="V124" i="18"/>
  <c r="AD124" i="18"/>
  <c r="J125" i="18"/>
  <c r="M125" i="18" s="1"/>
  <c r="K125" i="18"/>
  <c r="X125" i="18" s="1"/>
  <c r="L125" i="18"/>
  <c r="Q125" i="18"/>
  <c r="AD125" i="18"/>
  <c r="J126" i="18"/>
  <c r="K126" i="18"/>
  <c r="L126" i="18"/>
  <c r="N126" i="18"/>
  <c r="Q126" i="18"/>
  <c r="V126" i="18"/>
  <c r="W126" i="18"/>
  <c r="AD126" i="18"/>
  <c r="J127" i="18"/>
  <c r="O127" i="18" s="1"/>
  <c r="K85" i="19" s="1"/>
  <c r="R127" i="18" s="1"/>
  <c r="K127" i="18"/>
  <c r="L127" i="18"/>
  <c r="M127" i="18"/>
  <c r="N127" i="18"/>
  <c r="P127" i="18"/>
  <c r="Q127" i="18"/>
  <c r="X127" i="18"/>
  <c r="AD127" i="18"/>
  <c r="J128" i="18"/>
  <c r="O128" i="18" s="1"/>
  <c r="K86" i="19" s="1"/>
  <c r="K128" i="18"/>
  <c r="N128" i="18" s="1"/>
  <c r="L128" i="18"/>
  <c r="M128" i="18"/>
  <c r="P128" i="18"/>
  <c r="Q128" i="18"/>
  <c r="R128" i="18"/>
  <c r="S128" i="18" s="1"/>
  <c r="U128" i="18"/>
  <c r="W128" i="18"/>
  <c r="X128" i="18"/>
  <c r="AD128" i="18"/>
  <c r="J129" i="18"/>
  <c r="M129" i="18" s="1"/>
  <c r="K129" i="18"/>
  <c r="P129" i="18" s="1"/>
  <c r="L129" i="18"/>
  <c r="O129" i="18"/>
  <c r="K8" i="19" s="1"/>
  <c r="R129" i="18" s="1"/>
  <c r="Q129" i="18"/>
  <c r="S129" i="18"/>
  <c r="V129" i="18"/>
  <c r="W129" i="18"/>
  <c r="AD129" i="18"/>
  <c r="J130" i="18"/>
  <c r="K130" i="18"/>
  <c r="N130" i="18" s="1"/>
  <c r="L130" i="18"/>
  <c r="M130" i="18"/>
  <c r="O130" i="18"/>
  <c r="K216" i="19" s="1"/>
  <c r="R130" i="18" s="1"/>
  <c r="Q130" i="18"/>
  <c r="V130" i="18"/>
  <c r="W130" i="18"/>
  <c r="AD130" i="18"/>
  <c r="J131" i="18"/>
  <c r="K131" i="18"/>
  <c r="L131" i="18"/>
  <c r="N131" i="18"/>
  <c r="P131" i="18"/>
  <c r="L171" i="19" s="1"/>
  <c r="P171" i="19" s="1"/>
  <c r="Q131" i="18"/>
  <c r="U131" i="18"/>
  <c r="V131" i="18"/>
  <c r="W131" i="18"/>
  <c r="X131" i="18"/>
  <c r="AD131" i="18"/>
  <c r="J132" i="18"/>
  <c r="K132" i="18"/>
  <c r="W132" i="18" s="1"/>
  <c r="L132" i="18"/>
  <c r="M132" i="18"/>
  <c r="N132" i="18"/>
  <c r="O132" i="18"/>
  <c r="K172" i="19" s="1"/>
  <c r="R132" i="18" s="1"/>
  <c r="S132" i="18" s="1"/>
  <c r="P132" i="18"/>
  <c r="L172" i="19" s="1"/>
  <c r="Q132" i="18"/>
  <c r="U132" i="18"/>
  <c r="Y132" i="18" s="1"/>
  <c r="V132" i="18"/>
  <c r="X132" i="18"/>
  <c r="AD132" i="18"/>
  <c r="J133" i="18"/>
  <c r="K133" i="18"/>
  <c r="L133" i="18"/>
  <c r="M133" i="18"/>
  <c r="O133" i="18"/>
  <c r="K173" i="19" s="1"/>
  <c r="R133" i="18" s="1"/>
  <c r="P133" i="18"/>
  <c r="L173" i="19" s="1"/>
  <c r="P173" i="19" s="1"/>
  <c r="Q133" i="18"/>
  <c r="W133" i="18"/>
  <c r="AD133" i="18"/>
  <c r="J134" i="18"/>
  <c r="K134" i="18"/>
  <c r="L134" i="18"/>
  <c r="N134" i="18"/>
  <c r="Q134" i="18"/>
  <c r="V134" i="18"/>
  <c r="W134" i="18"/>
  <c r="AD134" i="18"/>
  <c r="J135" i="18"/>
  <c r="O135" i="18" s="1"/>
  <c r="K135" i="18"/>
  <c r="W135" i="18" s="1"/>
  <c r="L135" i="18"/>
  <c r="P135" i="18"/>
  <c r="Q135" i="18"/>
  <c r="U135" i="18"/>
  <c r="V135" i="18"/>
  <c r="X135" i="18"/>
  <c r="AD135" i="18"/>
  <c r="J136" i="18"/>
  <c r="K136" i="18"/>
  <c r="N136" i="18" s="1"/>
  <c r="L136" i="18"/>
  <c r="P136" i="18"/>
  <c r="L165" i="19" s="1"/>
  <c r="P165" i="19" s="1"/>
  <c r="Q136" i="18"/>
  <c r="U136" i="18"/>
  <c r="W136" i="18"/>
  <c r="X136" i="18"/>
  <c r="AD136" i="18"/>
  <c r="J137" i="18"/>
  <c r="M137" i="18" s="1"/>
  <c r="K137" i="18"/>
  <c r="L137" i="18"/>
  <c r="O137" i="18"/>
  <c r="K11" i="19" s="1"/>
  <c r="R137" i="18" s="1"/>
  <c r="S137" i="18" s="1"/>
  <c r="Q137" i="18"/>
  <c r="V137" i="18"/>
  <c r="AD137" i="18"/>
  <c r="J138" i="18"/>
  <c r="K138" i="18"/>
  <c r="L138" i="18"/>
  <c r="Q138" i="18"/>
  <c r="AD138" i="18"/>
  <c r="J139" i="18"/>
  <c r="M139" i="18" s="1"/>
  <c r="K139" i="18"/>
  <c r="L139" i="18"/>
  <c r="N139" i="18"/>
  <c r="O139" i="18"/>
  <c r="K164" i="19" s="1"/>
  <c r="R139" i="18" s="1"/>
  <c r="P139" i="18"/>
  <c r="L164" i="19" s="1"/>
  <c r="Q139" i="18"/>
  <c r="U139" i="18"/>
  <c r="V139" i="18"/>
  <c r="W139" i="18"/>
  <c r="X139" i="18"/>
  <c r="AD139" i="18"/>
  <c r="J140" i="18"/>
  <c r="K140" i="18"/>
  <c r="L140" i="18"/>
  <c r="M140" i="18"/>
  <c r="N140" i="18"/>
  <c r="O140" i="18"/>
  <c r="Q140" i="18"/>
  <c r="U140" i="18"/>
  <c r="X140" i="18"/>
  <c r="AD140" i="18"/>
  <c r="J141" i="18"/>
  <c r="O141" i="18" s="1"/>
  <c r="K19" i="19" s="1"/>
  <c r="R141" i="18" s="1"/>
  <c r="K141" i="18"/>
  <c r="L141" i="18"/>
  <c r="M141" i="18"/>
  <c r="P141" i="18"/>
  <c r="Q141" i="18"/>
  <c r="S141" i="18"/>
  <c r="U141" i="18"/>
  <c r="W141" i="18"/>
  <c r="AD141" i="18"/>
  <c r="J142" i="18"/>
  <c r="M142" i="18" s="1"/>
  <c r="K142" i="18"/>
  <c r="L142" i="18"/>
  <c r="N142" i="18"/>
  <c r="O142" i="18"/>
  <c r="K13" i="19" s="1"/>
  <c r="R142" i="18" s="1"/>
  <c r="S142" i="18" s="1"/>
  <c r="Q142" i="18"/>
  <c r="V142" i="18"/>
  <c r="W142" i="18"/>
  <c r="AD142" i="18"/>
  <c r="J143" i="18"/>
  <c r="O143" i="18" s="1"/>
  <c r="K14" i="19" s="1"/>
  <c r="K143" i="18"/>
  <c r="W143" i="18" s="1"/>
  <c r="L143" i="18"/>
  <c r="P143" i="18"/>
  <c r="Q143" i="18"/>
  <c r="R143" i="18"/>
  <c r="S143" i="18"/>
  <c r="U143" i="18"/>
  <c r="V143" i="18"/>
  <c r="X143" i="18"/>
  <c r="AD143" i="18"/>
  <c r="J144" i="18"/>
  <c r="M144" i="18" s="1"/>
  <c r="K144" i="18"/>
  <c r="N144" i="18" s="1"/>
  <c r="L144" i="18"/>
  <c r="O144" i="18"/>
  <c r="K15" i="19" s="1"/>
  <c r="R144" i="18" s="1"/>
  <c r="S144" i="18" s="1"/>
  <c r="P144" i="18"/>
  <c r="Q144" i="18"/>
  <c r="U144" i="18"/>
  <c r="W144" i="18"/>
  <c r="X144" i="18"/>
  <c r="AD144" i="18"/>
  <c r="J145" i="18"/>
  <c r="M145" i="18" s="1"/>
  <c r="K145" i="18"/>
  <c r="N145" i="18" s="1"/>
  <c r="L145" i="18"/>
  <c r="O145" i="18"/>
  <c r="K158" i="19" s="1"/>
  <c r="R145" i="18" s="1"/>
  <c r="Q145" i="18"/>
  <c r="S145" i="18"/>
  <c r="V145" i="18"/>
  <c r="AD145" i="18"/>
  <c r="J146" i="18"/>
  <c r="K146" i="18"/>
  <c r="L146" i="18"/>
  <c r="M146" i="18"/>
  <c r="O146" i="18"/>
  <c r="K168" i="19" s="1"/>
  <c r="R146" i="18" s="1"/>
  <c r="Q146" i="18"/>
  <c r="AD146" i="18"/>
  <c r="J147" i="18"/>
  <c r="M147" i="18" s="1"/>
  <c r="K147" i="18"/>
  <c r="L147" i="18"/>
  <c r="N147" i="18"/>
  <c r="O147" i="18"/>
  <c r="K166" i="19" s="1"/>
  <c r="R147" i="18" s="1"/>
  <c r="S147" i="18" s="1"/>
  <c r="P147" i="18"/>
  <c r="L166" i="19" s="1"/>
  <c r="Q147" i="18"/>
  <c r="T147" i="18"/>
  <c r="U147" i="18"/>
  <c r="Y147" i="18" s="1"/>
  <c r="V147" i="18"/>
  <c r="W147" i="18"/>
  <c r="X147" i="18"/>
  <c r="AD147" i="18"/>
  <c r="J148" i="18"/>
  <c r="K148" i="18"/>
  <c r="L148" i="18"/>
  <c r="M148" i="18"/>
  <c r="O148" i="18"/>
  <c r="Q148" i="18"/>
  <c r="X148" i="18"/>
  <c r="AD148" i="18"/>
  <c r="J149" i="18"/>
  <c r="O149" i="18" s="1"/>
  <c r="K16" i="19" s="1"/>
  <c r="K149" i="18"/>
  <c r="X149" i="18" s="1"/>
  <c r="L149" i="18"/>
  <c r="M149" i="18"/>
  <c r="P149" i="18"/>
  <c r="Q149" i="18"/>
  <c r="R149" i="18"/>
  <c r="S149" i="18" s="1"/>
  <c r="U149" i="18"/>
  <c r="W149" i="18"/>
  <c r="AD149" i="18"/>
  <c r="J150" i="18"/>
  <c r="M150" i="18" s="1"/>
  <c r="K150" i="18"/>
  <c r="L150" i="18"/>
  <c r="O150" i="18"/>
  <c r="K10" i="19" s="1"/>
  <c r="R150" i="18" s="1"/>
  <c r="S150" i="18" s="1"/>
  <c r="Q150" i="18"/>
  <c r="AD150" i="18"/>
  <c r="J151" i="18"/>
  <c r="K151" i="18"/>
  <c r="W151" i="18" s="1"/>
  <c r="L151" i="18"/>
  <c r="N151" i="18"/>
  <c r="P151" i="18"/>
  <c r="Q151" i="18"/>
  <c r="U151" i="18"/>
  <c r="V151" i="18"/>
  <c r="Y151" i="18" s="1"/>
  <c r="X151" i="18"/>
  <c r="AD151" i="18"/>
  <c r="J152" i="18"/>
  <c r="M152" i="18" s="1"/>
  <c r="K152" i="18"/>
  <c r="N152" i="18" s="1"/>
  <c r="L152" i="18"/>
  <c r="O152" i="18"/>
  <c r="K284" i="19" s="1"/>
  <c r="R152" i="18" s="1"/>
  <c r="S152" i="18" s="1"/>
  <c r="P152" i="18"/>
  <c r="L284" i="19" s="1"/>
  <c r="P284" i="19" s="1"/>
  <c r="Q152" i="18"/>
  <c r="U152" i="18"/>
  <c r="W152" i="18"/>
  <c r="X152" i="18"/>
  <c r="AD152" i="18"/>
  <c r="J153" i="18"/>
  <c r="M153" i="18" s="1"/>
  <c r="K153" i="18"/>
  <c r="L153" i="18"/>
  <c r="O153" i="18"/>
  <c r="K68" i="19" s="1"/>
  <c r="R153" i="18" s="1"/>
  <c r="Q153" i="18"/>
  <c r="X153" i="18"/>
  <c r="AD153" i="18"/>
  <c r="J154" i="18"/>
  <c r="O154" i="18" s="1"/>
  <c r="K9" i="19" s="1"/>
  <c r="R154" i="18" s="1"/>
  <c r="S154" i="18" s="1"/>
  <c r="K154" i="18"/>
  <c r="N154" i="18" s="1"/>
  <c r="L154" i="18"/>
  <c r="M154" i="18"/>
  <c r="P154" i="18"/>
  <c r="Q154" i="18"/>
  <c r="U154" i="18"/>
  <c r="V154" i="18"/>
  <c r="X154" i="18"/>
  <c r="AD154" i="18"/>
  <c r="J155" i="18"/>
  <c r="K155" i="18"/>
  <c r="L155" i="18"/>
  <c r="M155" i="18"/>
  <c r="N155" i="18"/>
  <c r="O155" i="18"/>
  <c r="K159" i="19" s="1"/>
  <c r="R155" i="18" s="1"/>
  <c r="S155" i="18" s="1"/>
  <c r="P155" i="18"/>
  <c r="L159" i="19" s="1"/>
  <c r="P159" i="19" s="1"/>
  <c r="Q155" i="18"/>
  <c r="T155" i="18"/>
  <c r="U155" i="18"/>
  <c r="V155" i="18"/>
  <c r="Y155" i="18" s="1"/>
  <c r="W155" i="18"/>
  <c r="X155" i="18"/>
  <c r="AD155" i="18"/>
  <c r="J156" i="18"/>
  <c r="K156" i="18"/>
  <c r="L156" i="18"/>
  <c r="M156" i="18"/>
  <c r="O156" i="18"/>
  <c r="K17" i="19" s="1"/>
  <c r="R156" i="18" s="1"/>
  <c r="Q156" i="18"/>
  <c r="V156" i="18"/>
  <c r="X156" i="18"/>
  <c r="AD156" i="18"/>
  <c r="J157" i="18"/>
  <c r="M157" i="18" s="1"/>
  <c r="K157" i="18"/>
  <c r="L157" i="18"/>
  <c r="P157" i="18"/>
  <c r="Q157" i="18"/>
  <c r="U157" i="18"/>
  <c r="W157" i="18"/>
  <c r="X157" i="18"/>
  <c r="AD157" i="18"/>
  <c r="J158" i="18"/>
  <c r="M158" i="18" s="1"/>
  <c r="K158" i="18"/>
  <c r="L158" i="18"/>
  <c r="O158" i="18"/>
  <c r="K218" i="19" s="1"/>
  <c r="R158" i="18" s="1"/>
  <c r="Q158" i="18"/>
  <c r="W158" i="18"/>
  <c r="AD158" i="18"/>
  <c r="J159" i="18"/>
  <c r="O159" i="18" s="1"/>
  <c r="K39" i="19" s="1"/>
  <c r="K159" i="18"/>
  <c r="L159" i="18"/>
  <c r="Q159" i="18"/>
  <c r="R159" i="18"/>
  <c r="AD159" i="18"/>
  <c r="J160" i="18"/>
  <c r="K160" i="18"/>
  <c r="N160" i="18" s="1"/>
  <c r="L160" i="18"/>
  <c r="M160" i="18"/>
  <c r="O160" i="18"/>
  <c r="K187" i="19" s="1"/>
  <c r="R160" i="18" s="1"/>
  <c r="S160" i="18" s="1"/>
  <c r="P160" i="18"/>
  <c r="L187" i="19" s="1"/>
  <c r="Q160" i="18"/>
  <c r="U160" i="18"/>
  <c r="W160" i="18"/>
  <c r="X160" i="18"/>
  <c r="AD160" i="18"/>
  <c r="J161" i="18"/>
  <c r="M161" i="18" s="1"/>
  <c r="K161" i="18"/>
  <c r="L161" i="18"/>
  <c r="O161" i="18"/>
  <c r="K40" i="19" s="1"/>
  <c r="R161" i="18" s="1"/>
  <c r="Q161" i="18"/>
  <c r="V161" i="18"/>
  <c r="AD161" i="18"/>
  <c r="J162" i="18"/>
  <c r="O162" i="18" s="1"/>
  <c r="K151" i="19" s="1"/>
  <c r="R162" i="18" s="1"/>
  <c r="S162" i="18" s="1"/>
  <c r="K162" i="18"/>
  <c r="N162" i="18" s="1"/>
  <c r="L162" i="18"/>
  <c r="M162" i="18"/>
  <c r="P162" i="18"/>
  <c r="Q162" i="18"/>
  <c r="U162" i="18"/>
  <c r="V162" i="18"/>
  <c r="X162" i="18"/>
  <c r="AD162" i="18"/>
  <c r="J163" i="18"/>
  <c r="O163" i="18" s="1"/>
  <c r="K138" i="19" s="1"/>
  <c r="K163" i="18"/>
  <c r="L163" i="18"/>
  <c r="N163" i="18"/>
  <c r="P163" i="18"/>
  <c r="Q163" i="18"/>
  <c r="R163" i="18"/>
  <c r="U163" i="18"/>
  <c r="V163" i="18"/>
  <c r="Y163" i="18" s="1"/>
  <c r="W163" i="18"/>
  <c r="X163" i="18"/>
  <c r="AD163" i="18"/>
  <c r="J164" i="18"/>
  <c r="K164" i="18"/>
  <c r="L164" i="18"/>
  <c r="M164" i="18"/>
  <c r="O164" i="18"/>
  <c r="K41" i="19" s="1"/>
  <c r="R164" i="18" s="1"/>
  <c r="Q164" i="18"/>
  <c r="S164" i="18"/>
  <c r="V164" i="18"/>
  <c r="X164" i="18"/>
  <c r="AD164" i="18"/>
  <c r="J165" i="18"/>
  <c r="M165" i="18" s="1"/>
  <c r="K165" i="18"/>
  <c r="L165" i="18"/>
  <c r="O165" i="18"/>
  <c r="K319" i="19" s="1"/>
  <c r="R165" i="18" s="1"/>
  <c r="P165" i="18"/>
  <c r="L319" i="19" s="1"/>
  <c r="P319" i="19" s="1"/>
  <c r="Q165" i="18"/>
  <c r="U165" i="18"/>
  <c r="X165" i="18"/>
  <c r="AD165" i="18"/>
  <c r="J166" i="18"/>
  <c r="M166" i="18" s="1"/>
  <c r="K166" i="18"/>
  <c r="L166" i="18"/>
  <c r="N166" i="18"/>
  <c r="O166" i="18"/>
  <c r="K139" i="19" s="1"/>
  <c r="Q166" i="18"/>
  <c r="R166" i="18"/>
  <c r="V166" i="18"/>
  <c r="AD166" i="18"/>
  <c r="J167" i="18"/>
  <c r="O167" i="18" s="1"/>
  <c r="K188" i="19" s="1"/>
  <c r="K167" i="18"/>
  <c r="L167" i="18"/>
  <c r="N167" i="18"/>
  <c r="Q167" i="18"/>
  <c r="R167" i="18"/>
  <c r="U167" i="18"/>
  <c r="V167" i="18"/>
  <c r="AD167" i="18"/>
  <c r="J168" i="18"/>
  <c r="O168" i="18" s="1"/>
  <c r="K210" i="19" s="1"/>
  <c r="R168" i="18" s="1"/>
  <c r="K168" i="18"/>
  <c r="N168" i="18" s="1"/>
  <c r="L168" i="18"/>
  <c r="M168" i="18"/>
  <c r="P168" i="18"/>
  <c r="L210" i="19" s="1"/>
  <c r="P210" i="19" s="1"/>
  <c r="Q168" i="18"/>
  <c r="U168" i="18"/>
  <c r="W168" i="18"/>
  <c r="X168" i="18"/>
  <c r="AD168" i="18"/>
  <c r="J169" i="18"/>
  <c r="M169" i="18" s="1"/>
  <c r="K169" i="18"/>
  <c r="U169" i="18" s="1"/>
  <c r="L169" i="18"/>
  <c r="N169" i="18"/>
  <c r="O169" i="18"/>
  <c r="K6" i="19" s="1"/>
  <c r="R169" i="18" s="1"/>
  <c r="P169" i="18"/>
  <c r="L6" i="19" s="1"/>
  <c r="Q169" i="18"/>
  <c r="T169" i="18"/>
  <c r="V169" i="18"/>
  <c r="W169" i="18"/>
  <c r="X169" i="18"/>
  <c r="AD169" i="18"/>
  <c r="J170" i="18"/>
  <c r="M170" i="18" s="1"/>
  <c r="K170" i="18"/>
  <c r="L170" i="18"/>
  <c r="N170" i="18"/>
  <c r="O170" i="18"/>
  <c r="K7" i="19" s="1"/>
  <c r="R170" i="18" s="1"/>
  <c r="S170" i="18" s="1"/>
  <c r="P170" i="18"/>
  <c r="Q170" i="18"/>
  <c r="U170" i="18"/>
  <c r="V170" i="18"/>
  <c r="W170" i="18"/>
  <c r="X170" i="18"/>
  <c r="AD170" i="18"/>
  <c r="J171" i="18"/>
  <c r="M171" i="18" s="1"/>
  <c r="K171" i="18"/>
  <c r="L171" i="18"/>
  <c r="N171" i="18"/>
  <c r="O171" i="18"/>
  <c r="K189" i="19" s="1"/>
  <c r="R171" i="18" s="1"/>
  <c r="P171" i="18"/>
  <c r="Q171" i="18"/>
  <c r="U171" i="18"/>
  <c r="V171" i="18"/>
  <c r="W171" i="18"/>
  <c r="X171" i="18"/>
  <c r="Y171" i="18"/>
  <c r="Z171" i="18"/>
  <c r="AD171" i="18"/>
  <c r="J172" i="18"/>
  <c r="M172" i="18" s="1"/>
  <c r="K172" i="18"/>
  <c r="L172" i="18"/>
  <c r="P172" i="18"/>
  <c r="Q172" i="18"/>
  <c r="U172" i="18"/>
  <c r="W172" i="18"/>
  <c r="X172" i="18"/>
  <c r="Z172" i="18"/>
  <c r="AD172" i="18"/>
  <c r="J173" i="18"/>
  <c r="O173" i="18" s="1"/>
  <c r="K190" i="19" s="1"/>
  <c r="R173" i="18" s="1"/>
  <c r="K173" i="18"/>
  <c r="L173" i="18"/>
  <c r="Q173" i="18"/>
  <c r="AD173" i="18"/>
  <c r="J174" i="18"/>
  <c r="M174" i="18" s="1"/>
  <c r="K174" i="18"/>
  <c r="L174" i="18"/>
  <c r="O174" i="18"/>
  <c r="K198" i="19" s="1"/>
  <c r="R174" i="18" s="1"/>
  <c r="Q174" i="18"/>
  <c r="S174" i="18"/>
  <c r="V174" i="18"/>
  <c r="W174" i="18"/>
  <c r="AD174" i="18"/>
  <c r="J175" i="18"/>
  <c r="O175" i="18" s="1"/>
  <c r="K213" i="19" s="1"/>
  <c r="K175" i="18"/>
  <c r="L175" i="18"/>
  <c r="M175" i="18"/>
  <c r="N175" i="18"/>
  <c r="P175" i="18"/>
  <c r="Q175" i="18"/>
  <c r="R175" i="18"/>
  <c r="S175" i="18" s="1"/>
  <c r="U175" i="18"/>
  <c r="V175" i="18"/>
  <c r="Y175" i="18" s="1"/>
  <c r="W175" i="18"/>
  <c r="X175" i="18"/>
  <c r="Z175" i="18"/>
  <c r="AD175" i="18"/>
  <c r="J176" i="18"/>
  <c r="O176" i="18" s="1"/>
  <c r="K252" i="19" s="1"/>
  <c r="R176" i="18" s="1"/>
  <c r="S176" i="18" s="1"/>
  <c r="K176" i="18"/>
  <c r="X176" i="18" s="1"/>
  <c r="L176" i="18"/>
  <c r="M176" i="18"/>
  <c r="P176" i="18"/>
  <c r="Q176" i="18"/>
  <c r="U176" i="18"/>
  <c r="W176" i="18"/>
  <c r="Z176" i="18"/>
  <c r="AD176" i="18"/>
  <c r="J177" i="18"/>
  <c r="K177" i="18"/>
  <c r="L177" i="18"/>
  <c r="Q177" i="18"/>
  <c r="AD177" i="18"/>
  <c r="J178" i="18"/>
  <c r="M178" i="18" s="1"/>
  <c r="K178" i="18"/>
  <c r="L178" i="18"/>
  <c r="O178" i="18"/>
  <c r="K199" i="19" s="1"/>
  <c r="R178" i="18" s="1"/>
  <c r="P178" i="18"/>
  <c r="Q178" i="18"/>
  <c r="S178" i="18"/>
  <c r="W178" i="18"/>
  <c r="AD178" i="18"/>
  <c r="J179" i="18"/>
  <c r="K179" i="18"/>
  <c r="L179" i="18"/>
  <c r="M179" i="18"/>
  <c r="O179" i="18"/>
  <c r="K191" i="19" s="1"/>
  <c r="R179" i="18" s="1"/>
  <c r="Q179" i="18"/>
  <c r="S179" i="18"/>
  <c r="V179" i="18"/>
  <c r="W179" i="18"/>
  <c r="AD179" i="18"/>
  <c r="J180" i="18"/>
  <c r="M180" i="18" s="1"/>
  <c r="K180" i="18"/>
  <c r="L180" i="18"/>
  <c r="N180" i="18"/>
  <c r="O180" i="18"/>
  <c r="K282" i="19" s="1"/>
  <c r="R180" i="18" s="1"/>
  <c r="P180" i="18"/>
  <c r="L282" i="19" s="1"/>
  <c r="P282" i="19" s="1"/>
  <c r="Q180" i="18"/>
  <c r="U180" i="18"/>
  <c r="V180" i="18"/>
  <c r="W180" i="18"/>
  <c r="X180" i="18"/>
  <c r="AD180" i="18"/>
  <c r="J181" i="18"/>
  <c r="K181" i="18"/>
  <c r="L181" i="18"/>
  <c r="M181" i="18"/>
  <c r="N181" i="18"/>
  <c r="O181" i="18"/>
  <c r="K242" i="19" s="1"/>
  <c r="R181" i="18" s="1"/>
  <c r="P181" i="18"/>
  <c r="L242" i="19" s="1"/>
  <c r="Q181" i="18"/>
  <c r="S181" i="18"/>
  <c r="U181" i="18"/>
  <c r="Y181" i="18" s="1"/>
  <c r="V181" i="18"/>
  <c r="W181" i="18"/>
  <c r="X181" i="18"/>
  <c r="AD181" i="18"/>
  <c r="J182" i="18"/>
  <c r="M182" i="18" s="1"/>
  <c r="K182" i="18"/>
  <c r="L182" i="18"/>
  <c r="N182" i="18"/>
  <c r="O182" i="18"/>
  <c r="K250" i="19" s="1"/>
  <c r="R182" i="18" s="1"/>
  <c r="P182" i="18"/>
  <c r="L250" i="19" s="1"/>
  <c r="Q182" i="18"/>
  <c r="U182" i="18"/>
  <c r="V182" i="18"/>
  <c r="W182" i="18"/>
  <c r="X182" i="18"/>
  <c r="AD182" i="18"/>
  <c r="J183" i="18"/>
  <c r="M183" i="18" s="1"/>
  <c r="K183" i="18"/>
  <c r="L183" i="18"/>
  <c r="N183" i="18"/>
  <c r="Q183" i="18"/>
  <c r="U183" i="18"/>
  <c r="V183" i="18"/>
  <c r="W183" i="18"/>
  <c r="AD183" i="18"/>
  <c r="J184" i="18"/>
  <c r="K184" i="18"/>
  <c r="L184" i="18"/>
  <c r="Q184" i="18"/>
  <c r="AD184" i="18"/>
  <c r="J185" i="18"/>
  <c r="M185" i="18" s="1"/>
  <c r="K185" i="18"/>
  <c r="L185" i="18"/>
  <c r="O185" i="18"/>
  <c r="K149" i="19" s="1"/>
  <c r="R185" i="18" s="1"/>
  <c r="Q185" i="18"/>
  <c r="X185" i="18"/>
  <c r="AD185" i="18"/>
  <c r="J186" i="18"/>
  <c r="K186" i="18"/>
  <c r="U186" i="18" s="1"/>
  <c r="L186" i="18"/>
  <c r="N186" i="18"/>
  <c r="P186" i="18"/>
  <c r="Q186" i="18"/>
  <c r="V186" i="18"/>
  <c r="W186" i="18"/>
  <c r="AD186" i="18"/>
  <c r="J187" i="18"/>
  <c r="K187" i="18"/>
  <c r="N187" i="18" s="1"/>
  <c r="L187" i="18"/>
  <c r="P187" i="18"/>
  <c r="Q187" i="18"/>
  <c r="V187" i="18"/>
  <c r="W187" i="18"/>
  <c r="AD187" i="18"/>
  <c r="J188" i="18"/>
  <c r="K188" i="18"/>
  <c r="L188" i="18"/>
  <c r="N188" i="18"/>
  <c r="P188" i="18"/>
  <c r="L179" i="19" s="1"/>
  <c r="P179" i="19" s="1"/>
  <c r="Q188" i="18"/>
  <c r="U188" i="18"/>
  <c r="V188" i="18"/>
  <c r="Y188" i="18" s="1"/>
  <c r="W188" i="18"/>
  <c r="X188" i="18"/>
  <c r="AD188" i="18"/>
  <c r="J189" i="18"/>
  <c r="K189" i="18"/>
  <c r="L189" i="18"/>
  <c r="M189" i="18"/>
  <c r="O189" i="18"/>
  <c r="K311" i="19" s="1"/>
  <c r="R189" i="18" s="1"/>
  <c r="Q189" i="18"/>
  <c r="W189" i="18"/>
  <c r="AD189" i="18"/>
  <c r="J190" i="18"/>
  <c r="O190" i="18" s="1"/>
  <c r="K20" i="19" s="1"/>
  <c r="R190" i="18" s="1"/>
  <c r="S190" i="18" s="1"/>
  <c r="K190" i="18"/>
  <c r="W190" i="18" s="1"/>
  <c r="L190" i="18"/>
  <c r="M190" i="18"/>
  <c r="N190" i="18"/>
  <c r="P190" i="18"/>
  <c r="Q190" i="18"/>
  <c r="U190" i="18"/>
  <c r="X190" i="18"/>
  <c r="AD190" i="18"/>
  <c r="J191" i="18"/>
  <c r="O191" i="18" s="1"/>
  <c r="K249" i="19" s="1"/>
  <c r="R191" i="18" s="1"/>
  <c r="K191" i="18"/>
  <c r="L191" i="18"/>
  <c r="M191" i="18"/>
  <c r="Q191" i="18"/>
  <c r="AD191" i="18"/>
  <c r="J192" i="18"/>
  <c r="K192" i="18"/>
  <c r="L192" i="18"/>
  <c r="N192" i="18"/>
  <c r="P192" i="18"/>
  <c r="Q192" i="18"/>
  <c r="U192" i="18"/>
  <c r="X192" i="18"/>
  <c r="AD192" i="18"/>
  <c r="J193" i="18"/>
  <c r="K193" i="18"/>
  <c r="P193" i="18" s="1"/>
  <c r="L248" i="19" s="1"/>
  <c r="L193" i="18"/>
  <c r="Q193" i="18"/>
  <c r="U193" i="18"/>
  <c r="W193" i="18"/>
  <c r="AD193" i="18"/>
  <c r="J194" i="18"/>
  <c r="M194" i="18" s="1"/>
  <c r="K194" i="18"/>
  <c r="N194" i="18" s="1"/>
  <c r="L194" i="18"/>
  <c r="O194" i="18"/>
  <c r="K247" i="19" s="1"/>
  <c r="R194" i="18" s="1"/>
  <c r="Q194" i="18"/>
  <c r="W194" i="18"/>
  <c r="AD194" i="18"/>
  <c r="J195" i="18"/>
  <c r="M195" i="18" s="1"/>
  <c r="K195" i="18"/>
  <c r="L195" i="18"/>
  <c r="N195" i="18"/>
  <c r="O195" i="18"/>
  <c r="K93" i="19" s="1"/>
  <c r="R195" i="18" s="1"/>
  <c r="S195" i="18" s="1"/>
  <c r="P195" i="18"/>
  <c r="Q195" i="18"/>
  <c r="U195" i="18"/>
  <c r="V195" i="18"/>
  <c r="W195" i="18"/>
  <c r="X195" i="18"/>
  <c r="AD195" i="18"/>
  <c r="J196" i="18"/>
  <c r="M196" i="18" s="1"/>
  <c r="K196" i="18"/>
  <c r="L196" i="18"/>
  <c r="N196" i="18"/>
  <c r="P196" i="18"/>
  <c r="L78" i="19" s="1"/>
  <c r="Q196" i="18"/>
  <c r="U196" i="18"/>
  <c r="V196" i="18"/>
  <c r="W196" i="18"/>
  <c r="X196" i="18"/>
  <c r="AD196" i="18"/>
  <c r="J197" i="18"/>
  <c r="K197" i="18"/>
  <c r="L197" i="18"/>
  <c r="M197" i="18"/>
  <c r="N197" i="18"/>
  <c r="O197" i="18"/>
  <c r="K236" i="19" s="1"/>
  <c r="R197" i="18" s="1"/>
  <c r="S197" i="18" s="1"/>
  <c r="P197" i="18"/>
  <c r="L236" i="19" s="1"/>
  <c r="Q197" i="18"/>
  <c r="U197" i="18"/>
  <c r="V197" i="18"/>
  <c r="W197" i="18"/>
  <c r="X197" i="18"/>
  <c r="AD197" i="18"/>
  <c r="J198" i="18"/>
  <c r="M198" i="18" s="1"/>
  <c r="K198" i="18"/>
  <c r="L198" i="18"/>
  <c r="N198" i="18"/>
  <c r="O198" i="18"/>
  <c r="K233" i="19" s="1"/>
  <c r="P198" i="18"/>
  <c r="L233" i="19" s="1"/>
  <c r="Q198" i="18"/>
  <c r="R198" i="18"/>
  <c r="U198" i="18"/>
  <c r="V198" i="18"/>
  <c r="W198" i="18"/>
  <c r="X198" i="18"/>
  <c r="AD198" i="18"/>
  <c r="J199" i="18"/>
  <c r="M199" i="18" s="1"/>
  <c r="K199" i="18"/>
  <c r="L199" i="18"/>
  <c r="N199" i="18"/>
  <c r="O199" i="18"/>
  <c r="K255" i="19" s="1"/>
  <c r="R199" i="18" s="1"/>
  <c r="S199" i="18" s="1"/>
  <c r="Q199" i="18"/>
  <c r="U199" i="18"/>
  <c r="V199" i="18"/>
  <c r="W199" i="18"/>
  <c r="AD199" i="18"/>
  <c r="J200" i="18"/>
  <c r="O200" i="18" s="1"/>
  <c r="K237" i="19" s="1"/>
  <c r="R200" i="18" s="1"/>
  <c r="K200" i="18"/>
  <c r="L200" i="18"/>
  <c r="M200" i="18"/>
  <c r="Q200" i="18"/>
  <c r="S200" i="18"/>
  <c r="AD200" i="18"/>
  <c r="J201" i="18"/>
  <c r="M201" i="18" s="1"/>
  <c r="K201" i="18"/>
  <c r="P201" i="18" s="1"/>
  <c r="L201" i="18"/>
  <c r="O201" i="18"/>
  <c r="K238" i="19" s="1"/>
  <c r="R201" i="18" s="1"/>
  <c r="Q201" i="18"/>
  <c r="AD201" i="18"/>
  <c r="J202" i="18"/>
  <c r="K202" i="18"/>
  <c r="U202" i="18" s="1"/>
  <c r="L202" i="18"/>
  <c r="N202" i="18"/>
  <c r="P202" i="18"/>
  <c r="Q202" i="18"/>
  <c r="V202" i="18"/>
  <c r="W202" i="18"/>
  <c r="AD202" i="18"/>
  <c r="J203" i="18"/>
  <c r="O203" i="18" s="1"/>
  <c r="K243" i="19" s="1"/>
  <c r="K203" i="18"/>
  <c r="L203" i="18"/>
  <c r="M203" i="18"/>
  <c r="N203" i="18"/>
  <c r="Q203" i="18"/>
  <c r="R203" i="18"/>
  <c r="AD203" i="18"/>
  <c r="J204" i="18"/>
  <c r="O204" i="18" s="1"/>
  <c r="K244" i="19" s="1"/>
  <c r="K204" i="18"/>
  <c r="L204" i="18"/>
  <c r="N204" i="18"/>
  <c r="P204" i="18"/>
  <c r="Q204" i="18"/>
  <c r="R204" i="18"/>
  <c r="S204" i="18" s="1"/>
  <c r="U204" i="18"/>
  <c r="V204" i="18"/>
  <c r="W204" i="18"/>
  <c r="X204" i="18"/>
  <c r="Y204" i="18"/>
  <c r="AD204" i="18"/>
  <c r="J205" i="18"/>
  <c r="K205" i="18"/>
  <c r="N205" i="18" s="1"/>
  <c r="L205" i="18"/>
  <c r="M205" i="18"/>
  <c r="O205" i="18"/>
  <c r="K97" i="19" s="1"/>
  <c r="R205" i="18" s="1"/>
  <c r="P205" i="18"/>
  <c r="Q205" i="18"/>
  <c r="S205" i="18"/>
  <c r="V205" i="18"/>
  <c r="W205" i="18"/>
  <c r="AD205" i="18"/>
  <c r="J206" i="18"/>
  <c r="K206" i="18"/>
  <c r="L206" i="18"/>
  <c r="N206" i="18"/>
  <c r="Q206" i="18"/>
  <c r="V206" i="18"/>
  <c r="AD206" i="18"/>
  <c r="J207" i="18"/>
  <c r="O207" i="18" s="1"/>
  <c r="K77" i="19" s="1"/>
  <c r="R207" i="18" s="1"/>
  <c r="K207" i="18"/>
  <c r="L207" i="18"/>
  <c r="M207" i="18"/>
  <c r="N207" i="18"/>
  <c r="Q207" i="18"/>
  <c r="S207" i="18"/>
  <c r="V207" i="18"/>
  <c r="W207" i="18"/>
  <c r="AD207" i="18"/>
  <c r="J208" i="18"/>
  <c r="K208" i="18"/>
  <c r="W208" i="18" s="1"/>
  <c r="L208" i="18"/>
  <c r="P208" i="18"/>
  <c r="Q208" i="18"/>
  <c r="U208" i="18"/>
  <c r="V208" i="18"/>
  <c r="X208" i="18"/>
  <c r="AD208" i="18"/>
  <c r="J209" i="18"/>
  <c r="K209" i="18"/>
  <c r="N209" i="18" s="1"/>
  <c r="L209" i="18"/>
  <c r="P209" i="18"/>
  <c r="L100" i="19" s="1"/>
  <c r="Q209" i="18"/>
  <c r="U209" i="18"/>
  <c r="W209" i="18"/>
  <c r="X209" i="18"/>
  <c r="AD209" i="18"/>
  <c r="J210" i="18"/>
  <c r="M210" i="18" s="1"/>
  <c r="K210" i="18"/>
  <c r="L210" i="18"/>
  <c r="N210" i="18"/>
  <c r="O210" i="18"/>
  <c r="K290" i="19" s="1"/>
  <c r="R210" i="18" s="1"/>
  <c r="Q210" i="18"/>
  <c r="V210" i="18"/>
  <c r="AD210" i="18"/>
  <c r="J211" i="18"/>
  <c r="O211" i="18" s="1"/>
  <c r="K211" i="19" s="1"/>
  <c r="K211" i="18"/>
  <c r="U211" i="18" s="1"/>
  <c r="L211" i="18"/>
  <c r="M211" i="18"/>
  <c r="N211" i="18"/>
  <c r="P211" i="18"/>
  <c r="Q211" i="18"/>
  <c r="R211" i="18"/>
  <c r="S211" i="18" s="1"/>
  <c r="V211" i="18"/>
  <c r="W211" i="18"/>
  <c r="X211" i="18"/>
  <c r="AD211" i="18"/>
  <c r="J212" i="18"/>
  <c r="M212" i="18" s="1"/>
  <c r="K212" i="18"/>
  <c r="L212" i="18"/>
  <c r="N212" i="18"/>
  <c r="O212" i="18"/>
  <c r="K212" i="19" s="1"/>
  <c r="R212" i="18" s="1"/>
  <c r="P212" i="18"/>
  <c r="L212" i="19" s="1"/>
  <c r="P212" i="19" s="1"/>
  <c r="Q212" i="18"/>
  <c r="U212" i="18"/>
  <c r="V212" i="18"/>
  <c r="W212" i="18"/>
  <c r="X212" i="18"/>
  <c r="Y212" i="18"/>
  <c r="AD212" i="18"/>
  <c r="J213" i="18"/>
  <c r="K213" i="18"/>
  <c r="N213" i="18" s="1"/>
  <c r="L213" i="18"/>
  <c r="M213" i="18"/>
  <c r="O213" i="18"/>
  <c r="K101" i="19" s="1"/>
  <c r="R213" i="18" s="1"/>
  <c r="T213" i="18" s="1"/>
  <c r="P213" i="18"/>
  <c r="L101" i="19" s="1"/>
  <c r="Q213" i="18"/>
  <c r="X213" i="18"/>
  <c r="AD213" i="18"/>
  <c r="J214" i="18"/>
  <c r="K214" i="18"/>
  <c r="X214" i="18" s="1"/>
  <c r="L214" i="18"/>
  <c r="P214" i="18"/>
  <c r="Q214" i="18"/>
  <c r="U214" i="18"/>
  <c r="W214" i="18"/>
  <c r="AD214" i="18"/>
  <c r="J215" i="18"/>
  <c r="K215" i="18"/>
  <c r="L215" i="18"/>
  <c r="Q215" i="18"/>
  <c r="AD215" i="18"/>
  <c r="J216" i="18"/>
  <c r="O216" i="18" s="1"/>
  <c r="K124" i="19" s="1"/>
  <c r="K216" i="18"/>
  <c r="W216" i="18" s="1"/>
  <c r="L216" i="18"/>
  <c r="M216" i="18"/>
  <c r="N216" i="18"/>
  <c r="P216" i="18"/>
  <c r="Q216" i="18"/>
  <c r="R216" i="18"/>
  <c r="S216" i="18" s="1"/>
  <c r="U216" i="18"/>
  <c r="V216" i="18"/>
  <c r="X216" i="18"/>
  <c r="Y216" i="18"/>
  <c r="AD216" i="18"/>
  <c r="J217" i="18"/>
  <c r="M217" i="18" s="1"/>
  <c r="K217" i="18"/>
  <c r="N217" i="18" s="1"/>
  <c r="L217" i="18"/>
  <c r="O217" i="18"/>
  <c r="K302" i="19" s="1"/>
  <c r="R217" i="18" s="1"/>
  <c r="S217" i="18" s="1"/>
  <c r="P217" i="18"/>
  <c r="Q217" i="18"/>
  <c r="U217" i="18"/>
  <c r="W217" i="18"/>
  <c r="X217" i="18"/>
  <c r="AD217" i="18"/>
  <c r="J218" i="18"/>
  <c r="M218" i="18" s="1"/>
  <c r="K218" i="18"/>
  <c r="N218" i="18" s="1"/>
  <c r="L218" i="18"/>
  <c r="O218" i="18"/>
  <c r="K314" i="19" s="1"/>
  <c r="R218" i="18" s="1"/>
  <c r="Q218" i="18"/>
  <c r="S218" i="18"/>
  <c r="X218" i="18"/>
  <c r="AD218" i="18"/>
  <c r="J219" i="18"/>
  <c r="K219" i="18"/>
  <c r="L219" i="18"/>
  <c r="M219" i="18"/>
  <c r="O219" i="18"/>
  <c r="K140" i="19" s="1"/>
  <c r="R219" i="18" s="1"/>
  <c r="Q219" i="18"/>
  <c r="AD219" i="18"/>
  <c r="J220" i="18"/>
  <c r="K220" i="18"/>
  <c r="L220" i="18"/>
  <c r="M220" i="18"/>
  <c r="N220" i="18"/>
  <c r="O220" i="18"/>
  <c r="K167" i="19" s="1"/>
  <c r="R220" i="18" s="1"/>
  <c r="S220" i="18" s="1"/>
  <c r="P220" i="18"/>
  <c r="L167" i="19" s="1"/>
  <c r="P167" i="19" s="1"/>
  <c r="Q220" i="18"/>
  <c r="T220" i="18"/>
  <c r="U220" i="18"/>
  <c r="V220" i="18"/>
  <c r="W220" i="18"/>
  <c r="X220" i="18"/>
  <c r="Y220" i="18"/>
  <c r="AD220" i="18"/>
  <c r="J221" i="18"/>
  <c r="K221" i="18"/>
  <c r="L221" i="18"/>
  <c r="M221" i="18"/>
  <c r="O221" i="18"/>
  <c r="K150" i="19" s="1"/>
  <c r="R221" i="18" s="1"/>
  <c r="Q221" i="18"/>
  <c r="U221" i="18"/>
  <c r="AD221" i="18"/>
  <c r="J222" i="18"/>
  <c r="K222" i="18"/>
  <c r="L222" i="18"/>
  <c r="M222" i="18"/>
  <c r="O222" i="18"/>
  <c r="K141" i="19" s="1"/>
  <c r="R222" i="18" s="1"/>
  <c r="S222" i="18" s="1"/>
  <c r="P222" i="18"/>
  <c r="Q222" i="18"/>
  <c r="U222" i="18"/>
  <c r="W222" i="18"/>
  <c r="X222" i="18"/>
  <c r="AD222" i="18"/>
  <c r="J223" i="18"/>
  <c r="M223" i="18" s="1"/>
  <c r="K223" i="18"/>
  <c r="L223" i="18"/>
  <c r="O223" i="18"/>
  <c r="K142" i="19" s="1"/>
  <c r="Q223" i="18"/>
  <c r="R223" i="18"/>
  <c r="S223" i="18" s="1"/>
  <c r="V223" i="18"/>
  <c r="AD223" i="18"/>
  <c r="J224" i="18"/>
  <c r="K224" i="18"/>
  <c r="N224" i="18" s="1"/>
  <c r="L224" i="18"/>
  <c r="Q224" i="18"/>
  <c r="U224" i="18"/>
  <c r="AD224" i="18"/>
  <c r="J225" i="18"/>
  <c r="K225" i="18"/>
  <c r="N225" i="18" s="1"/>
  <c r="L225" i="18"/>
  <c r="M225" i="18"/>
  <c r="O225" i="18"/>
  <c r="K143" i="19" s="1"/>
  <c r="R225" i="18" s="1"/>
  <c r="S225" i="18" s="1"/>
  <c r="P225" i="18"/>
  <c r="L143" i="19" s="1"/>
  <c r="Q225" i="18"/>
  <c r="U225" i="18"/>
  <c r="W225" i="18"/>
  <c r="X225" i="18"/>
  <c r="AD225" i="18"/>
  <c r="J226" i="18"/>
  <c r="M226" i="18" s="1"/>
  <c r="K226" i="18"/>
  <c r="U226" i="18" s="1"/>
  <c r="L226" i="18"/>
  <c r="N226" i="18"/>
  <c r="O226" i="18"/>
  <c r="K144" i="19" s="1"/>
  <c r="R226" i="18" s="1"/>
  <c r="P226" i="18"/>
  <c r="L144" i="19" s="1"/>
  <c r="Q226" i="18"/>
  <c r="T226" i="18"/>
  <c r="V226" i="18"/>
  <c r="X226" i="18"/>
  <c r="AD226" i="18"/>
  <c r="J227" i="18"/>
  <c r="M227" i="18" s="1"/>
  <c r="K227" i="18"/>
  <c r="N227" i="18" s="1"/>
  <c r="L227" i="18"/>
  <c r="O227" i="18"/>
  <c r="K145" i="19" s="1"/>
  <c r="R227" i="18" s="1"/>
  <c r="S227" i="18" s="1"/>
  <c r="P227" i="18"/>
  <c r="Q227" i="18"/>
  <c r="U227" i="18"/>
  <c r="V227" i="18"/>
  <c r="X227" i="18"/>
  <c r="AD227" i="18"/>
  <c r="J228" i="18"/>
  <c r="K228" i="18"/>
  <c r="L228" i="18"/>
  <c r="N228" i="18"/>
  <c r="P228" i="18"/>
  <c r="L320" i="19" s="1"/>
  <c r="P320" i="19" s="1"/>
  <c r="Q228" i="18"/>
  <c r="U228" i="18"/>
  <c r="V228" i="18"/>
  <c r="W228" i="18"/>
  <c r="X228" i="18"/>
  <c r="Y228" i="18"/>
  <c r="AD228" i="18"/>
  <c r="J229" i="18"/>
  <c r="K229" i="18"/>
  <c r="L229" i="18"/>
  <c r="M229" i="18"/>
  <c r="O229" i="18"/>
  <c r="K146" i="19" s="1"/>
  <c r="R229" i="18" s="1"/>
  <c r="Q229" i="18"/>
  <c r="V229" i="18"/>
  <c r="AD229" i="18"/>
  <c r="J230" i="18"/>
  <c r="M230" i="18" s="1"/>
  <c r="K230" i="18"/>
  <c r="L230" i="18"/>
  <c r="Q230" i="18"/>
  <c r="X230" i="18"/>
  <c r="AD230" i="18"/>
  <c r="J231" i="18"/>
  <c r="M231" i="18" s="1"/>
  <c r="K231" i="18"/>
  <c r="L231" i="18"/>
  <c r="O231" i="18"/>
  <c r="K254" i="19" s="1"/>
  <c r="R231" i="18" s="1"/>
  <c r="Q231" i="18"/>
  <c r="AD231" i="18"/>
  <c r="J232" i="18"/>
  <c r="O232" i="18" s="1"/>
  <c r="K147" i="19" s="1"/>
  <c r="K232" i="18"/>
  <c r="L232" i="18"/>
  <c r="Q232" i="18"/>
  <c r="R232" i="18"/>
  <c r="AD232" i="18"/>
  <c r="J233" i="18"/>
  <c r="O233" i="18" s="1"/>
  <c r="K137" i="19" s="1"/>
  <c r="K233" i="18"/>
  <c r="N233" i="18" s="1"/>
  <c r="L233" i="18"/>
  <c r="P233" i="18"/>
  <c r="L137" i="19" s="1"/>
  <c r="Q233" i="18"/>
  <c r="R233" i="18"/>
  <c r="S233" i="18" s="1"/>
  <c r="U233" i="18"/>
  <c r="W233" i="18"/>
  <c r="X233" i="18"/>
  <c r="AD233" i="18"/>
  <c r="J234" i="18"/>
  <c r="M234" i="18" s="1"/>
  <c r="K234" i="18"/>
  <c r="N234" i="18" s="1"/>
  <c r="L234" i="18"/>
  <c r="O234" i="18"/>
  <c r="K148" i="19" s="1"/>
  <c r="R234" i="18" s="1"/>
  <c r="Q234" i="18"/>
  <c r="V234" i="18"/>
  <c r="W234" i="18"/>
  <c r="AD234" i="18"/>
  <c r="J235" i="18"/>
  <c r="M235" i="18" s="1"/>
  <c r="K235" i="18"/>
  <c r="L235" i="18"/>
  <c r="N235" i="18"/>
  <c r="O235" i="18"/>
  <c r="K307" i="19" s="1"/>
  <c r="R235" i="18" s="1"/>
  <c r="S235" i="18" s="1"/>
  <c r="P235" i="18"/>
  <c r="Q235" i="18"/>
  <c r="U235" i="18"/>
  <c r="V235" i="18"/>
  <c r="W235" i="18"/>
  <c r="X235" i="18"/>
  <c r="AD235" i="18"/>
  <c r="J236" i="18"/>
  <c r="K236" i="18"/>
  <c r="L236" i="18"/>
  <c r="N236" i="18"/>
  <c r="P236" i="18"/>
  <c r="L102" i="19" s="1"/>
  <c r="Q236" i="18"/>
  <c r="U236" i="18"/>
  <c r="V236" i="18"/>
  <c r="W236" i="18"/>
  <c r="X236" i="18"/>
  <c r="Y236" i="18"/>
  <c r="AD236" i="18"/>
  <c r="J237" i="18"/>
  <c r="K237" i="18"/>
  <c r="L237" i="18"/>
  <c r="M237" i="18"/>
  <c r="O237" i="18"/>
  <c r="K103" i="19" s="1"/>
  <c r="R237" i="18" s="1"/>
  <c r="Q237" i="18"/>
  <c r="AD237" i="18"/>
  <c r="J238" i="18"/>
  <c r="M238" i="18" s="1"/>
  <c r="K238" i="18"/>
  <c r="L238" i="18"/>
  <c r="O238" i="18"/>
  <c r="K125" i="19" s="1"/>
  <c r="R238" i="18" s="1"/>
  <c r="Q238" i="18"/>
  <c r="AD238" i="18"/>
  <c r="J239" i="18"/>
  <c r="K239" i="18"/>
  <c r="L239" i="18"/>
  <c r="N239" i="18"/>
  <c r="Q239" i="18"/>
  <c r="V239" i="18"/>
  <c r="AD239" i="18"/>
  <c r="J240" i="18"/>
  <c r="O240" i="18" s="1"/>
  <c r="K105" i="19" s="1"/>
  <c r="K240" i="18"/>
  <c r="N240" i="18" s="1"/>
  <c r="L240" i="18"/>
  <c r="M240" i="18"/>
  <c r="Q240" i="18"/>
  <c r="R240" i="18"/>
  <c r="X240" i="18"/>
  <c r="AD240" i="18"/>
  <c r="J241" i="18"/>
  <c r="K241" i="18"/>
  <c r="N241" i="18" s="1"/>
  <c r="L241" i="18"/>
  <c r="P241" i="18"/>
  <c r="Q241" i="18"/>
  <c r="U241" i="18"/>
  <c r="W241" i="18"/>
  <c r="X241" i="18"/>
  <c r="AD241" i="18"/>
  <c r="J242" i="18"/>
  <c r="M242" i="18" s="1"/>
  <c r="K242" i="18"/>
  <c r="U242" i="18" s="1"/>
  <c r="Y242" i="18" s="1"/>
  <c r="L242" i="18"/>
  <c r="N242" i="18"/>
  <c r="O242" i="18"/>
  <c r="K234" i="19" s="1"/>
  <c r="R242" i="18" s="1"/>
  <c r="P242" i="18"/>
  <c r="L234" i="19" s="1"/>
  <c r="Q242" i="18"/>
  <c r="S242" i="18"/>
  <c r="T242" i="18"/>
  <c r="V242" i="18"/>
  <c r="W242" i="18"/>
  <c r="X242" i="18"/>
  <c r="AD242" i="18"/>
  <c r="J243" i="18"/>
  <c r="M243" i="18" s="1"/>
  <c r="K243" i="18"/>
  <c r="X243" i="18" s="1"/>
  <c r="L243" i="18"/>
  <c r="N243" i="18"/>
  <c r="O243" i="18"/>
  <c r="K235" i="19" s="1"/>
  <c r="R243" i="18" s="1"/>
  <c r="Q243" i="18"/>
  <c r="U243" i="18"/>
  <c r="W243" i="18"/>
  <c r="AD243" i="18"/>
  <c r="J244" i="18"/>
  <c r="K244" i="18"/>
  <c r="L244" i="18"/>
  <c r="N244" i="18"/>
  <c r="P244" i="18"/>
  <c r="L112" i="19" s="1"/>
  <c r="P112" i="19" s="1"/>
  <c r="Q244" i="18"/>
  <c r="U244" i="18"/>
  <c r="Y244" i="18" s="1"/>
  <c r="V244" i="18"/>
  <c r="W244" i="18"/>
  <c r="X244" i="18"/>
  <c r="AD244" i="18"/>
  <c r="J245" i="18"/>
  <c r="K245" i="18"/>
  <c r="L245" i="18"/>
  <c r="M245" i="18"/>
  <c r="N245" i="18"/>
  <c r="O245" i="18"/>
  <c r="K131" i="19" s="1"/>
  <c r="R245" i="18" s="1"/>
  <c r="Q245" i="18"/>
  <c r="S245" i="18"/>
  <c r="U245" i="18"/>
  <c r="AD245" i="18"/>
  <c r="J246" i="18"/>
  <c r="K246" i="18"/>
  <c r="L246" i="18"/>
  <c r="M246" i="18"/>
  <c r="N246" i="18"/>
  <c r="O246" i="18"/>
  <c r="K134" i="19" s="1"/>
  <c r="R246" i="18" s="1"/>
  <c r="Q246" i="18"/>
  <c r="U246" i="18"/>
  <c r="W246" i="18"/>
  <c r="X246" i="18"/>
  <c r="AD246" i="18"/>
  <c r="J247" i="18"/>
  <c r="K247" i="18"/>
  <c r="L247" i="18"/>
  <c r="M247" i="18"/>
  <c r="N247" i="18"/>
  <c r="O247" i="18"/>
  <c r="K132" i="19" s="1"/>
  <c r="R247" i="18" s="1"/>
  <c r="S247" i="18" s="1"/>
  <c r="Q247" i="18"/>
  <c r="V247" i="18"/>
  <c r="W247" i="18"/>
  <c r="AD247" i="18"/>
  <c r="G5" i="20"/>
  <c r="D8" i="20" s="1"/>
  <c r="A7" i="20"/>
  <c r="F7" i="20"/>
  <c r="C8" i="20"/>
  <c r="C9" i="20"/>
  <c r="H16" i="20"/>
  <c r="D20" i="20" s="1"/>
  <c r="A19" i="20"/>
  <c r="C20" i="20" s="1"/>
  <c r="C19" i="20"/>
  <c r="D19" i="20"/>
  <c r="F19" i="20"/>
  <c r="H27" i="20"/>
  <c r="D30" i="20"/>
  <c r="F30" i="20" s="1"/>
  <c r="D31" i="20"/>
  <c r="H37" i="20"/>
  <c r="D40" i="20"/>
  <c r="F40" i="20"/>
  <c r="D41" i="20"/>
  <c r="H49" i="20"/>
  <c r="D54" i="20" s="1"/>
  <c r="D52" i="20"/>
  <c r="E52" i="20"/>
  <c r="D53" i="20"/>
  <c r="E53" i="20"/>
  <c r="H62" i="20"/>
  <c r="C65" i="20"/>
  <c r="D65" i="20"/>
  <c r="F65" i="20"/>
  <c r="C66" i="20"/>
  <c r="F66" i="20" s="1"/>
  <c r="D66" i="20"/>
  <c r="D67" i="20"/>
  <c r="H74" i="20"/>
  <c r="D78" i="20" s="1"/>
  <c r="C77" i="20"/>
  <c r="D77" i="20"/>
  <c r="F77" i="20" s="1"/>
  <c r="H83" i="20"/>
  <c r="D87" i="20" s="1"/>
  <c r="F87" i="20" s="1"/>
  <c r="F88" i="20" s="1"/>
  <c r="A86" i="20"/>
  <c r="F86" i="20"/>
  <c r="C87" i="20"/>
  <c r="C88" i="20" s="1"/>
  <c r="H88" i="20"/>
  <c r="H97" i="20"/>
  <c r="D101" i="20" s="1"/>
  <c r="C99" i="20"/>
  <c r="D99" i="20"/>
  <c r="F99" i="20" s="1"/>
  <c r="C100" i="20"/>
  <c r="F100" i="20" s="1"/>
  <c r="D100" i="20"/>
  <c r="H109" i="20"/>
  <c r="C112" i="20"/>
  <c r="D112" i="20"/>
  <c r="F112" i="20"/>
  <c r="D113" i="20"/>
  <c r="F113" i="20"/>
  <c r="D114" i="20"/>
  <c r="H120" i="20"/>
  <c r="D124" i="20" s="1"/>
  <c r="C123" i="20"/>
  <c r="D123" i="20"/>
  <c r="F123" i="20"/>
  <c r="H130" i="20"/>
  <c r="F133" i="20"/>
  <c r="D134" i="20"/>
  <c r="H142" i="20"/>
  <c r="F145" i="20"/>
  <c r="D146" i="20"/>
  <c r="H153" i="20"/>
  <c r="D156" i="20"/>
  <c r="F156" i="20"/>
  <c r="D157" i="20"/>
  <c r="H164" i="20"/>
  <c r="C167" i="20"/>
  <c r="D167" i="20"/>
  <c r="D168" i="20"/>
  <c r="H174" i="20"/>
  <c r="D177" i="20"/>
  <c r="F177" i="20"/>
  <c r="D178" i="20"/>
  <c r="B244" i="26"/>
  <c r="C244" i="26"/>
  <c r="A1" i="3"/>
  <c r="K1" i="3"/>
  <c r="K2" i="3"/>
  <c r="K3" i="3"/>
  <c r="K114" i="3" s="1"/>
  <c r="N114" i="3" s="1"/>
  <c r="J6" i="3"/>
  <c r="J58" i="16" s="1"/>
  <c r="O7" i="3"/>
  <c r="I8" i="3"/>
  <c r="I10" i="3"/>
  <c r="J10" i="3"/>
  <c r="K59" i="16" s="1"/>
  <c r="O12" i="3"/>
  <c r="I14" i="3"/>
  <c r="J14" i="3"/>
  <c r="J15" i="3"/>
  <c r="J69" i="16" s="1"/>
  <c r="O17" i="3"/>
  <c r="I18" i="3"/>
  <c r="J18" i="3"/>
  <c r="K178" i="16" s="1"/>
  <c r="J19" i="3"/>
  <c r="O21" i="3"/>
  <c r="I24" i="3"/>
  <c r="J24" i="3"/>
  <c r="K152" i="16" s="1"/>
  <c r="L152" i="16" s="1"/>
  <c r="O25" i="3"/>
  <c r="K27" i="3"/>
  <c r="N27" i="3" s="1"/>
  <c r="O27" i="3"/>
  <c r="O28" i="3"/>
  <c r="J30" i="3"/>
  <c r="I31" i="3"/>
  <c r="O32" i="3"/>
  <c r="J34" i="3"/>
  <c r="K158" i="16" s="1"/>
  <c r="J35" i="3"/>
  <c r="J159" i="16" s="1"/>
  <c r="K36" i="3"/>
  <c r="N36" i="3" s="1"/>
  <c r="I37" i="3"/>
  <c r="J37" i="3"/>
  <c r="O37" i="3"/>
  <c r="N38" i="3"/>
  <c r="I39" i="3"/>
  <c r="N39" i="3"/>
  <c r="O39" i="3"/>
  <c r="I40" i="3"/>
  <c r="N40" i="3"/>
  <c r="O40" i="3"/>
  <c r="N41" i="3"/>
  <c r="O41" i="3"/>
  <c r="J42" i="3"/>
  <c r="J61" i="16" s="1"/>
  <c r="N42" i="3"/>
  <c r="J43" i="3"/>
  <c r="K62" i="16" s="1"/>
  <c r="N43" i="3"/>
  <c r="N44" i="3"/>
  <c r="I45" i="3"/>
  <c r="N45" i="3"/>
  <c r="O45" i="3"/>
  <c r="N46" i="3"/>
  <c r="O46" i="3"/>
  <c r="N47" i="3"/>
  <c r="I48" i="3"/>
  <c r="N48" i="3"/>
  <c r="P48" i="3"/>
  <c r="J49" i="3"/>
  <c r="N49" i="3"/>
  <c r="J50" i="3"/>
  <c r="N50" i="3"/>
  <c r="J51" i="3"/>
  <c r="N51" i="3"/>
  <c r="P51" i="3" s="1"/>
  <c r="N52" i="3"/>
  <c r="N53" i="3"/>
  <c r="O53" i="3"/>
  <c r="N54" i="3"/>
  <c r="N55" i="3"/>
  <c r="J56" i="3"/>
  <c r="N56" i="3"/>
  <c r="P56" i="3"/>
  <c r="I57" i="3"/>
  <c r="N57" i="3"/>
  <c r="N58" i="3"/>
  <c r="O58" i="3"/>
  <c r="J59" i="3"/>
  <c r="O59" i="3"/>
  <c r="J60" i="3"/>
  <c r="O60" i="3"/>
  <c r="O63" i="3"/>
  <c r="J64" i="3"/>
  <c r="J218" i="16" s="1"/>
  <c r="I65" i="3"/>
  <c r="K66" i="3"/>
  <c r="N66" i="3" s="1"/>
  <c r="I68" i="3"/>
  <c r="J68" i="3"/>
  <c r="K68" i="3"/>
  <c r="N68" i="3" s="1"/>
  <c r="I72" i="3"/>
  <c r="J72" i="3"/>
  <c r="O72" i="3"/>
  <c r="K74" i="3"/>
  <c r="N74" i="3" s="1"/>
  <c r="O75" i="3"/>
  <c r="I78" i="3"/>
  <c r="J78" i="3"/>
  <c r="O78" i="3"/>
  <c r="I79" i="3"/>
  <c r="J79" i="3"/>
  <c r="O79" i="3"/>
  <c r="K80" i="3"/>
  <c r="N80" i="3" s="1"/>
  <c r="P80" i="3" s="1"/>
  <c r="I82" i="3"/>
  <c r="J82" i="3"/>
  <c r="O82" i="3"/>
  <c r="O83" i="3"/>
  <c r="I86" i="3"/>
  <c r="J86" i="3"/>
  <c r="O86" i="3"/>
  <c r="I87" i="3"/>
  <c r="J87" i="3"/>
  <c r="K87" i="3"/>
  <c r="N87" i="3"/>
  <c r="O87" i="3"/>
  <c r="P87" i="3"/>
  <c r="I88" i="3"/>
  <c r="J88" i="3"/>
  <c r="O88" i="3"/>
  <c r="I89" i="3"/>
  <c r="J89" i="3"/>
  <c r="K89" i="3"/>
  <c r="N89" i="3" s="1"/>
  <c r="P89" i="3" s="1"/>
  <c r="O89" i="3"/>
  <c r="I90" i="3"/>
  <c r="J90" i="3"/>
  <c r="O90" i="3"/>
  <c r="I91" i="3"/>
  <c r="O91" i="3"/>
  <c r="I92" i="3"/>
  <c r="O92" i="3"/>
  <c r="I93" i="3"/>
  <c r="K93" i="3"/>
  <c r="N93" i="3" s="1"/>
  <c r="O94" i="3"/>
  <c r="I95" i="3"/>
  <c r="J96" i="3"/>
  <c r="J106" i="16" s="1"/>
  <c r="K96" i="3"/>
  <c r="N96" i="3" s="1"/>
  <c r="P96" i="3" s="1"/>
  <c r="K97" i="3"/>
  <c r="N97" i="3" s="1"/>
  <c r="K98" i="3"/>
  <c r="N98" i="3" s="1"/>
  <c r="O98" i="3"/>
  <c r="O100" i="3"/>
  <c r="J101" i="3"/>
  <c r="J145" i="16" s="1"/>
  <c r="J102" i="3"/>
  <c r="K146" i="16" s="1"/>
  <c r="L146" i="16" s="1"/>
  <c r="O102" i="3"/>
  <c r="J104" i="3"/>
  <c r="K142" i="16" s="1"/>
  <c r="O106" i="3"/>
  <c r="J108" i="3"/>
  <c r="I109" i="3"/>
  <c r="O109" i="3"/>
  <c r="J110" i="3"/>
  <c r="O110" i="3"/>
  <c r="K111" i="3"/>
  <c r="N111" i="3" s="1"/>
  <c r="O112" i="3"/>
  <c r="O115" i="3"/>
  <c r="J116" i="3"/>
  <c r="O125" i="3"/>
  <c r="J128" i="3"/>
  <c r="J226" i="16" s="1"/>
  <c r="I129" i="3"/>
  <c r="J129" i="3"/>
  <c r="J227" i="16" s="1"/>
  <c r="O130" i="3"/>
  <c r="O131" i="3"/>
  <c r="I132" i="3"/>
  <c r="J132" i="3"/>
  <c r="O132" i="3"/>
  <c r="I133" i="3"/>
  <c r="J133" i="3"/>
  <c r="O133" i="3"/>
  <c r="I134" i="3"/>
  <c r="J134" i="3"/>
  <c r="O134" i="3"/>
  <c r="I135" i="3"/>
  <c r="J135" i="3"/>
  <c r="O135" i="3"/>
  <c r="I136" i="3"/>
  <c r="J136" i="3"/>
  <c r="O136" i="3"/>
  <c r="I137" i="3"/>
  <c r="J137" i="3"/>
  <c r="O137" i="3"/>
  <c r="I138" i="3"/>
  <c r="J138" i="3"/>
  <c r="O138" i="3"/>
  <c r="I139" i="3"/>
  <c r="J139" i="3"/>
  <c r="O139" i="3"/>
  <c r="I140" i="3"/>
  <c r="J140" i="3"/>
  <c r="O140" i="3"/>
  <c r="I141" i="3"/>
  <c r="J141" i="3"/>
  <c r="O141" i="3"/>
  <c r="J142" i="3"/>
  <c r="K142" i="3"/>
  <c r="N142" i="3" s="1"/>
  <c r="J143" i="3"/>
  <c r="J115" i="16" s="1"/>
  <c r="K144" i="3"/>
  <c r="N144" i="3"/>
  <c r="P144" i="3" s="1"/>
  <c r="I145" i="3"/>
  <c r="J145" i="3"/>
  <c r="K145" i="3"/>
  <c r="N145" i="3" s="1"/>
  <c r="O145" i="3"/>
  <c r="P145" i="3"/>
  <c r="J146" i="3"/>
  <c r="I147" i="3"/>
  <c r="J147" i="3"/>
  <c r="J19" i="16" s="1"/>
  <c r="I148" i="3"/>
  <c r="J148" i="3"/>
  <c r="K148" i="3"/>
  <c r="N148" i="3" s="1"/>
  <c r="P148" i="3" s="1"/>
  <c r="O148" i="3"/>
  <c r="I149" i="3"/>
  <c r="J149" i="3"/>
  <c r="O149" i="3"/>
  <c r="I150" i="3"/>
  <c r="J150" i="3"/>
  <c r="O150" i="3"/>
  <c r="I151" i="3"/>
  <c r="J151" i="3"/>
  <c r="O151" i="3"/>
  <c r="J152" i="3"/>
  <c r="K119" i="16" s="1"/>
  <c r="I153" i="3"/>
  <c r="J153" i="3"/>
  <c r="O154" i="3"/>
  <c r="O155" i="3"/>
  <c r="O156" i="3"/>
  <c r="J158" i="3"/>
  <c r="J159" i="3"/>
  <c r="I160" i="3"/>
  <c r="J161" i="3"/>
  <c r="O162" i="3"/>
  <c r="I163" i="3"/>
  <c r="O163" i="3"/>
  <c r="K164" i="3"/>
  <c r="N164" i="3" s="1"/>
  <c r="J166" i="3"/>
  <c r="I167" i="3"/>
  <c r="J167" i="3"/>
  <c r="O167" i="3"/>
  <c r="J168" i="3"/>
  <c r="O168" i="3"/>
  <c r="J169" i="3"/>
  <c r="O171" i="3"/>
  <c r="J172" i="3"/>
  <c r="J173" i="3"/>
  <c r="J28" i="16" s="1"/>
  <c r="O173" i="3"/>
  <c r="I174" i="3"/>
  <c r="J175" i="3"/>
  <c r="J176" i="3"/>
  <c r="J31" i="16" s="1"/>
  <c r="O177" i="3"/>
  <c r="J179" i="3"/>
  <c r="I180" i="3"/>
  <c r="J181" i="3"/>
  <c r="J36" i="16" s="1"/>
  <c r="O181" i="3"/>
  <c r="J182" i="3"/>
  <c r="O182" i="3"/>
  <c r="O183" i="3"/>
  <c r="O184" i="3"/>
  <c r="J185" i="3"/>
  <c r="K39" i="16" s="1"/>
  <c r="I187" i="3"/>
  <c r="O187" i="3"/>
  <c r="J188" i="3"/>
  <c r="J42" i="16" s="1"/>
  <c r="I189" i="3"/>
  <c r="O190" i="3"/>
  <c r="O191" i="3"/>
  <c r="J192" i="3"/>
  <c r="O192" i="3"/>
  <c r="O194" i="3"/>
  <c r="O195" i="3"/>
  <c r="O197" i="3"/>
  <c r="I198" i="3"/>
  <c r="J199" i="3"/>
  <c r="J200" i="3"/>
  <c r="O201" i="3"/>
  <c r="J205" i="3"/>
  <c r="J202" i="16" s="1"/>
  <c r="O205" i="3"/>
  <c r="O206" i="3"/>
  <c r="J207" i="3"/>
  <c r="J208" i="3"/>
  <c r="K222" i="16" s="1"/>
  <c r="L222" i="16" s="1"/>
  <c r="K209" i="3"/>
  <c r="N209" i="3" s="1"/>
  <c r="I210" i="3"/>
  <c r="O210" i="3"/>
  <c r="I211" i="3"/>
  <c r="J211" i="3"/>
  <c r="J212" i="3"/>
  <c r="O212" i="3"/>
  <c r="O213" i="3"/>
  <c r="I216" i="3"/>
  <c r="J216" i="3"/>
  <c r="J79" i="16" s="1"/>
  <c r="O216" i="3"/>
  <c r="O217" i="3"/>
  <c r="J219" i="3"/>
  <c r="K82" i="16" s="1"/>
  <c r="O219" i="3"/>
  <c r="I220" i="3"/>
  <c r="J220" i="3"/>
  <c r="O221" i="3"/>
  <c r="J222" i="3"/>
  <c r="O222" i="3"/>
  <c r="K224" i="3"/>
  <c r="N224" i="3" s="1"/>
  <c r="O224" i="3"/>
  <c r="O225" i="3"/>
  <c r="J227" i="3"/>
  <c r="K89" i="16" s="1"/>
  <c r="L89" i="16" s="1"/>
  <c r="O227" i="3"/>
  <c r="I228" i="3"/>
  <c r="J228" i="3"/>
  <c r="I229" i="3"/>
  <c r="O229" i="3"/>
  <c r="O230" i="3"/>
  <c r="I233" i="3"/>
  <c r="J233" i="3"/>
  <c r="J95" i="16" s="1"/>
  <c r="K234" i="3"/>
  <c r="N234" i="3" s="1"/>
  <c r="I235" i="3"/>
  <c r="J235" i="3"/>
  <c r="K235" i="3"/>
  <c r="N235" i="3" s="1"/>
  <c r="P235" i="3" s="1"/>
  <c r="O235" i="3"/>
  <c r="I236" i="3"/>
  <c r="J236" i="3"/>
  <c r="O236" i="3"/>
  <c r="I238" i="3"/>
  <c r="J238" i="3"/>
  <c r="K238" i="3"/>
  <c r="N238" i="3" s="1"/>
  <c r="P238" i="3" s="1"/>
  <c r="O238" i="3"/>
  <c r="J239" i="3"/>
  <c r="J127" i="16" s="1"/>
  <c r="K239" i="3"/>
  <c r="N239" i="3" s="1"/>
  <c r="I240" i="3"/>
  <c r="J240" i="3"/>
  <c r="K240" i="3"/>
  <c r="N240" i="3" s="1"/>
  <c r="P240" i="3" s="1"/>
  <c r="O240" i="3"/>
  <c r="Q240" i="3"/>
  <c r="R240" i="3" s="1"/>
  <c r="I241" i="3"/>
  <c r="J241" i="3"/>
  <c r="K241" i="3"/>
  <c r="N241" i="3"/>
  <c r="P241" i="3" s="1"/>
  <c r="Q241" i="3" s="1"/>
  <c r="O241" i="3"/>
  <c r="O242" i="3"/>
  <c r="I243" i="3"/>
  <c r="K243" i="3"/>
  <c r="N243" i="3" s="1"/>
  <c r="O243" i="3"/>
  <c r="K244" i="3"/>
  <c r="N244" i="3" s="1"/>
  <c r="I246" i="3"/>
  <c r="J246" i="3"/>
  <c r="O246" i="3"/>
  <c r="I247" i="3"/>
  <c r="J247" i="3"/>
  <c r="O247" i="3"/>
  <c r="J248" i="3"/>
  <c r="O249" i="3"/>
  <c r="J250" i="3"/>
  <c r="K250" i="3"/>
  <c r="N250" i="3" s="1"/>
  <c r="P250" i="3" s="1"/>
  <c r="K252" i="3"/>
  <c r="N252" i="3" s="1"/>
  <c r="P252" i="3" s="1"/>
  <c r="J253" i="3"/>
  <c r="J132" i="16" s="1"/>
  <c r="N253" i="3"/>
  <c r="P253" i="3" s="1"/>
  <c r="O253" i="3"/>
  <c r="J254" i="3"/>
  <c r="K135" i="16" s="1"/>
  <c r="K254" i="3"/>
  <c r="N254" i="3" s="1"/>
  <c r="I255" i="3"/>
  <c r="K255" i="3"/>
  <c r="N255" i="3" s="1"/>
  <c r="J256" i="3"/>
  <c r="J137" i="16" s="1"/>
  <c r="K256" i="3"/>
  <c r="N256" i="3" s="1"/>
  <c r="I257" i="3"/>
  <c r="J257" i="3"/>
  <c r="O257" i="3"/>
  <c r="I258" i="3"/>
  <c r="J258" i="3"/>
  <c r="O258" i="3"/>
  <c r="I259" i="3"/>
  <c r="J259" i="3"/>
  <c r="O259" i="3"/>
  <c r="I260" i="3"/>
  <c r="J260" i="3"/>
  <c r="O260" i="3"/>
  <c r="I261" i="3"/>
  <c r="J261" i="3"/>
  <c r="O261" i="3"/>
  <c r="J262" i="3"/>
  <c r="J234" i="16" s="1"/>
  <c r="O262" i="3"/>
  <c r="O264" i="3"/>
  <c r="O265" i="3"/>
  <c r="J266" i="3"/>
  <c r="O268" i="3"/>
  <c r="I269" i="3"/>
  <c r="I270" i="3"/>
  <c r="J272" i="3"/>
  <c r="J186" i="16" s="1"/>
  <c r="O273" i="3"/>
  <c r="O274" i="3"/>
  <c r="J276" i="3"/>
  <c r="K276" i="3"/>
  <c r="N276" i="3" s="1"/>
  <c r="I277" i="3"/>
  <c r="I278" i="3"/>
  <c r="J278" i="3"/>
  <c r="K278" i="3"/>
  <c r="N278" i="3" s="1"/>
  <c r="I280" i="3"/>
  <c r="O280" i="3"/>
  <c r="K281" i="3"/>
  <c r="N281" i="3" s="1"/>
  <c r="O281" i="3"/>
  <c r="K282" i="3"/>
  <c r="N282" i="3" s="1"/>
  <c r="O282" i="3"/>
  <c r="K283" i="3"/>
  <c r="N283" i="3" s="1"/>
  <c r="J284" i="3"/>
  <c r="J242" i="16" s="1"/>
  <c r="E3" i="16"/>
  <c r="F3" i="16"/>
  <c r="J154" i="3" s="1"/>
  <c r="J3" i="16" s="1"/>
  <c r="H3" i="16"/>
  <c r="K3" i="16"/>
  <c r="E4" i="16"/>
  <c r="F4" i="16"/>
  <c r="G4" i="16"/>
  <c r="I155" i="3" s="1"/>
  <c r="H4" i="16"/>
  <c r="E5" i="16"/>
  <c r="G5" i="16" s="1"/>
  <c r="I156" i="3" s="1"/>
  <c r="F5" i="16"/>
  <c r="H5" i="16"/>
  <c r="E6" i="16"/>
  <c r="F6" i="16"/>
  <c r="J157" i="3" s="1"/>
  <c r="K6" i="16" s="1"/>
  <c r="G6" i="16"/>
  <c r="I157" i="3" s="1"/>
  <c r="H6" i="16"/>
  <c r="O157" i="3" s="1"/>
  <c r="L6" i="16"/>
  <c r="E7" i="16"/>
  <c r="G7" i="16" s="1"/>
  <c r="I158" i="3" s="1"/>
  <c r="F7" i="16"/>
  <c r="H7" i="16"/>
  <c r="O158" i="3" s="1"/>
  <c r="E8" i="16"/>
  <c r="F8" i="16"/>
  <c r="G8" i="16"/>
  <c r="I159" i="3" s="1"/>
  <c r="H8" i="16"/>
  <c r="O159" i="3" s="1"/>
  <c r="E9" i="16"/>
  <c r="F9" i="16"/>
  <c r="G9" i="16"/>
  <c r="H9" i="16"/>
  <c r="O160" i="3" s="1"/>
  <c r="E10" i="16"/>
  <c r="F10" i="16"/>
  <c r="G10" i="16"/>
  <c r="I161" i="3" s="1"/>
  <c r="H10" i="16"/>
  <c r="O161" i="3" s="1"/>
  <c r="E11" i="16"/>
  <c r="G11" i="16" s="1"/>
  <c r="I162" i="3" s="1"/>
  <c r="F11" i="16"/>
  <c r="H11" i="16"/>
  <c r="E12" i="16"/>
  <c r="G12" i="16" s="1"/>
  <c r="F12" i="16"/>
  <c r="J163" i="3" s="1"/>
  <c r="H12" i="16"/>
  <c r="E13" i="16"/>
  <c r="F13" i="16"/>
  <c r="G13" i="16"/>
  <c r="I164" i="3" s="1"/>
  <c r="H13" i="16"/>
  <c r="O164" i="3" s="1"/>
  <c r="E14" i="16"/>
  <c r="G14" i="16" s="1"/>
  <c r="I165" i="3" s="1"/>
  <c r="F14" i="16"/>
  <c r="J165" i="3" s="1"/>
  <c r="K14" i="16" s="1"/>
  <c r="H14" i="16"/>
  <c r="O165" i="3" s="1"/>
  <c r="J14" i="16"/>
  <c r="L14" i="16"/>
  <c r="E15" i="16"/>
  <c r="F15" i="16"/>
  <c r="G15" i="16"/>
  <c r="I166" i="3" s="1"/>
  <c r="H15" i="16"/>
  <c r="O166" i="3" s="1"/>
  <c r="E16" i="16"/>
  <c r="F16" i="16"/>
  <c r="G16" i="16"/>
  <c r="I115" i="3" s="1"/>
  <c r="H16" i="16"/>
  <c r="E17" i="16"/>
  <c r="F17" i="16"/>
  <c r="J8" i="3" s="1"/>
  <c r="J17" i="16" s="1"/>
  <c r="G17" i="16"/>
  <c r="H17" i="16"/>
  <c r="O8" i="3" s="1"/>
  <c r="K17" i="16"/>
  <c r="L17" i="16" s="1"/>
  <c r="E18" i="16"/>
  <c r="F18" i="16"/>
  <c r="G18" i="16"/>
  <c r="I146" i="3" s="1"/>
  <c r="H18" i="16"/>
  <c r="O146" i="3" s="1"/>
  <c r="E19" i="16"/>
  <c r="G19" i="16" s="1"/>
  <c r="F19" i="16"/>
  <c r="H19" i="16"/>
  <c r="O147" i="3" s="1"/>
  <c r="E20" i="16"/>
  <c r="F20" i="16"/>
  <c r="G20" i="16"/>
  <c r="H20" i="16"/>
  <c r="E21" i="16"/>
  <c r="F21" i="16"/>
  <c r="J170" i="3" s="1"/>
  <c r="J21" i="16" s="1"/>
  <c r="G21" i="16"/>
  <c r="I170" i="3" s="1"/>
  <c r="H21" i="16"/>
  <c r="O170" i="3" s="1"/>
  <c r="E22" i="16"/>
  <c r="F22" i="16"/>
  <c r="G22" i="16"/>
  <c r="I172" i="3" s="1"/>
  <c r="H22" i="16"/>
  <c r="O172" i="3" s="1"/>
  <c r="E23" i="16"/>
  <c r="F23" i="16"/>
  <c r="G23" i="16"/>
  <c r="I184" i="3" s="1"/>
  <c r="H23" i="16"/>
  <c r="E24" i="16"/>
  <c r="G24" i="16" s="1"/>
  <c r="F24" i="16"/>
  <c r="J189" i="3" s="1"/>
  <c r="H24" i="16"/>
  <c r="O189" i="3" s="1"/>
  <c r="J24" i="16"/>
  <c r="K24" i="16"/>
  <c r="E25" i="16"/>
  <c r="F25" i="16"/>
  <c r="J190" i="3" s="1"/>
  <c r="G25" i="16"/>
  <c r="I190" i="3" s="1"/>
  <c r="H25" i="16"/>
  <c r="J25" i="16"/>
  <c r="K25" i="16"/>
  <c r="L25" i="16"/>
  <c r="E26" i="16"/>
  <c r="F26" i="16"/>
  <c r="G26" i="16"/>
  <c r="I169" i="3" s="1"/>
  <c r="H26" i="16"/>
  <c r="O169" i="3" s="1"/>
  <c r="E27" i="16"/>
  <c r="G27" i="16" s="1"/>
  <c r="I171" i="3" s="1"/>
  <c r="F27" i="16"/>
  <c r="H27" i="16"/>
  <c r="E28" i="16"/>
  <c r="F28" i="16"/>
  <c r="G28" i="16"/>
  <c r="I173" i="3" s="1"/>
  <c r="H28" i="16"/>
  <c r="K28" i="16"/>
  <c r="E29" i="16"/>
  <c r="F29" i="16"/>
  <c r="G29" i="16"/>
  <c r="H29" i="16"/>
  <c r="O174" i="3" s="1"/>
  <c r="E30" i="16"/>
  <c r="G30" i="16" s="1"/>
  <c r="I175" i="3" s="1"/>
  <c r="F30" i="16"/>
  <c r="H30" i="16"/>
  <c r="O175" i="3" s="1"/>
  <c r="E31" i="16"/>
  <c r="F31" i="16"/>
  <c r="G31" i="16"/>
  <c r="I176" i="3" s="1"/>
  <c r="H31" i="16"/>
  <c r="O176" i="3" s="1"/>
  <c r="K31" i="16"/>
  <c r="E32" i="16"/>
  <c r="F32" i="16"/>
  <c r="G32" i="16"/>
  <c r="I177" i="3" s="1"/>
  <c r="H32" i="16"/>
  <c r="E33" i="16"/>
  <c r="F33" i="16"/>
  <c r="G33" i="16"/>
  <c r="I178" i="3" s="1"/>
  <c r="H33" i="16"/>
  <c r="O178" i="3" s="1"/>
  <c r="E34" i="16"/>
  <c r="F34" i="16"/>
  <c r="G34" i="16"/>
  <c r="I179" i="3" s="1"/>
  <c r="H34" i="16"/>
  <c r="O179" i="3" s="1"/>
  <c r="E35" i="16"/>
  <c r="G35" i="16" s="1"/>
  <c r="F35" i="16"/>
  <c r="J180" i="3" s="1"/>
  <c r="H35" i="16"/>
  <c r="O180" i="3" s="1"/>
  <c r="J35" i="16"/>
  <c r="K35" i="16"/>
  <c r="L35" i="16"/>
  <c r="E36" i="16"/>
  <c r="F36" i="16"/>
  <c r="G36" i="16"/>
  <c r="I181" i="3" s="1"/>
  <c r="H36" i="16"/>
  <c r="K36" i="16"/>
  <c r="L36" i="16"/>
  <c r="E37" i="16"/>
  <c r="F37" i="16"/>
  <c r="G37" i="16"/>
  <c r="I182" i="3" s="1"/>
  <c r="H37" i="16"/>
  <c r="E38" i="16"/>
  <c r="F38" i="16"/>
  <c r="G38" i="16"/>
  <c r="I183" i="3" s="1"/>
  <c r="H38" i="16"/>
  <c r="E39" i="16"/>
  <c r="F39" i="16"/>
  <c r="G39" i="16"/>
  <c r="I185" i="3" s="1"/>
  <c r="H39" i="16"/>
  <c r="O185" i="3" s="1"/>
  <c r="J39" i="16"/>
  <c r="E40" i="16"/>
  <c r="G40" i="16" s="1"/>
  <c r="I186" i="3" s="1"/>
  <c r="F40" i="16"/>
  <c r="J186" i="3" s="1"/>
  <c r="H40" i="16"/>
  <c r="O186" i="3" s="1"/>
  <c r="J40" i="16"/>
  <c r="K40" i="16"/>
  <c r="L40" i="16" s="1"/>
  <c r="E41" i="16"/>
  <c r="F41" i="16"/>
  <c r="G41" i="16"/>
  <c r="H41" i="16"/>
  <c r="E42" i="16"/>
  <c r="F42" i="16"/>
  <c r="G42" i="16"/>
  <c r="I188" i="3" s="1"/>
  <c r="H42" i="16"/>
  <c r="O188" i="3" s="1"/>
  <c r="K42" i="16"/>
  <c r="L42" i="16"/>
  <c r="E43" i="16"/>
  <c r="G43" i="16" s="1"/>
  <c r="I191" i="3" s="1"/>
  <c r="F43" i="16"/>
  <c r="H43" i="16"/>
  <c r="E44" i="16"/>
  <c r="F44" i="16"/>
  <c r="G44" i="16"/>
  <c r="I192" i="3" s="1"/>
  <c r="H44" i="16"/>
  <c r="E45" i="16"/>
  <c r="F45" i="16"/>
  <c r="G45" i="16"/>
  <c r="I193" i="3" s="1"/>
  <c r="H45" i="16"/>
  <c r="O193" i="3" s="1"/>
  <c r="E46" i="16"/>
  <c r="G46" i="16" s="1"/>
  <c r="I197" i="3" s="1"/>
  <c r="F46" i="16"/>
  <c r="J197" i="3" s="1"/>
  <c r="K46" i="16" s="1"/>
  <c r="H46" i="16"/>
  <c r="J46" i="16"/>
  <c r="L46" i="16"/>
  <c r="E47" i="16"/>
  <c r="F47" i="16"/>
  <c r="G47" i="16"/>
  <c r="I52" i="3" s="1"/>
  <c r="H47" i="16"/>
  <c r="O52" i="3" s="1"/>
  <c r="E48" i="16"/>
  <c r="F48" i="16"/>
  <c r="G48" i="16"/>
  <c r="I54" i="3" s="1"/>
  <c r="H48" i="16"/>
  <c r="O54" i="3" s="1"/>
  <c r="E49" i="16"/>
  <c r="F49" i="16"/>
  <c r="J55" i="3" s="1"/>
  <c r="J49" i="16" s="1"/>
  <c r="G49" i="16"/>
  <c r="I55" i="3" s="1"/>
  <c r="H49" i="16"/>
  <c r="O55" i="3" s="1"/>
  <c r="K49" i="16"/>
  <c r="L49" i="16" s="1"/>
  <c r="E50" i="16"/>
  <c r="F50" i="16"/>
  <c r="G50" i="16"/>
  <c r="I56" i="3" s="1"/>
  <c r="H50" i="16"/>
  <c r="O56" i="3" s="1"/>
  <c r="J50" i="16"/>
  <c r="K50" i="16"/>
  <c r="L50" i="16"/>
  <c r="E51" i="16"/>
  <c r="G51" i="16" s="1"/>
  <c r="F51" i="16"/>
  <c r="J57" i="3" s="1"/>
  <c r="H51" i="16"/>
  <c r="O57" i="3" s="1"/>
  <c r="J51" i="16"/>
  <c r="K51" i="16"/>
  <c r="L51" i="16" s="1"/>
  <c r="E52" i="16"/>
  <c r="F52" i="16"/>
  <c r="G52" i="16"/>
  <c r="I58" i="3" s="1"/>
  <c r="H52" i="16"/>
  <c r="E53" i="16"/>
  <c r="F53" i="16"/>
  <c r="G53" i="16"/>
  <c r="I50" i="3" s="1"/>
  <c r="H53" i="16"/>
  <c r="O50" i="3" s="1"/>
  <c r="E54" i="16"/>
  <c r="G54" i="16" s="1"/>
  <c r="I53" i="3" s="1"/>
  <c r="F54" i="16"/>
  <c r="J53" i="3" s="1"/>
  <c r="K54" i="16" s="1"/>
  <c r="H54" i="16"/>
  <c r="J54" i="16"/>
  <c r="E55" i="16"/>
  <c r="F55" i="16"/>
  <c r="G55" i="16"/>
  <c r="I38" i="3" s="1"/>
  <c r="H55" i="16"/>
  <c r="O38" i="3" s="1"/>
  <c r="E56" i="16"/>
  <c r="G56" i="16" s="1"/>
  <c r="I47" i="3" s="1"/>
  <c r="F56" i="16"/>
  <c r="J47" i="3" s="1"/>
  <c r="H56" i="16"/>
  <c r="O47" i="3" s="1"/>
  <c r="E57" i="16"/>
  <c r="F57" i="16"/>
  <c r="J48" i="3" s="1"/>
  <c r="G57" i="16"/>
  <c r="H57" i="16"/>
  <c r="O48" i="3" s="1"/>
  <c r="J57" i="16"/>
  <c r="K57" i="16"/>
  <c r="E58" i="16"/>
  <c r="G58" i="16" s="1"/>
  <c r="I6" i="3" s="1"/>
  <c r="F58" i="16"/>
  <c r="H58" i="16"/>
  <c r="O6" i="3" s="1"/>
  <c r="K58" i="16"/>
  <c r="L58" i="16" s="1"/>
  <c r="E59" i="16"/>
  <c r="G59" i="16" s="1"/>
  <c r="F59" i="16"/>
  <c r="H59" i="16"/>
  <c r="O10" i="3" s="1"/>
  <c r="J59" i="16"/>
  <c r="E60" i="16"/>
  <c r="F60" i="16"/>
  <c r="G60" i="16"/>
  <c r="I41" i="3" s="1"/>
  <c r="H60" i="16"/>
  <c r="E61" i="16"/>
  <c r="F61" i="16"/>
  <c r="G61" i="16"/>
  <c r="I42" i="3" s="1"/>
  <c r="H61" i="16"/>
  <c r="O42" i="3" s="1"/>
  <c r="K61" i="16"/>
  <c r="E62" i="16"/>
  <c r="G62" i="16" s="1"/>
  <c r="I43" i="3" s="1"/>
  <c r="F62" i="16"/>
  <c r="H62" i="16"/>
  <c r="O43" i="3" s="1"/>
  <c r="J62" i="16"/>
  <c r="L62" i="16"/>
  <c r="E63" i="16"/>
  <c r="F63" i="16"/>
  <c r="G63" i="16"/>
  <c r="I11" i="3" s="1"/>
  <c r="H63" i="16"/>
  <c r="O11" i="3" s="1"/>
  <c r="E64" i="16"/>
  <c r="G64" i="16" s="1"/>
  <c r="I12" i="3" s="1"/>
  <c r="F64" i="16"/>
  <c r="H64" i="16"/>
  <c r="E65" i="16"/>
  <c r="F65" i="16"/>
  <c r="J13" i="3" s="1"/>
  <c r="J65" i="16" s="1"/>
  <c r="G65" i="16"/>
  <c r="I13" i="3" s="1"/>
  <c r="H65" i="16"/>
  <c r="O13" i="3" s="1"/>
  <c r="K65" i="16"/>
  <c r="L65" i="16" s="1"/>
  <c r="E66" i="16"/>
  <c r="F66" i="16"/>
  <c r="G66" i="16"/>
  <c r="H66" i="16"/>
  <c r="O14" i="3" s="1"/>
  <c r="J66" i="16"/>
  <c r="K66" i="16"/>
  <c r="L66" i="16"/>
  <c r="E67" i="16"/>
  <c r="G67" i="16" s="1"/>
  <c r="I16" i="3" s="1"/>
  <c r="F67" i="16"/>
  <c r="J16" i="3" s="1"/>
  <c r="H67" i="16"/>
  <c r="O16" i="3" s="1"/>
  <c r="J67" i="16"/>
  <c r="K67" i="16"/>
  <c r="L67" i="16"/>
  <c r="E68" i="16"/>
  <c r="F68" i="16"/>
  <c r="J17" i="3" s="1"/>
  <c r="G68" i="16"/>
  <c r="I17" i="3" s="1"/>
  <c r="H68" i="16"/>
  <c r="J68" i="16"/>
  <c r="K68" i="16"/>
  <c r="E69" i="16"/>
  <c r="G69" i="16" s="1"/>
  <c r="I15" i="3" s="1"/>
  <c r="F69" i="16"/>
  <c r="H69" i="16"/>
  <c r="O15" i="3" s="1"/>
  <c r="E70" i="16"/>
  <c r="G70" i="16" s="1"/>
  <c r="F70" i="16"/>
  <c r="H70" i="16"/>
  <c r="E71" i="16"/>
  <c r="F71" i="16"/>
  <c r="G71" i="16"/>
  <c r="I44" i="3" s="1"/>
  <c r="H71" i="16"/>
  <c r="O44" i="3" s="1"/>
  <c r="E72" i="16"/>
  <c r="G72" i="16" s="1"/>
  <c r="F72" i="16"/>
  <c r="J45" i="3" s="1"/>
  <c r="K72" i="16" s="1"/>
  <c r="L72" i="16" s="1"/>
  <c r="H72" i="16"/>
  <c r="E73" i="16"/>
  <c r="F73" i="16"/>
  <c r="J46" i="3" s="1"/>
  <c r="G73" i="16"/>
  <c r="I46" i="3" s="1"/>
  <c r="H73" i="16"/>
  <c r="J73" i="16"/>
  <c r="K73" i="16"/>
  <c r="L73" i="16"/>
  <c r="E74" i="16"/>
  <c r="G74" i="16" s="1"/>
  <c r="I223" i="3" s="1"/>
  <c r="F74" i="16"/>
  <c r="J223" i="3" s="1"/>
  <c r="J74" i="16" s="1"/>
  <c r="H74" i="16"/>
  <c r="O223" i="3" s="1"/>
  <c r="K74" i="16"/>
  <c r="L74" i="16" s="1"/>
  <c r="E75" i="16"/>
  <c r="G75" i="16" s="1"/>
  <c r="I212" i="3" s="1"/>
  <c r="F75" i="16"/>
  <c r="H75" i="16"/>
  <c r="E76" i="16"/>
  <c r="G76" i="16" s="1"/>
  <c r="I213" i="3" s="1"/>
  <c r="F76" i="16"/>
  <c r="H76" i="16"/>
  <c r="E77" i="16"/>
  <c r="F77" i="16"/>
  <c r="G77" i="16"/>
  <c r="I214" i="3" s="1"/>
  <c r="H77" i="16"/>
  <c r="O214" i="3" s="1"/>
  <c r="E78" i="16"/>
  <c r="G78" i="16" s="1"/>
  <c r="I215" i="3" s="1"/>
  <c r="F78" i="16"/>
  <c r="H78" i="16"/>
  <c r="O215" i="3" s="1"/>
  <c r="E79" i="16"/>
  <c r="G79" i="16" s="1"/>
  <c r="F79" i="16"/>
  <c r="H79" i="16"/>
  <c r="K79" i="16"/>
  <c r="E80" i="16"/>
  <c r="G80" i="16" s="1"/>
  <c r="I217" i="3" s="1"/>
  <c r="F80" i="16"/>
  <c r="H80" i="16"/>
  <c r="E81" i="16"/>
  <c r="F81" i="16"/>
  <c r="J218" i="3" s="1"/>
  <c r="G81" i="16"/>
  <c r="I218" i="3" s="1"/>
  <c r="H81" i="16"/>
  <c r="O218" i="3" s="1"/>
  <c r="E82" i="16"/>
  <c r="F82" i="16"/>
  <c r="G82" i="16"/>
  <c r="I219" i="3" s="1"/>
  <c r="H82" i="16"/>
  <c r="J82" i="16"/>
  <c r="L82" i="16"/>
  <c r="E83" i="16"/>
  <c r="G83" i="16" s="1"/>
  <c r="F83" i="16"/>
  <c r="H83" i="16"/>
  <c r="O220" i="3" s="1"/>
  <c r="J83" i="16"/>
  <c r="K83" i="16"/>
  <c r="L83" i="16"/>
  <c r="E84" i="16"/>
  <c r="F84" i="16"/>
  <c r="G84" i="16"/>
  <c r="I221" i="3" s="1"/>
  <c r="H84" i="16"/>
  <c r="E85" i="16"/>
  <c r="G85" i="16" s="1"/>
  <c r="I222" i="3" s="1"/>
  <c r="F85" i="16"/>
  <c r="H85" i="16"/>
  <c r="E86" i="16"/>
  <c r="G86" i="16" s="1"/>
  <c r="I224" i="3" s="1"/>
  <c r="F86" i="16"/>
  <c r="J224" i="3" s="1"/>
  <c r="K86" i="16" s="1"/>
  <c r="H86" i="16"/>
  <c r="J86" i="16"/>
  <c r="L86" i="16"/>
  <c r="E87" i="16"/>
  <c r="F87" i="16"/>
  <c r="G87" i="16"/>
  <c r="I225" i="3" s="1"/>
  <c r="H87" i="16"/>
  <c r="E88" i="16"/>
  <c r="G88" i="16" s="1"/>
  <c r="I226" i="3" s="1"/>
  <c r="F88" i="16"/>
  <c r="H88" i="16"/>
  <c r="O226" i="3" s="1"/>
  <c r="E89" i="16"/>
  <c r="F89" i="16"/>
  <c r="G89" i="16"/>
  <c r="I227" i="3" s="1"/>
  <c r="H89" i="16"/>
  <c r="J89" i="16"/>
  <c r="E90" i="16"/>
  <c r="G90" i="16" s="1"/>
  <c r="F90" i="16"/>
  <c r="H90" i="16"/>
  <c r="O228" i="3" s="1"/>
  <c r="E91" i="16"/>
  <c r="G91" i="16" s="1"/>
  <c r="F91" i="16"/>
  <c r="H91" i="16"/>
  <c r="E92" i="16"/>
  <c r="F92" i="16"/>
  <c r="J230" i="3" s="1"/>
  <c r="J92" i="16" s="1"/>
  <c r="G92" i="16"/>
  <c r="I230" i="3" s="1"/>
  <c r="H92" i="16"/>
  <c r="K92" i="16"/>
  <c r="L92" i="16" s="1"/>
  <c r="E93" i="16"/>
  <c r="F93" i="16"/>
  <c r="G93" i="16"/>
  <c r="I231" i="3" s="1"/>
  <c r="H93" i="16"/>
  <c r="O231" i="3" s="1"/>
  <c r="E94" i="16"/>
  <c r="G94" i="16" s="1"/>
  <c r="I232" i="3" s="1"/>
  <c r="F94" i="16"/>
  <c r="H94" i="16"/>
  <c r="O232" i="3" s="1"/>
  <c r="E95" i="16"/>
  <c r="G95" i="16" s="1"/>
  <c r="F95" i="16"/>
  <c r="H95" i="16"/>
  <c r="O233" i="3" s="1"/>
  <c r="K95" i="16"/>
  <c r="E96" i="16"/>
  <c r="G96" i="16" s="1"/>
  <c r="I234" i="3" s="1"/>
  <c r="F96" i="16"/>
  <c r="H96" i="16"/>
  <c r="O234" i="3" s="1"/>
  <c r="E97" i="16"/>
  <c r="F97" i="16"/>
  <c r="J67" i="3" s="1"/>
  <c r="G97" i="16"/>
  <c r="I67" i="3" s="1"/>
  <c r="H97" i="16"/>
  <c r="O67" i="3" s="1"/>
  <c r="E98" i="16"/>
  <c r="F98" i="16"/>
  <c r="G98" i="16"/>
  <c r="H98" i="16"/>
  <c r="O68" i="3" s="1"/>
  <c r="E99" i="16"/>
  <c r="G99" i="16" s="1"/>
  <c r="I69" i="3" s="1"/>
  <c r="F99" i="16"/>
  <c r="J69" i="3" s="1"/>
  <c r="K99" i="16" s="1"/>
  <c r="H99" i="16"/>
  <c r="O69" i="3" s="1"/>
  <c r="J99" i="16"/>
  <c r="L99" i="16"/>
  <c r="E100" i="16"/>
  <c r="F100" i="16"/>
  <c r="J40" i="3" s="1"/>
  <c r="P40" i="3" s="1"/>
  <c r="G100" i="16"/>
  <c r="H100" i="16"/>
  <c r="J100" i="16"/>
  <c r="K100" i="16"/>
  <c r="E101" i="16"/>
  <c r="G101" i="16" s="1"/>
  <c r="I80" i="3" s="1"/>
  <c r="F101" i="16"/>
  <c r="J80" i="3" s="1"/>
  <c r="J101" i="16" s="1"/>
  <c r="H101" i="16"/>
  <c r="O80" i="3" s="1"/>
  <c r="E102" i="16"/>
  <c r="G102" i="16" s="1"/>
  <c r="I81" i="3" s="1"/>
  <c r="F102" i="16"/>
  <c r="J81" i="3" s="1"/>
  <c r="K102" i="16" s="1"/>
  <c r="H102" i="16"/>
  <c r="O81" i="3" s="1"/>
  <c r="E103" i="16"/>
  <c r="F103" i="16"/>
  <c r="G103" i="16"/>
  <c r="I85" i="3" s="1"/>
  <c r="H103" i="16"/>
  <c r="O85" i="3" s="1"/>
  <c r="E104" i="16"/>
  <c r="G104" i="16" s="1"/>
  <c r="F104" i="16"/>
  <c r="H104" i="16"/>
  <c r="E105" i="16"/>
  <c r="F105" i="16"/>
  <c r="J94" i="3" s="1"/>
  <c r="G105" i="16"/>
  <c r="I94" i="3" s="1"/>
  <c r="H105" i="16"/>
  <c r="E106" i="16"/>
  <c r="G106" i="16" s="1"/>
  <c r="I96" i="3" s="1"/>
  <c r="F106" i="16"/>
  <c r="H106" i="16"/>
  <c r="O96" i="3" s="1"/>
  <c r="K106" i="16"/>
  <c r="L106" i="16" s="1"/>
  <c r="E107" i="16"/>
  <c r="G107" i="16" s="1"/>
  <c r="F107" i="16"/>
  <c r="J91" i="3" s="1"/>
  <c r="H107" i="16"/>
  <c r="E108" i="16"/>
  <c r="G108" i="16" s="1"/>
  <c r="F108" i="16"/>
  <c r="J92" i="3" s="1"/>
  <c r="J108" i="16" s="1"/>
  <c r="H108" i="16"/>
  <c r="E109" i="16"/>
  <c r="F109" i="16"/>
  <c r="G109" i="16"/>
  <c r="H109" i="16"/>
  <c r="O93" i="3" s="1"/>
  <c r="E110" i="16"/>
  <c r="G110" i="16" s="1"/>
  <c r="F110" i="16"/>
  <c r="H110" i="16"/>
  <c r="O95" i="3" s="1"/>
  <c r="E111" i="16"/>
  <c r="G111" i="16" s="1"/>
  <c r="I97" i="3" s="1"/>
  <c r="F111" i="16"/>
  <c r="J97" i="3" s="1"/>
  <c r="J111" i="16" s="1"/>
  <c r="H111" i="16"/>
  <c r="O97" i="3" s="1"/>
  <c r="E112" i="16"/>
  <c r="G112" i="16" s="1"/>
  <c r="I98" i="3" s="1"/>
  <c r="F112" i="16"/>
  <c r="H112" i="16"/>
  <c r="E113" i="16"/>
  <c r="F113" i="16"/>
  <c r="G113" i="16"/>
  <c r="H113" i="16"/>
  <c r="O211" i="3" s="1"/>
  <c r="E114" i="16"/>
  <c r="F114" i="16"/>
  <c r="G114" i="16"/>
  <c r="I142" i="3" s="1"/>
  <c r="H114" i="16"/>
  <c r="O142" i="3" s="1"/>
  <c r="P142" i="3" s="1"/>
  <c r="J114" i="16"/>
  <c r="K114" i="16"/>
  <c r="L114" i="16"/>
  <c r="E115" i="16"/>
  <c r="G115" i="16" s="1"/>
  <c r="I143" i="3" s="1"/>
  <c r="F115" i="16"/>
  <c r="H115" i="16"/>
  <c r="O143" i="3" s="1"/>
  <c r="K115" i="16"/>
  <c r="L115" i="16" s="1"/>
  <c r="E116" i="16"/>
  <c r="F116" i="16"/>
  <c r="J144" i="3" s="1"/>
  <c r="G116" i="16"/>
  <c r="I144" i="3" s="1"/>
  <c r="H116" i="16"/>
  <c r="O144" i="3" s="1"/>
  <c r="J116" i="16"/>
  <c r="K116" i="16"/>
  <c r="L116" i="16"/>
  <c r="E117" i="16"/>
  <c r="G117" i="16" s="1"/>
  <c r="F117" i="16"/>
  <c r="H117" i="16"/>
  <c r="O153" i="3" s="1"/>
  <c r="E118" i="16"/>
  <c r="F118" i="16"/>
  <c r="G118" i="16"/>
  <c r="I168" i="3" s="1"/>
  <c r="H118" i="16"/>
  <c r="E119" i="16"/>
  <c r="F119" i="16"/>
  <c r="G119" i="16"/>
  <c r="I152" i="3" s="1"/>
  <c r="H119" i="16"/>
  <c r="O152" i="3" s="1"/>
  <c r="J119" i="16"/>
  <c r="E120" i="16"/>
  <c r="G120" i="16" s="1"/>
  <c r="I207" i="3" s="1"/>
  <c r="F120" i="16"/>
  <c r="H120" i="16"/>
  <c r="O207" i="3" s="1"/>
  <c r="E121" i="16"/>
  <c r="F121" i="16"/>
  <c r="G121" i="16"/>
  <c r="I209" i="3" s="1"/>
  <c r="H121" i="16"/>
  <c r="O209" i="3" s="1"/>
  <c r="E122" i="16"/>
  <c r="F122" i="16"/>
  <c r="G122" i="16"/>
  <c r="H122" i="16"/>
  <c r="O278" i="3" s="1"/>
  <c r="J122" i="16"/>
  <c r="K122" i="16"/>
  <c r="L122" i="16"/>
  <c r="E123" i="16"/>
  <c r="G123" i="16" s="1"/>
  <c r="I279" i="3" s="1"/>
  <c r="F123" i="16"/>
  <c r="H123" i="16"/>
  <c r="O279" i="3" s="1"/>
  <c r="E124" i="16"/>
  <c r="F124" i="16"/>
  <c r="J280" i="3" s="1"/>
  <c r="G124" i="16"/>
  <c r="H124" i="16"/>
  <c r="E125" i="16"/>
  <c r="F125" i="16"/>
  <c r="G125" i="16"/>
  <c r="I281" i="3" s="1"/>
  <c r="H125" i="16"/>
  <c r="E126" i="16"/>
  <c r="G126" i="16" s="1"/>
  <c r="I237" i="3" s="1"/>
  <c r="F126" i="16"/>
  <c r="J237" i="3" s="1"/>
  <c r="K126" i="16" s="1"/>
  <c r="L126" i="16" s="1"/>
  <c r="H126" i="16"/>
  <c r="O237" i="3" s="1"/>
  <c r="J126" i="16"/>
  <c r="E127" i="16"/>
  <c r="F127" i="16"/>
  <c r="G127" i="16"/>
  <c r="I239" i="3" s="1"/>
  <c r="H127" i="16"/>
  <c r="O239" i="3" s="1"/>
  <c r="P239" i="3" s="1"/>
  <c r="K127" i="16"/>
  <c r="E128" i="16"/>
  <c r="F128" i="16"/>
  <c r="G128" i="16"/>
  <c r="I242" i="3" s="1"/>
  <c r="H128" i="16"/>
  <c r="E129" i="16"/>
  <c r="F129" i="16"/>
  <c r="G129" i="16"/>
  <c r="I251" i="3" s="1"/>
  <c r="H129" i="16"/>
  <c r="O251" i="3" s="1"/>
  <c r="E130" i="16"/>
  <c r="F130" i="16"/>
  <c r="G130" i="16"/>
  <c r="I250" i="3" s="1"/>
  <c r="H130" i="16"/>
  <c r="O250" i="3" s="1"/>
  <c r="J130" i="16"/>
  <c r="K130" i="16"/>
  <c r="L130" i="16"/>
  <c r="E131" i="16"/>
  <c r="G131" i="16" s="1"/>
  <c r="I252" i="3" s="1"/>
  <c r="F131" i="16"/>
  <c r="J252" i="3" s="1"/>
  <c r="H131" i="16"/>
  <c r="O252" i="3" s="1"/>
  <c r="J131" i="16"/>
  <c r="K131" i="16"/>
  <c r="L131" i="16" s="1"/>
  <c r="E132" i="16"/>
  <c r="F132" i="16"/>
  <c r="G132" i="16"/>
  <c r="I253" i="3" s="1"/>
  <c r="H132" i="16"/>
  <c r="K132" i="16"/>
  <c r="L132" i="16"/>
  <c r="E133" i="16"/>
  <c r="F133" i="16"/>
  <c r="G133" i="16"/>
  <c r="I51" i="3" s="1"/>
  <c r="H133" i="16"/>
  <c r="O51" i="3" s="1"/>
  <c r="E134" i="16"/>
  <c r="F134" i="16"/>
  <c r="J99" i="3" s="1"/>
  <c r="K134" i="16" s="1"/>
  <c r="G134" i="16"/>
  <c r="I99" i="3" s="1"/>
  <c r="H134" i="16"/>
  <c r="O99" i="3" s="1"/>
  <c r="J134" i="16"/>
  <c r="L134" i="16"/>
  <c r="E135" i="16"/>
  <c r="F135" i="16"/>
  <c r="G135" i="16"/>
  <c r="I254" i="3" s="1"/>
  <c r="H135" i="16"/>
  <c r="O254" i="3" s="1"/>
  <c r="J135" i="16"/>
  <c r="E136" i="16"/>
  <c r="G136" i="16" s="1"/>
  <c r="F136" i="16"/>
  <c r="H136" i="16"/>
  <c r="O255" i="3" s="1"/>
  <c r="E137" i="16"/>
  <c r="F137" i="16"/>
  <c r="G137" i="16"/>
  <c r="I256" i="3" s="1"/>
  <c r="H137" i="16"/>
  <c r="O256" i="3" s="1"/>
  <c r="E138" i="16"/>
  <c r="F138" i="16"/>
  <c r="G138" i="16"/>
  <c r="I49" i="3" s="1"/>
  <c r="H138" i="16"/>
  <c r="O49" i="3" s="1"/>
  <c r="K138" i="16"/>
  <c r="L138" i="16"/>
  <c r="E139" i="16"/>
  <c r="G139" i="16" s="1"/>
  <c r="I105" i="3" s="1"/>
  <c r="F139" i="16"/>
  <c r="J105" i="3" s="1"/>
  <c r="H139" i="16"/>
  <c r="O105" i="3" s="1"/>
  <c r="E140" i="16"/>
  <c r="F140" i="16"/>
  <c r="J106" i="3" s="1"/>
  <c r="G140" i="16"/>
  <c r="I106" i="3" s="1"/>
  <c r="H140" i="16"/>
  <c r="E141" i="16"/>
  <c r="F141" i="16"/>
  <c r="G141" i="16"/>
  <c r="I107" i="3" s="1"/>
  <c r="H141" i="16"/>
  <c r="O107" i="3" s="1"/>
  <c r="E142" i="16"/>
  <c r="G142" i="16" s="1"/>
  <c r="I104" i="3" s="1"/>
  <c r="F142" i="16"/>
  <c r="H142" i="16"/>
  <c r="O104" i="3" s="1"/>
  <c r="J142" i="16"/>
  <c r="L142" i="16"/>
  <c r="E143" i="16"/>
  <c r="F143" i="16"/>
  <c r="G143" i="16"/>
  <c r="I103" i="3" s="1"/>
  <c r="H143" i="16"/>
  <c r="O103" i="3" s="1"/>
  <c r="E144" i="16"/>
  <c r="G144" i="16" s="1"/>
  <c r="I100" i="3" s="1"/>
  <c r="F144" i="16"/>
  <c r="H144" i="16"/>
  <c r="E145" i="16"/>
  <c r="F145" i="16"/>
  <c r="G145" i="16"/>
  <c r="I101" i="3" s="1"/>
  <c r="H145" i="16"/>
  <c r="O101" i="3" s="1"/>
  <c r="K145" i="16"/>
  <c r="L145" i="16" s="1"/>
  <c r="E146" i="16"/>
  <c r="F146" i="16"/>
  <c r="G146" i="16"/>
  <c r="I102" i="3" s="1"/>
  <c r="H146" i="16"/>
  <c r="J146" i="16"/>
  <c r="E147" i="16"/>
  <c r="G147" i="16" s="1"/>
  <c r="I108" i="3" s="1"/>
  <c r="F147" i="16"/>
  <c r="H147" i="16"/>
  <c r="O108" i="3" s="1"/>
  <c r="J147" i="16"/>
  <c r="K147" i="16"/>
  <c r="L147" i="16" s="1"/>
  <c r="E148" i="16"/>
  <c r="F148" i="16"/>
  <c r="J109" i="3" s="1"/>
  <c r="G148" i="16"/>
  <c r="H148" i="16"/>
  <c r="E149" i="16"/>
  <c r="F149" i="16"/>
  <c r="G149" i="16"/>
  <c r="I266" i="3" s="1"/>
  <c r="H149" i="16"/>
  <c r="O266" i="3" s="1"/>
  <c r="E150" i="16"/>
  <c r="G150" i="16" s="1"/>
  <c r="I274" i="3" s="1"/>
  <c r="F150" i="16"/>
  <c r="J274" i="3" s="1"/>
  <c r="K150" i="16" s="1"/>
  <c r="H150" i="16"/>
  <c r="L150" i="16"/>
  <c r="E151" i="16"/>
  <c r="F151" i="16"/>
  <c r="G151" i="16"/>
  <c r="I23" i="3" s="1"/>
  <c r="H151" i="16"/>
  <c r="O23" i="3" s="1"/>
  <c r="E152" i="16"/>
  <c r="G152" i="16" s="1"/>
  <c r="F152" i="16"/>
  <c r="D22" i="23" s="1"/>
  <c r="H152" i="16"/>
  <c r="O24" i="3" s="1"/>
  <c r="E153" i="16"/>
  <c r="F153" i="16"/>
  <c r="G153" i="16"/>
  <c r="I25" i="3" s="1"/>
  <c r="H153" i="16"/>
  <c r="E154" i="16"/>
  <c r="F154" i="16"/>
  <c r="D24" i="23" s="1"/>
  <c r="G154" i="16"/>
  <c r="I26" i="3" s="1"/>
  <c r="H154" i="16"/>
  <c r="O26" i="3" s="1"/>
  <c r="E155" i="16"/>
  <c r="G155" i="16" s="1"/>
  <c r="I27" i="3" s="1"/>
  <c r="F155" i="16"/>
  <c r="H155" i="16"/>
  <c r="E156" i="16"/>
  <c r="F156" i="16"/>
  <c r="G156" i="16"/>
  <c r="I28" i="3" s="1"/>
  <c r="H156" i="16"/>
  <c r="E157" i="16"/>
  <c r="F157" i="16"/>
  <c r="G157" i="16"/>
  <c r="I33" i="3" s="1"/>
  <c r="H157" i="16"/>
  <c r="O33" i="3" s="1"/>
  <c r="E158" i="16"/>
  <c r="G158" i="16" s="1"/>
  <c r="I34" i="3" s="1"/>
  <c r="F158" i="16"/>
  <c r="D28" i="23" s="1"/>
  <c r="H158" i="16"/>
  <c r="O34" i="3" s="1"/>
  <c r="J158" i="16"/>
  <c r="L158" i="16"/>
  <c r="E159" i="16"/>
  <c r="F159" i="16"/>
  <c r="G159" i="16"/>
  <c r="I35" i="3" s="1"/>
  <c r="H159" i="16"/>
  <c r="O35" i="3" s="1"/>
  <c r="K159" i="16"/>
  <c r="E160" i="16"/>
  <c r="F160" i="16"/>
  <c r="G160" i="16"/>
  <c r="I36" i="3" s="1"/>
  <c r="H160" i="16"/>
  <c r="O36" i="3" s="1"/>
  <c r="E161" i="16"/>
  <c r="F161" i="16"/>
  <c r="J73" i="3" s="1"/>
  <c r="J161" i="16" s="1"/>
  <c r="G161" i="16"/>
  <c r="I73" i="3" s="1"/>
  <c r="H161" i="16"/>
  <c r="O73" i="3" s="1"/>
  <c r="K161" i="16"/>
  <c r="L161" i="16" s="1"/>
  <c r="E162" i="16"/>
  <c r="F162" i="16"/>
  <c r="J118" i="3" s="1"/>
  <c r="K162" i="16" s="1"/>
  <c r="G162" i="16"/>
  <c r="I118" i="3" s="1"/>
  <c r="H162" i="16"/>
  <c r="L162" i="16"/>
  <c r="E163" i="16"/>
  <c r="G163" i="16" s="1"/>
  <c r="I119" i="3" s="1"/>
  <c r="F163" i="16"/>
  <c r="J119" i="3" s="1"/>
  <c r="H163" i="16"/>
  <c r="J163" i="16"/>
  <c r="K163" i="16"/>
  <c r="L163" i="16" s="1"/>
  <c r="E164" i="16"/>
  <c r="F164" i="16"/>
  <c r="J120" i="3" s="1"/>
  <c r="G164" i="16"/>
  <c r="I120" i="3" s="1"/>
  <c r="H164" i="16"/>
  <c r="J164" i="16"/>
  <c r="K164" i="16"/>
  <c r="L164" i="16" s="1"/>
  <c r="E165" i="16"/>
  <c r="F165" i="16"/>
  <c r="J121" i="3" s="1"/>
  <c r="G165" i="16"/>
  <c r="I121" i="3" s="1"/>
  <c r="H165" i="16"/>
  <c r="E166" i="16"/>
  <c r="G166" i="16" s="1"/>
  <c r="I122" i="3" s="1"/>
  <c r="F166" i="16"/>
  <c r="H166" i="16"/>
  <c r="E167" i="16"/>
  <c r="F167" i="16"/>
  <c r="J123" i="3" s="1"/>
  <c r="G167" i="16"/>
  <c r="I123" i="3" s="1"/>
  <c r="H167" i="16"/>
  <c r="E168" i="16"/>
  <c r="G168" i="16" s="1"/>
  <c r="I124" i="3" s="1"/>
  <c r="F168" i="16"/>
  <c r="J124" i="3" s="1"/>
  <c r="H168" i="16"/>
  <c r="E169" i="16"/>
  <c r="F169" i="16"/>
  <c r="G169" i="16"/>
  <c r="H169" i="16"/>
  <c r="E170" i="16"/>
  <c r="F170" i="16"/>
  <c r="G170" i="16"/>
  <c r="I110" i="3" s="1"/>
  <c r="H170" i="16"/>
  <c r="J170" i="16"/>
  <c r="K170" i="16"/>
  <c r="L170" i="16"/>
  <c r="E171" i="16"/>
  <c r="G171" i="16" s="1"/>
  <c r="I111" i="3" s="1"/>
  <c r="F171" i="16"/>
  <c r="H171" i="16"/>
  <c r="O111" i="3" s="1"/>
  <c r="E172" i="16"/>
  <c r="G172" i="16" s="1"/>
  <c r="I112" i="3" s="1"/>
  <c r="F172" i="16"/>
  <c r="H172" i="16"/>
  <c r="E173" i="16"/>
  <c r="F173" i="16"/>
  <c r="G173" i="16"/>
  <c r="I113" i="3" s="1"/>
  <c r="H173" i="16"/>
  <c r="O113" i="3" s="1"/>
  <c r="E174" i="16"/>
  <c r="G174" i="16" s="1"/>
  <c r="I114" i="3" s="1"/>
  <c r="F174" i="16"/>
  <c r="H174" i="16"/>
  <c r="O114" i="3" s="1"/>
  <c r="E175" i="16"/>
  <c r="F175" i="16"/>
  <c r="G175" i="16"/>
  <c r="I194" i="3" s="1"/>
  <c r="H175" i="16"/>
  <c r="E176" i="16"/>
  <c r="G176" i="16" s="1"/>
  <c r="I195" i="3" s="1"/>
  <c r="F176" i="16"/>
  <c r="H176" i="16"/>
  <c r="E177" i="16"/>
  <c r="F177" i="16"/>
  <c r="J196" i="3" s="1"/>
  <c r="G177" i="16"/>
  <c r="I196" i="3" s="1"/>
  <c r="H177" i="16"/>
  <c r="O196" i="3" s="1"/>
  <c r="E178" i="16"/>
  <c r="F178" i="16"/>
  <c r="G178" i="16"/>
  <c r="H178" i="16"/>
  <c r="O18" i="3" s="1"/>
  <c r="J178" i="16"/>
  <c r="L178" i="16"/>
  <c r="E179" i="16"/>
  <c r="G179" i="16" s="1"/>
  <c r="I19" i="3" s="1"/>
  <c r="F179" i="16"/>
  <c r="H179" i="16"/>
  <c r="O19" i="3" s="1"/>
  <c r="J179" i="16"/>
  <c r="K179" i="16"/>
  <c r="L179" i="16"/>
  <c r="E180" i="16"/>
  <c r="F180" i="16"/>
  <c r="G180" i="16"/>
  <c r="I201" i="3" s="1"/>
  <c r="H180" i="16"/>
  <c r="E181" i="16"/>
  <c r="G181" i="16" s="1"/>
  <c r="I282" i="3" s="1"/>
  <c r="F181" i="16"/>
  <c r="J282" i="3" s="1"/>
  <c r="J181" i="16" s="1"/>
  <c r="H181" i="16"/>
  <c r="E182" i="16"/>
  <c r="G182" i="16" s="1"/>
  <c r="I283" i="3" s="1"/>
  <c r="F182" i="16"/>
  <c r="H182" i="16"/>
  <c r="O283" i="3" s="1"/>
  <c r="E183" i="16"/>
  <c r="F183" i="16"/>
  <c r="G183" i="16"/>
  <c r="I248" i="3" s="1"/>
  <c r="H183" i="16"/>
  <c r="O248" i="3" s="1"/>
  <c r="E184" i="16"/>
  <c r="G184" i="16" s="1"/>
  <c r="I74" i="3" s="1"/>
  <c r="F184" i="16"/>
  <c r="H184" i="16"/>
  <c r="O74" i="3" s="1"/>
  <c r="E185" i="16"/>
  <c r="F185" i="16"/>
  <c r="G185" i="16"/>
  <c r="I75" i="3" s="1"/>
  <c r="H185" i="16"/>
  <c r="E186" i="16"/>
  <c r="F186" i="16"/>
  <c r="G186" i="16"/>
  <c r="I272" i="3" s="1"/>
  <c r="H186" i="16"/>
  <c r="O272" i="3" s="1"/>
  <c r="K186" i="16"/>
  <c r="L186" i="16" s="1"/>
  <c r="E187" i="16"/>
  <c r="G187" i="16" s="1"/>
  <c r="I267" i="3" s="1"/>
  <c r="F187" i="16"/>
  <c r="H187" i="16"/>
  <c r="O267" i="3" s="1"/>
  <c r="E188" i="16"/>
  <c r="G188" i="16" s="1"/>
  <c r="I268" i="3" s="1"/>
  <c r="F188" i="16"/>
  <c r="H188" i="16"/>
  <c r="E189" i="16"/>
  <c r="F189" i="16"/>
  <c r="G189" i="16"/>
  <c r="H189" i="16"/>
  <c r="O269" i="3" s="1"/>
  <c r="E190" i="16"/>
  <c r="G190" i="16" s="1"/>
  <c r="F190" i="16"/>
  <c r="J270" i="3" s="1"/>
  <c r="H190" i="16"/>
  <c r="O270" i="3" s="1"/>
  <c r="E191" i="16"/>
  <c r="F191" i="16"/>
  <c r="J271" i="3" s="1"/>
  <c r="G191" i="16"/>
  <c r="I271" i="3" s="1"/>
  <c r="H191" i="16"/>
  <c r="O271" i="3" s="1"/>
  <c r="E192" i="16"/>
  <c r="F192" i="16"/>
  <c r="G192" i="16"/>
  <c r="I83" i="3" s="1"/>
  <c r="H192" i="16"/>
  <c r="E193" i="16"/>
  <c r="F193" i="16"/>
  <c r="J84" i="3" s="1"/>
  <c r="J193" i="16" s="1"/>
  <c r="G193" i="16"/>
  <c r="I84" i="3" s="1"/>
  <c r="H193" i="16"/>
  <c r="O84" i="3" s="1"/>
  <c r="K193" i="16"/>
  <c r="L193" i="16"/>
  <c r="E194" i="16"/>
  <c r="F194" i="16"/>
  <c r="G194" i="16"/>
  <c r="H194" i="16"/>
  <c r="E195" i="16"/>
  <c r="G195" i="16" s="1"/>
  <c r="I116" i="3" s="1"/>
  <c r="F195" i="16"/>
  <c r="H195" i="16"/>
  <c r="J195" i="16"/>
  <c r="K195" i="16"/>
  <c r="L195" i="16"/>
  <c r="E196" i="16"/>
  <c r="F196" i="16"/>
  <c r="J117" i="3" s="1"/>
  <c r="G196" i="16"/>
  <c r="I117" i="3" s="1"/>
  <c r="H196" i="16"/>
  <c r="J196" i="16"/>
  <c r="K196" i="16"/>
  <c r="L196" i="16" s="1"/>
  <c r="E197" i="16"/>
  <c r="G197" i="16" s="1"/>
  <c r="I76" i="3" s="1"/>
  <c r="F197" i="16"/>
  <c r="J76" i="3" s="1"/>
  <c r="J197" i="16" s="1"/>
  <c r="H197" i="16"/>
  <c r="O76" i="3" s="1"/>
  <c r="E198" i="16"/>
  <c r="G198" i="16" s="1"/>
  <c r="I77" i="3" s="1"/>
  <c r="F198" i="16"/>
  <c r="H198" i="16"/>
  <c r="O77" i="3" s="1"/>
  <c r="E199" i="16"/>
  <c r="F199" i="16"/>
  <c r="G199" i="16"/>
  <c r="I202" i="3" s="1"/>
  <c r="H199" i="16"/>
  <c r="O202" i="3" s="1"/>
  <c r="E200" i="16"/>
  <c r="G200" i="16" s="1"/>
  <c r="I203" i="3" s="1"/>
  <c r="F200" i="16"/>
  <c r="J203" i="3" s="1"/>
  <c r="H200" i="16"/>
  <c r="O203" i="3" s="1"/>
  <c r="J200" i="16"/>
  <c r="K200" i="16"/>
  <c r="L200" i="16"/>
  <c r="E201" i="16"/>
  <c r="F201" i="16"/>
  <c r="J204" i="3" s="1"/>
  <c r="J201" i="16" s="1"/>
  <c r="G201" i="16"/>
  <c r="I204" i="3" s="1"/>
  <c r="H201" i="16"/>
  <c r="O204" i="3" s="1"/>
  <c r="K201" i="16"/>
  <c r="L201" i="16" s="1"/>
  <c r="E202" i="16"/>
  <c r="G202" i="16" s="1"/>
  <c r="I205" i="3" s="1"/>
  <c r="F202" i="16"/>
  <c r="H202" i="16"/>
  <c r="K202" i="16"/>
  <c r="L202" i="16" s="1"/>
  <c r="E203" i="16"/>
  <c r="G203" i="16" s="1"/>
  <c r="I206" i="3" s="1"/>
  <c r="F203" i="16"/>
  <c r="H203" i="16"/>
  <c r="E204" i="16"/>
  <c r="G204" i="16" s="1"/>
  <c r="I7" i="3" s="1"/>
  <c r="F204" i="16"/>
  <c r="J7" i="3" s="1"/>
  <c r="J204" i="16" s="1"/>
  <c r="H204" i="16"/>
  <c r="K204" i="16"/>
  <c r="L204" i="16"/>
  <c r="E205" i="16"/>
  <c r="F205" i="16"/>
  <c r="G205" i="16"/>
  <c r="I9" i="3" s="1"/>
  <c r="H205" i="16"/>
  <c r="O9" i="3" s="1"/>
  <c r="E206" i="16"/>
  <c r="G206" i="16" s="1"/>
  <c r="I22" i="3" s="1"/>
  <c r="F206" i="16"/>
  <c r="H206" i="16"/>
  <c r="O22" i="3" s="1"/>
  <c r="E207" i="16"/>
  <c r="G207" i="16" s="1"/>
  <c r="I20" i="3" s="1"/>
  <c r="F207" i="16"/>
  <c r="H207" i="16"/>
  <c r="O20" i="3" s="1"/>
  <c r="E208" i="16"/>
  <c r="G208" i="16" s="1"/>
  <c r="I21" i="3" s="1"/>
  <c r="F208" i="16"/>
  <c r="H208" i="16"/>
  <c r="E209" i="16"/>
  <c r="F209" i="16"/>
  <c r="G209" i="16"/>
  <c r="I29" i="3" s="1"/>
  <c r="H209" i="16"/>
  <c r="O29" i="3" s="1"/>
  <c r="E210" i="16"/>
  <c r="F210" i="16"/>
  <c r="D18" i="23" s="1"/>
  <c r="G210" i="16"/>
  <c r="I30" i="3" s="1"/>
  <c r="H210" i="16"/>
  <c r="O30" i="3" s="1"/>
  <c r="J210" i="16"/>
  <c r="K210" i="16"/>
  <c r="L210" i="16"/>
  <c r="E211" i="16"/>
  <c r="G211" i="16" s="1"/>
  <c r="F211" i="16"/>
  <c r="H211" i="16"/>
  <c r="O31" i="3" s="1"/>
  <c r="E212" i="16"/>
  <c r="F212" i="16"/>
  <c r="G212" i="16"/>
  <c r="I32" i="3" s="1"/>
  <c r="H212" i="16"/>
  <c r="E213" i="16"/>
  <c r="G213" i="16" s="1"/>
  <c r="I59" i="3" s="1"/>
  <c r="F213" i="16"/>
  <c r="H213" i="16"/>
  <c r="E214" i="16"/>
  <c r="F214" i="16"/>
  <c r="G214" i="16"/>
  <c r="I60" i="3" s="1"/>
  <c r="H214" i="16"/>
  <c r="E215" i="16"/>
  <c r="F215" i="16"/>
  <c r="G215" i="16"/>
  <c r="I61" i="3" s="1"/>
  <c r="H215" i="16"/>
  <c r="O61" i="3" s="1"/>
  <c r="E216" i="16"/>
  <c r="G216" i="16" s="1"/>
  <c r="I62" i="3" s="1"/>
  <c r="F216" i="16"/>
  <c r="H216" i="16"/>
  <c r="O62" i="3" s="1"/>
  <c r="E217" i="16"/>
  <c r="F217" i="16"/>
  <c r="G217" i="16"/>
  <c r="I63" i="3" s="1"/>
  <c r="H217" i="16"/>
  <c r="E218" i="16"/>
  <c r="F218" i="16"/>
  <c r="G218" i="16"/>
  <c r="I64" i="3" s="1"/>
  <c r="H218" i="16"/>
  <c r="O64" i="3" s="1"/>
  <c r="K218" i="16"/>
  <c r="L218" i="16" s="1"/>
  <c r="E219" i="16"/>
  <c r="G219" i="16" s="1"/>
  <c r="F219" i="16"/>
  <c r="H219" i="16"/>
  <c r="O65" i="3" s="1"/>
  <c r="E220" i="16"/>
  <c r="G220" i="16" s="1"/>
  <c r="I249" i="3" s="1"/>
  <c r="F220" i="16"/>
  <c r="H220" i="16"/>
  <c r="E221" i="16"/>
  <c r="F221" i="16"/>
  <c r="G221" i="16"/>
  <c r="H221" i="16"/>
  <c r="J221" i="16"/>
  <c r="K221" i="16"/>
  <c r="L221" i="16"/>
  <c r="E222" i="16"/>
  <c r="F222" i="16"/>
  <c r="G222" i="16"/>
  <c r="I208" i="3" s="1"/>
  <c r="H222" i="16"/>
  <c r="O208" i="3" s="1"/>
  <c r="J222" i="16"/>
  <c r="E223" i="16"/>
  <c r="F223" i="16"/>
  <c r="G223" i="16"/>
  <c r="I125" i="3" s="1"/>
  <c r="H223" i="16"/>
  <c r="E224" i="16"/>
  <c r="G224" i="16" s="1"/>
  <c r="I126" i="3" s="1"/>
  <c r="F224" i="16"/>
  <c r="J126" i="3" s="1"/>
  <c r="K224" i="16" s="1"/>
  <c r="H224" i="16"/>
  <c r="O126" i="3" s="1"/>
  <c r="J224" i="16"/>
  <c r="E225" i="16"/>
  <c r="F225" i="16"/>
  <c r="G225" i="16"/>
  <c r="I127" i="3" s="1"/>
  <c r="H225" i="16"/>
  <c r="O127" i="3" s="1"/>
  <c r="E226" i="16"/>
  <c r="G226" i="16" s="1"/>
  <c r="I128" i="3" s="1"/>
  <c r="F226" i="16"/>
  <c r="H226" i="16"/>
  <c r="O128" i="3" s="1"/>
  <c r="K226" i="16"/>
  <c r="L226" i="16"/>
  <c r="E227" i="16"/>
  <c r="G227" i="16" s="1"/>
  <c r="F227" i="16"/>
  <c r="H227" i="16"/>
  <c r="O129" i="3" s="1"/>
  <c r="K227" i="16"/>
  <c r="E228" i="16"/>
  <c r="G228" i="16" s="1"/>
  <c r="I130" i="3" s="1"/>
  <c r="F228" i="16"/>
  <c r="J130" i="3" s="1"/>
  <c r="H228" i="16"/>
  <c r="E229" i="16"/>
  <c r="F229" i="16"/>
  <c r="G229" i="16"/>
  <c r="I131" i="3" s="1"/>
  <c r="H229" i="16"/>
  <c r="E230" i="16"/>
  <c r="G230" i="16" s="1"/>
  <c r="F230" i="16"/>
  <c r="H230" i="16"/>
  <c r="O198" i="3" s="1"/>
  <c r="E231" i="16"/>
  <c r="F231" i="16"/>
  <c r="G231" i="16"/>
  <c r="I199" i="3" s="1"/>
  <c r="H231" i="16"/>
  <c r="O199" i="3" s="1"/>
  <c r="E232" i="16"/>
  <c r="G232" i="16" s="1"/>
  <c r="I200" i="3" s="1"/>
  <c r="F232" i="16"/>
  <c r="H232" i="16"/>
  <c r="O200" i="3" s="1"/>
  <c r="J232" i="16"/>
  <c r="K232" i="16"/>
  <c r="L232" i="16" s="1"/>
  <c r="E233" i="16"/>
  <c r="F233" i="16"/>
  <c r="J245" i="3" s="1"/>
  <c r="G233" i="16"/>
  <c r="I245" i="3" s="1"/>
  <c r="H233" i="16"/>
  <c r="O245" i="3" s="1"/>
  <c r="J233" i="16"/>
  <c r="K233" i="16"/>
  <c r="L233" i="16" s="1"/>
  <c r="E234" i="16"/>
  <c r="F234" i="16"/>
  <c r="G234" i="16"/>
  <c r="I262" i="3" s="1"/>
  <c r="H234" i="16"/>
  <c r="K234" i="16"/>
  <c r="L234" i="16" s="1"/>
  <c r="E235" i="16"/>
  <c r="G235" i="16" s="1"/>
  <c r="I263" i="3" s="1"/>
  <c r="F235" i="16"/>
  <c r="J263" i="3" s="1"/>
  <c r="H235" i="16"/>
  <c r="O263" i="3" s="1"/>
  <c r="E236" i="16"/>
  <c r="F236" i="16"/>
  <c r="G236" i="16"/>
  <c r="I264" i="3" s="1"/>
  <c r="H236" i="16"/>
  <c r="E237" i="16"/>
  <c r="G237" i="16" s="1"/>
  <c r="I66" i="3" s="1"/>
  <c r="F237" i="16"/>
  <c r="J66" i="3" s="1"/>
  <c r="H237" i="16"/>
  <c r="O66" i="3" s="1"/>
  <c r="E238" i="16"/>
  <c r="G238" i="16" s="1"/>
  <c r="I273" i="3" s="1"/>
  <c r="F238" i="16"/>
  <c r="J273" i="3" s="1"/>
  <c r="K238" i="16" s="1"/>
  <c r="H238" i="16"/>
  <c r="J238" i="16"/>
  <c r="L238" i="16"/>
  <c r="E239" i="16"/>
  <c r="F239" i="16"/>
  <c r="G239" i="16"/>
  <c r="I275" i="3" s="1"/>
  <c r="H239" i="16"/>
  <c r="O275" i="3" s="1"/>
  <c r="E240" i="16"/>
  <c r="G240" i="16" s="1"/>
  <c r="I276" i="3" s="1"/>
  <c r="F240" i="16"/>
  <c r="H240" i="16"/>
  <c r="O276" i="3" s="1"/>
  <c r="P276" i="3" s="1"/>
  <c r="E241" i="16"/>
  <c r="F241" i="16"/>
  <c r="G241" i="16"/>
  <c r="H241" i="16"/>
  <c r="O277" i="3" s="1"/>
  <c r="E242" i="16"/>
  <c r="G242" i="16" s="1"/>
  <c r="I284" i="3" s="1"/>
  <c r="F242" i="16"/>
  <c r="H242" i="16"/>
  <c r="K242" i="16"/>
  <c r="L242" i="16"/>
  <c r="E243" i="16"/>
  <c r="G243" i="16" s="1"/>
  <c r="I285" i="3" s="1"/>
  <c r="F243" i="16"/>
  <c r="H243" i="16"/>
  <c r="E244" i="16"/>
  <c r="G244" i="16" s="1"/>
  <c r="I265" i="3" s="1"/>
  <c r="F244" i="16"/>
  <c r="J265" i="3" s="1"/>
  <c r="J244" i="16" s="1"/>
  <c r="H244" i="16"/>
  <c r="K244" i="16"/>
  <c r="L244" i="16" s="1"/>
  <c r="E245" i="16"/>
  <c r="F245" i="16"/>
  <c r="G245" i="16"/>
  <c r="I70" i="3" s="1"/>
  <c r="H245" i="16"/>
  <c r="O70" i="3" s="1"/>
  <c r="E246" i="16"/>
  <c r="G246" i="16" s="1"/>
  <c r="I71" i="3" s="1"/>
  <c r="F246" i="16"/>
  <c r="H246" i="16"/>
  <c r="O71" i="3" s="1"/>
  <c r="E247" i="16"/>
  <c r="F247" i="16"/>
  <c r="G247" i="16"/>
  <c r="I244" i="3" s="1"/>
  <c r="H247" i="16"/>
  <c r="O244" i="3" s="1"/>
  <c r="E248" i="16"/>
  <c r="G248" i="16" s="1"/>
  <c r="I5" i="3" s="1"/>
  <c r="F248" i="16"/>
  <c r="J5" i="3" s="1"/>
  <c r="H248" i="16"/>
  <c r="J248" i="16"/>
  <c r="K248" i="16"/>
  <c r="L248" i="16" s="1"/>
  <c r="E19" i="28"/>
  <c r="F19" i="28"/>
  <c r="J1" i="21"/>
  <c r="K2" i="21"/>
  <c r="L2" i="21"/>
  <c r="K42" i="21" s="1"/>
  <c r="M42" i="21" s="1"/>
  <c r="N42" i="21" s="1"/>
  <c r="K3" i="21"/>
  <c r="L3" i="21"/>
  <c r="K5" i="21"/>
  <c r="M5" i="21"/>
  <c r="N5" i="21"/>
  <c r="K6" i="21"/>
  <c r="M6" i="21" s="1"/>
  <c r="N6" i="21" s="1"/>
  <c r="K7" i="21"/>
  <c r="M7" i="21"/>
  <c r="N7" i="21" s="1"/>
  <c r="K8" i="21"/>
  <c r="M8" i="21"/>
  <c r="N8" i="21"/>
  <c r="K9" i="21"/>
  <c r="M9" i="21"/>
  <c r="N9" i="21"/>
  <c r="K10" i="21"/>
  <c r="M10" i="21" s="1"/>
  <c r="N10" i="21"/>
  <c r="K11" i="21"/>
  <c r="M11" i="21"/>
  <c r="N11" i="21" s="1"/>
  <c r="K12" i="21"/>
  <c r="M12" i="21" s="1"/>
  <c r="N12" i="21"/>
  <c r="K14" i="21"/>
  <c r="M14" i="21" s="1"/>
  <c r="N14" i="21" s="1"/>
  <c r="K16" i="21"/>
  <c r="M16" i="21" s="1"/>
  <c r="N16" i="21"/>
  <c r="K18" i="21"/>
  <c r="M18" i="21" s="1"/>
  <c r="N18" i="21"/>
  <c r="K19" i="21"/>
  <c r="M19" i="21" s="1"/>
  <c r="N19" i="21"/>
  <c r="K23" i="21"/>
  <c r="M23" i="21" s="1"/>
  <c r="N23" i="21"/>
  <c r="K24" i="21"/>
  <c r="M24" i="21" s="1"/>
  <c r="N24" i="21" s="1"/>
  <c r="K35" i="21"/>
  <c r="M35" i="21"/>
  <c r="N35" i="21"/>
  <c r="K36" i="21"/>
  <c r="M36" i="21" s="1"/>
  <c r="N36" i="21" s="1"/>
  <c r="K38" i="21"/>
  <c r="M38" i="21" s="1"/>
  <c r="N38" i="21" s="1"/>
  <c r="K49" i="21"/>
  <c r="N49" i="21"/>
  <c r="K51" i="21"/>
  <c r="N51" i="21"/>
  <c r="K52" i="21"/>
  <c r="N52" i="21"/>
  <c r="A1" i="2"/>
  <c r="J1" i="2"/>
  <c r="J2" i="2"/>
  <c r="J3" i="2"/>
  <c r="J5" i="2" s="1"/>
  <c r="L5" i="2" s="1"/>
  <c r="H5" i="2"/>
  <c r="I5" i="2"/>
  <c r="M5" i="2" s="1"/>
  <c r="H6" i="2"/>
  <c r="M6" i="2" s="1"/>
  <c r="I6" i="2"/>
  <c r="J6" i="2"/>
  <c r="L6" i="2"/>
  <c r="O6" i="2" s="1"/>
  <c r="N6" i="2"/>
  <c r="H7" i="2"/>
  <c r="I7" i="2"/>
  <c r="M7" i="2" s="1"/>
  <c r="J7" i="2"/>
  <c r="L7" i="2"/>
  <c r="H8" i="2"/>
  <c r="M8" i="2" s="1"/>
  <c r="I8" i="2"/>
  <c r="J8" i="2"/>
  <c r="L8" i="2" s="1"/>
  <c r="H9" i="2"/>
  <c r="I9" i="2"/>
  <c r="M9" i="2"/>
  <c r="H10" i="2"/>
  <c r="M10" i="2" s="1"/>
  <c r="I10" i="2"/>
  <c r="J10" i="2"/>
  <c r="L10" i="2" s="1"/>
  <c r="H11" i="2"/>
  <c r="I11" i="2"/>
  <c r="J11" i="2"/>
  <c r="L11" i="2" s="1"/>
  <c r="N11" i="2"/>
  <c r="H12" i="2"/>
  <c r="M12" i="2" s="1"/>
  <c r="I12" i="2"/>
  <c r="J12" i="2"/>
  <c r="L12" i="2"/>
  <c r="H13" i="2"/>
  <c r="M13" i="2" s="1"/>
  <c r="I13" i="2"/>
  <c r="J13" i="2"/>
  <c r="L13" i="2" s="1"/>
  <c r="H14" i="2"/>
  <c r="I14" i="2"/>
  <c r="J14" i="2"/>
  <c r="L14" i="2"/>
  <c r="O14" i="2" s="1"/>
  <c r="M14" i="2"/>
  <c r="H15" i="2"/>
  <c r="I15" i="2"/>
  <c r="M15" i="2"/>
  <c r="H16" i="2"/>
  <c r="I16" i="2"/>
  <c r="J16" i="2"/>
  <c r="L16" i="2" s="1"/>
  <c r="N16" i="2" s="1"/>
  <c r="M16" i="2"/>
  <c r="O16" i="2"/>
  <c r="H17" i="2"/>
  <c r="I17" i="2"/>
  <c r="M17" i="2"/>
  <c r="H18" i="2"/>
  <c r="I18" i="2"/>
  <c r="J18" i="2"/>
  <c r="L18" i="2" s="1"/>
  <c r="N18" i="2" s="1"/>
  <c r="H19" i="2"/>
  <c r="I19" i="2"/>
  <c r="J19" i="2"/>
  <c r="L19" i="2" s="1"/>
  <c r="H20" i="2"/>
  <c r="I20" i="2"/>
  <c r="M20" i="2"/>
  <c r="H21" i="2"/>
  <c r="M21" i="2" s="1"/>
  <c r="I21" i="2"/>
  <c r="J21" i="2"/>
  <c r="L21" i="2"/>
  <c r="H22" i="2"/>
  <c r="I22" i="2"/>
  <c r="J22" i="2"/>
  <c r="L22" i="2" s="1"/>
  <c r="M22" i="2"/>
  <c r="H23" i="2"/>
  <c r="I23" i="2"/>
  <c r="M23" i="2" s="1"/>
  <c r="H24" i="2"/>
  <c r="I24" i="2"/>
  <c r="M24" i="2"/>
  <c r="H25" i="2"/>
  <c r="M25" i="2" s="1"/>
  <c r="I25" i="2"/>
  <c r="H26" i="2"/>
  <c r="I26" i="2"/>
  <c r="H27" i="2"/>
  <c r="I27" i="2"/>
  <c r="H28" i="2"/>
  <c r="I28" i="2"/>
  <c r="H29" i="2"/>
  <c r="I29" i="2"/>
  <c r="M29" i="2"/>
  <c r="H30" i="2"/>
  <c r="I30" i="2"/>
  <c r="M30" i="2"/>
  <c r="H31" i="2"/>
  <c r="I31" i="2"/>
  <c r="M31" i="2" s="1"/>
  <c r="J31" i="2"/>
  <c r="L31" i="2" s="1"/>
  <c r="N31" i="2" s="1"/>
  <c r="O31" i="2"/>
  <c r="H32" i="2"/>
  <c r="I32" i="2"/>
  <c r="J32" i="2"/>
  <c r="L32" i="2"/>
  <c r="M32" i="2"/>
  <c r="H33" i="2"/>
  <c r="I33" i="2"/>
  <c r="H34" i="2"/>
  <c r="I34" i="2"/>
  <c r="M34" i="2" s="1"/>
  <c r="H35" i="2"/>
  <c r="I35" i="2"/>
  <c r="H36" i="2"/>
  <c r="M36" i="2" s="1"/>
  <c r="I36" i="2"/>
  <c r="H37" i="2"/>
  <c r="M37" i="2" s="1"/>
  <c r="I37" i="2"/>
  <c r="H38" i="2"/>
  <c r="I38" i="2"/>
  <c r="M38" i="2"/>
  <c r="H39" i="2"/>
  <c r="I39" i="2"/>
  <c r="M39" i="2"/>
  <c r="H40" i="2"/>
  <c r="M40" i="2" s="1"/>
  <c r="I40" i="2"/>
  <c r="H41" i="2"/>
  <c r="I41" i="2"/>
  <c r="H42" i="2"/>
  <c r="M42" i="2" s="1"/>
  <c r="I42" i="2"/>
  <c r="H43" i="2"/>
  <c r="M43" i="2" s="1"/>
  <c r="I43" i="2"/>
  <c r="H44" i="2"/>
  <c r="M44" i="2" s="1"/>
  <c r="I44" i="2"/>
  <c r="H45" i="2"/>
  <c r="I45" i="2"/>
  <c r="M45" i="2" s="1"/>
  <c r="H46" i="2"/>
  <c r="M46" i="2" s="1"/>
  <c r="I46" i="2"/>
  <c r="H47" i="2"/>
  <c r="I47" i="2"/>
  <c r="M47" i="2"/>
  <c r="H48" i="2"/>
  <c r="M48" i="2" s="1"/>
  <c r="I48" i="2"/>
  <c r="H49" i="2"/>
  <c r="I49" i="2"/>
  <c r="M49" i="2" s="1"/>
  <c r="H50" i="2"/>
  <c r="M50" i="2" s="1"/>
  <c r="I50" i="2"/>
  <c r="H51" i="2"/>
  <c r="M51" i="2" s="1"/>
  <c r="I51" i="2"/>
  <c r="H52" i="2"/>
  <c r="I52" i="2"/>
  <c r="J52" i="2"/>
  <c r="L52" i="2" s="1"/>
  <c r="H53" i="2"/>
  <c r="I53" i="2"/>
  <c r="J53" i="2"/>
  <c r="L53" i="2"/>
  <c r="M53" i="2"/>
  <c r="H54" i="2"/>
  <c r="M54" i="2" s="1"/>
  <c r="I54" i="2"/>
  <c r="H55" i="2"/>
  <c r="I55" i="2"/>
  <c r="J55" i="2"/>
  <c r="L55" i="2" s="1"/>
  <c r="M55" i="2"/>
  <c r="H56" i="2"/>
  <c r="M56" i="2" s="1"/>
  <c r="I56" i="2"/>
  <c r="J56" i="2"/>
  <c r="L56" i="2"/>
  <c r="N56" i="2" s="1"/>
  <c r="H57" i="2"/>
  <c r="I57" i="2"/>
  <c r="M57" i="2"/>
  <c r="H58" i="2"/>
  <c r="M58" i="2" s="1"/>
  <c r="I58" i="2"/>
  <c r="J58" i="2"/>
  <c r="L58" i="2" s="1"/>
  <c r="H59" i="2"/>
  <c r="M59" i="2" s="1"/>
  <c r="I59" i="2"/>
  <c r="J59" i="2"/>
  <c r="L59" i="2"/>
  <c r="O59" i="2" s="1"/>
  <c r="H60" i="2"/>
  <c r="I60" i="2"/>
  <c r="J60" i="2"/>
  <c r="L60" i="2" s="1"/>
  <c r="N60" i="2" s="1"/>
  <c r="M60" i="2"/>
  <c r="H61" i="2"/>
  <c r="I61" i="2"/>
  <c r="J61" i="2"/>
  <c r="L61" i="2" s="1"/>
  <c r="H62" i="2"/>
  <c r="I62" i="2"/>
  <c r="J62" i="2"/>
  <c r="L62" i="2"/>
  <c r="M62" i="2"/>
  <c r="N62" i="2"/>
  <c r="O62" i="2"/>
  <c r="H63" i="2"/>
  <c r="I63" i="2"/>
  <c r="J63" i="2"/>
  <c r="L63" i="2" s="1"/>
  <c r="M63" i="2"/>
  <c r="N63" i="2"/>
  <c r="O63" i="2"/>
  <c r="H64" i="2"/>
  <c r="M64" i="2" s="1"/>
  <c r="I64" i="2"/>
  <c r="J64" i="2"/>
  <c r="L64" i="2"/>
  <c r="N64" i="2" s="1"/>
  <c r="H65" i="2"/>
  <c r="I65" i="2"/>
  <c r="H66" i="2"/>
  <c r="I66" i="2"/>
  <c r="J66" i="2"/>
  <c r="L66" i="2" s="1"/>
  <c r="N66" i="2" s="1"/>
  <c r="M66" i="2"/>
  <c r="H67" i="2"/>
  <c r="I67" i="2"/>
  <c r="J67" i="2"/>
  <c r="L67" i="2" s="1"/>
  <c r="N67" i="2" s="1"/>
  <c r="H68" i="2"/>
  <c r="I68" i="2"/>
  <c r="J68" i="2"/>
  <c r="L68" i="2"/>
  <c r="O68" i="2" s="1"/>
  <c r="M68" i="2"/>
  <c r="H69" i="2"/>
  <c r="I69" i="2"/>
  <c r="H70" i="2"/>
  <c r="I70" i="2"/>
  <c r="J70" i="2"/>
  <c r="L70" i="2"/>
  <c r="N70" i="2"/>
  <c r="H71" i="2"/>
  <c r="I71" i="2"/>
  <c r="M71" i="2" s="1"/>
  <c r="J71" i="2"/>
  <c r="L71" i="2"/>
  <c r="N71" i="2" s="1"/>
  <c r="O71" i="2"/>
  <c r="H72" i="2"/>
  <c r="M72" i="2" s="1"/>
  <c r="I72" i="2"/>
  <c r="J72" i="2"/>
  <c r="L72" i="2" s="1"/>
  <c r="H73" i="2"/>
  <c r="I73" i="2"/>
  <c r="M73" i="2"/>
  <c r="H74" i="2"/>
  <c r="I74" i="2"/>
  <c r="J74" i="2"/>
  <c r="L74" i="2" s="1"/>
  <c r="M74" i="2"/>
  <c r="O74" i="2" s="1"/>
  <c r="N74" i="2"/>
  <c r="H75" i="2"/>
  <c r="M75" i="2" s="1"/>
  <c r="I75" i="2"/>
  <c r="J75" i="2"/>
  <c r="L75" i="2" s="1"/>
  <c r="N75" i="2"/>
  <c r="H76" i="2"/>
  <c r="I76" i="2"/>
  <c r="J76" i="2"/>
  <c r="L76" i="2" s="1"/>
  <c r="H77" i="2"/>
  <c r="I77" i="2"/>
  <c r="M77" i="2" s="1"/>
  <c r="J77" i="2"/>
  <c r="L77" i="2"/>
  <c r="H78" i="2"/>
  <c r="M78" i="2" s="1"/>
  <c r="I78" i="2"/>
  <c r="J78" i="2"/>
  <c r="L78" i="2"/>
  <c r="N78" i="2" s="1"/>
  <c r="O78" i="2"/>
  <c r="H79" i="2"/>
  <c r="I79" i="2"/>
  <c r="M79" i="2" s="1"/>
  <c r="H80" i="2"/>
  <c r="I80" i="2"/>
  <c r="J80" i="2"/>
  <c r="L80" i="2" s="1"/>
  <c r="M80" i="2"/>
  <c r="H81" i="2"/>
  <c r="M81" i="2" s="1"/>
  <c r="I81" i="2"/>
  <c r="H82" i="2"/>
  <c r="I82" i="2"/>
  <c r="J82" i="2"/>
  <c r="L82" i="2" s="1"/>
  <c r="N82" i="2" s="1"/>
  <c r="M82" i="2"/>
  <c r="O82" i="2" s="1"/>
  <c r="H83" i="2"/>
  <c r="I83" i="2"/>
  <c r="J83" i="2"/>
  <c r="L83" i="2" s="1"/>
  <c r="H84" i="2"/>
  <c r="I84" i="2"/>
  <c r="M84" i="2" s="1"/>
  <c r="H85" i="2"/>
  <c r="I85" i="2"/>
  <c r="J85" i="2"/>
  <c r="L85" i="2" s="1"/>
  <c r="N85" i="2" s="1"/>
  <c r="H86" i="2"/>
  <c r="M86" i="2" s="1"/>
  <c r="I86" i="2"/>
  <c r="N86" i="2" s="1"/>
  <c r="J86" i="2"/>
  <c r="L86" i="2" s="1"/>
  <c r="H87" i="2"/>
  <c r="I87" i="2"/>
  <c r="J87" i="2"/>
  <c r="L87" i="2" s="1"/>
  <c r="M87" i="2"/>
  <c r="H88" i="2"/>
  <c r="I88" i="2"/>
  <c r="J88" i="2"/>
  <c r="L88" i="2" s="1"/>
  <c r="O88" i="2" s="1"/>
  <c r="M88" i="2"/>
  <c r="N88" i="2"/>
  <c r="H89" i="2"/>
  <c r="I89" i="2"/>
  <c r="J89" i="2"/>
  <c r="L89" i="2"/>
  <c r="M89" i="2"/>
  <c r="O89" i="2" s="1"/>
  <c r="N89" i="2"/>
  <c r="H90" i="2"/>
  <c r="M90" i="2" s="1"/>
  <c r="O90" i="2" s="1"/>
  <c r="I90" i="2"/>
  <c r="J90" i="2"/>
  <c r="L90" i="2" s="1"/>
  <c r="N90" i="2"/>
  <c r="H91" i="2"/>
  <c r="M91" i="2" s="1"/>
  <c r="I91" i="2"/>
  <c r="J91" i="2"/>
  <c r="L91" i="2"/>
  <c r="O91" i="2"/>
  <c r="H92" i="2"/>
  <c r="I92" i="2"/>
  <c r="M92" i="2" s="1"/>
  <c r="J92" i="2"/>
  <c r="L92" i="2"/>
  <c r="H93" i="2"/>
  <c r="I93" i="2"/>
  <c r="J93" i="2"/>
  <c r="L93" i="2"/>
  <c r="M93" i="2"/>
  <c r="H94" i="2"/>
  <c r="M94" i="2" s="1"/>
  <c r="I94" i="2"/>
  <c r="H95" i="2"/>
  <c r="I95" i="2"/>
  <c r="M95" i="2" s="1"/>
  <c r="J95" i="2"/>
  <c r="L95" i="2" s="1"/>
  <c r="H96" i="2"/>
  <c r="M96" i="2" s="1"/>
  <c r="I96" i="2"/>
  <c r="J96" i="2"/>
  <c r="L96" i="2"/>
  <c r="O96" i="2" s="1"/>
  <c r="H97" i="2"/>
  <c r="I97" i="2"/>
  <c r="M97" i="2" s="1"/>
  <c r="H98" i="2"/>
  <c r="M98" i="2" s="1"/>
  <c r="I98" i="2"/>
  <c r="J98" i="2"/>
  <c r="L98" i="2" s="1"/>
  <c r="O98" i="2" s="1"/>
  <c r="N98" i="2"/>
  <c r="H99" i="2"/>
  <c r="M99" i="2" s="1"/>
  <c r="I99" i="2"/>
  <c r="J99" i="2"/>
  <c r="L99" i="2"/>
  <c r="H100" i="2"/>
  <c r="I100" i="2"/>
  <c r="J100" i="2"/>
  <c r="L100" i="2" s="1"/>
  <c r="N100" i="2" s="1"/>
  <c r="M100" i="2"/>
  <c r="H101" i="2"/>
  <c r="M101" i="2" s="1"/>
  <c r="I101" i="2"/>
  <c r="J101" i="2"/>
  <c r="L101" i="2"/>
  <c r="H102" i="2"/>
  <c r="I102" i="2"/>
  <c r="J102" i="2"/>
  <c r="L102" i="2" s="1"/>
  <c r="H103" i="2"/>
  <c r="I103" i="2"/>
  <c r="J103" i="2"/>
  <c r="L103" i="2" s="1"/>
  <c r="M103" i="2"/>
  <c r="H104" i="2"/>
  <c r="M104" i="2" s="1"/>
  <c r="I104" i="2"/>
  <c r="J104" i="2"/>
  <c r="L104" i="2" s="1"/>
  <c r="H105" i="2"/>
  <c r="I105" i="2"/>
  <c r="H106" i="2"/>
  <c r="M106" i="2" s="1"/>
  <c r="O106" i="2" s="1"/>
  <c r="I106" i="2"/>
  <c r="J106" i="2"/>
  <c r="L106" i="2" s="1"/>
  <c r="H107" i="2"/>
  <c r="I107" i="2"/>
  <c r="J107" i="2"/>
  <c r="L107" i="2" s="1"/>
  <c r="H108" i="2"/>
  <c r="I108" i="2"/>
  <c r="J108" i="2"/>
  <c r="L108" i="2"/>
  <c r="M108" i="2"/>
  <c r="O108" i="2"/>
  <c r="H109" i="2"/>
  <c r="M109" i="2" s="1"/>
  <c r="I109" i="2"/>
  <c r="H110" i="2"/>
  <c r="M110" i="2" s="1"/>
  <c r="I110" i="2"/>
  <c r="J110" i="2"/>
  <c r="L110" i="2"/>
  <c r="H111" i="2"/>
  <c r="I111" i="2"/>
  <c r="J111" i="2"/>
  <c r="L111" i="2" s="1"/>
  <c r="M111" i="2"/>
  <c r="H112" i="2"/>
  <c r="I112" i="2"/>
  <c r="J112" i="2"/>
  <c r="L112" i="2" s="1"/>
  <c r="O112" i="2" s="1"/>
  <c r="M112" i="2"/>
  <c r="H113" i="2"/>
  <c r="I113" i="2"/>
  <c r="H114" i="2"/>
  <c r="I114" i="2"/>
  <c r="J114" i="2"/>
  <c r="L114" i="2" s="1"/>
  <c r="M114" i="2"/>
  <c r="H115" i="2"/>
  <c r="M115" i="2" s="1"/>
  <c r="I115" i="2"/>
  <c r="J115" i="2"/>
  <c r="L115" i="2" s="1"/>
  <c r="N115" i="2" s="1"/>
  <c r="H116" i="2"/>
  <c r="M116" i="2" s="1"/>
  <c r="I116" i="2"/>
  <c r="J116" i="2"/>
  <c r="L116" i="2"/>
  <c r="H117" i="2"/>
  <c r="I117" i="2"/>
  <c r="J117" i="2"/>
  <c r="L117" i="2" s="1"/>
  <c r="H118" i="2"/>
  <c r="M118" i="2" s="1"/>
  <c r="I118" i="2"/>
  <c r="J118" i="2"/>
  <c r="L118" i="2"/>
  <c r="H119" i="2"/>
  <c r="I119" i="2"/>
  <c r="M119" i="2"/>
  <c r="H120" i="2"/>
  <c r="M120" i="2" s="1"/>
  <c r="O120" i="2" s="1"/>
  <c r="I120" i="2"/>
  <c r="J120" i="2"/>
  <c r="L120" i="2" s="1"/>
  <c r="N120" i="2" s="1"/>
  <c r="H121" i="2"/>
  <c r="I121" i="2"/>
  <c r="H122" i="2"/>
  <c r="M122" i="2" s="1"/>
  <c r="O122" i="2" s="1"/>
  <c r="I122" i="2"/>
  <c r="J122" i="2"/>
  <c r="L122" i="2" s="1"/>
  <c r="N122" i="2" s="1"/>
  <c r="H123" i="2"/>
  <c r="I123" i="2"/>
  <c r="J123" i="2"/>
  <c r="L123" i="2" s="1"/>
  <c r="H124" i="2"/>
  <c r="M124" i="2" s="1"/>
  <c r="I124" i="2"/>
  <c r="H125" i="2"/>
  <c r="I125" i="2"/>
  <c r="J125" i="2"/>
  <c r="L125" i="2" s="1"/>
  <c r="H126" i="2"/>
  <c r="I126" i="2"/>
  <c r="J126" i="2"/>
  <c r="L126" i="2" s="1"/>
  <c r="O126" i="2" s="1"/>
  <c r="M126" i="2"/>
  <c r="N126" i="2"/>
  <c r="H127" i="2"/>
  <c r="I127" i="2"/>
  <c r="J127" i="2"/>
  <c r="L127" i="2"/>
  <c r="N127" i="2" s="1"/>
  <c r="M127" i="2"/>
  <c r="O127" i="2"/>
  <c r="H128" i="2"/>
  <c r="I128" i="2"/>
  <c r="J128" i="2"/>
  <c r="L128" i="2" s="1"/>
  <c r="M128" i="2"/>
  <c r="H129" i="2"/>
  <c r="I129" i="2"/>
  <c r="M129" i="2"/>
  <c r="H130" i="2"/>
  <c r="M130" i="2" s="1"/>
  <c r="O130" i="2" s="1"/>
  <c r="I130" i="2"/>
  <c r="J130" i="2"/>
  <c r="L130" i="2" s="1"/>
  <c r="N130" i="2"/>
  <c r="H131" i="2"/>
  <c r="M131" i="2" s="1"/>
  <c r="I131" i="2"/>
  <c r="J131" i="2"/>
  <c r="L131" i="2"/>
  <c r="H132" i="2"/>
  <c r="M132" i="2" s="1"/>
  <c r="I132" i="2"/>
  <c r="J132" i="2"/>
  <c r="L132" i="2" s="1"/>
  <c r="H133" i="2"/>
  <c r="I133" i="2"/>
  <c r="J133" i="2"/>
  <c r="L133" i="2"/>
  <c r="M133" i="2"/>
  <c r="H134" i="2"/>
  <c r="M134" i="2" s="1"/>
  <c r="I134" i="2"/>
  <c r="J134" i="2"/>
  <c r="L134" i="2" s="1"/>
  <c r="N134" i="2"/>
  <c r="O134" i="2"/>
  <c r="H135" i="2"/>
  <c r="I135" i="2"/>
  <c r="J135" i="2"/>
  <c r="L135" i="2"/>
  <c r="H136" i="2"/>
  <c r="M136" i="2" s="1"/>
  <c r="I136" i="2"/>
  <c r="J136" i="2"/>
  <c r="L136" i="2"/>
  <c r="H137" i="2"/>
  <c r="M137" i="2" s="1"/>
  <c r="I137" i="2"/>
  <c r="H138" i="2"/>
  <c r="I138" i="2"/>
  <c r="J138" i="2"/>
  <c r="L138" i="2" s="1"/>
  <c r="M138" i="2"/>
  <c r="H139" i="2"/>
  <c r="M139" i="2" s="1"/>
  <c r="I139" i="2"/>
  <c r="J139" i="2"/>
  <c r="L139" i="2"/>
  <c r="O139" i="2" s="1"/>
  <c r="H140" i="2"/>
  <c r="I140" i="2"/>
  <c r="J140" i="2"/>
  <c r="L140" i="2"/>
  <c r="N140" i="2" s="1"/>
  <c r="M140" i="2"/>
  <c r="O140" i="2"/>
  <c r="H141" i="2"/>
  <c r="M141" i="2" s="1"/>
  <c r="I141" i="2"/>
  <c r="J141" i="2"/>
  <c r="L141" i="2" s="1"/>
  <c r="N141" i="2" s="1"/>
  <c r="H142" i="2"/>
  <c r="I142" i="2"/>
  <c r="J142" i="2"/>
  <c r="L142" i="2"/>
  <c r="N142" i="2"/>
  <c r="H143" i="2"/>
  <c r="I143" i="2"/>
  <c r="J143" i="2"/>
  <c r="L143" i="2"/>
  <c r="M143" i="2"/>
  <c r="O143" i="2"/>
  <c r="H144" i="2"/>
  <c r="M144" i="2" s="1"/>
  <c r="I144" i="2"/>
  <c r="J144" i="2"/>
  <c r="L144" i="2"/>
  <c r="N144" i="2" s="1"/>
  <c r="H145" i="2"/>
  <c r="I145" i="2"/>
  <c r="J145" i="2"/>
  <c r="L145" i="2" s="1"/>
  <c r="N145" i="2"/>
  <c r="H146" i="2"/>
  <c r="I146" i="2"/>
  <c r="M146" i="2" s="1"/>
  <c r="J146" i="2"/>
  <c r="L146" i="2" s="1"/>
  <c r="H147" i="2"/>
  <c r="I147" i="2"/>
  <c r="J147" i="2"/>
  <c r="L147" i="2"/>
  <c r="M147" i="2"/>
  <c r="H148" i="2"/>
  <c r="I148" i="2"/>
  <c r="J148" i="2"/>
  <c r="L148" i="2"/>
  <c r="N148" i="2" s="1"/>
  <c r="M148" i="2"/>
  <c r="H149" i="2"/>
  <c r="I149" i="2"/>
  <c r="J149" i="2"/>
  <c r="L149" i="2" s="1"/>
  <c r="M149" i="2"/>
  <c r="N149" i="2"/>
  <c r="O149" i="2"/>
  <c r="H150" i="2"/>
  <c r="M150" i="2" s="1"/>
  <c r="O150" i="2" s="1"/>
  <c r="I150" i="2"/>
  <c r="J150" i="2"/>
  <c r="L150" i="2"/>
  <c r="N150" i="2" s="1"/>
  <c r="H151" i="2"/>
  <c r="M151" i="2" s="1"/>
  <c r="I151" i="2"/>
  <c r="J151" i="2"/>
  <c r="L151" i="2" s="1"/>
  <c r="N151" i="2" s="1"/>
  <c r="H152" i="2"/>
  <c r="I152" i="2"/>
  <c r="M152" i="2" s="1"/>
  <c r="J152" i="2"/>
  <c r="L152" i="2"/>
  <c r="H153" i="2"/>
  <c r="I153" i="2"/>
  <c r="M153" i="2" s="1"/>
  <c r="J153" i="2"/>
  <c r="L153" i="2"/>
  <c r="H154" i="2"/>
  <c r="I154" i="2"/>
  <c r="J154" i="2"/>
  <c r="L154" i="2" s="1"/>
  <c r="O154" i="2" s="1"/>
  <c r="M154" i="2"/>
  <c r="N154" i="2"/>
  <c r="H155" i="2"/>
  <c r="M155" i="2" s="1"/>
  <c r="I155" i="2"/>
  <c r="J155" i="2"/>
  <c r="L155" i="2"/>
  <c r="N155" i="2"/>
  <c r="O155" i="2"/>
  <c r="H156" i="2"/>
  <c r="M156" i="2" s="1"/>
  <c r="I156" i="2"/>
  <c r="J156" i="2"/>
  <c r="L156" i="2"/>
  <c r="H157" i="2"/>
  <c r="I157" i="2"/>
  <c r="J157" i="2"/>
  <c r="L157" i="2" s="1"/>
  <c r="N157" i="2" s="1"/>
  <c r="H158" i="2"/>
  <c r="I158" i="2"/>
  <c r="H159" i="2"/>
  <c r="I159" i="2"/>
  <c r="M159" i="2" s="1"/>
  <c r="H160" i="2"/>
  <c r="M160" i="2" s="1"/>
  <c r="I160" i="2"/>
  <c r="H161" i="2"/>
  <c r="I161" i="2"/>
  <c r="H162" i="2"/>
  <c r="I162" i="2"/>
  <c r="M162" i="2" s="1"/>
  <c r="H163" i="2"/>
  <c r="I163" i="2"/>
  <c r="M163" i="2"/>
  <c r="H164" i="2"/>
  <c r="I164" i="2"/>
  <c r="M164" i="2"/>
  <c r="H165" i="2"/>
  <c r="M165" i="2" s="1"/>
  <c r="I165" i="2"/>
  <c r="H166" i="2"/>
  <c r="M166" i="2" s="1"/>
  <c r="I166" i="2"/>
  <c r="H167" i="2"/>
  <c r="M167" i="2" s="1"/>
  <c r="I167" i="2"/>
  <c r="H168" i="2"/>
  <c r="M168" i="2" s="1"/>
  <c r="I168" i="2"/>
  <c r="H169" i="2"/>
  <c r="I169" i="2"/>
  <c r="M169" i="2"/>
  <c r="H170" i="2"/>
  <c r="I170" i="2"/>
  <c r="M170" i="2" s="1"/>
  <c r="H171" i="2"/>
  <c r="M171" i="2" s="1"/>
  <c r="I171" i="2"/>
  <c r="H172" i="2"/>
  <c r="I172" i="2"/>
  <c r="H173" i="2"/>
  <c r="I173" i="2"/>
  <c r="M173" i="2"/>
  <c r="H174" i="2"/>
  <c r="I174" i="2"/>
  <c r="A358" i="5" s="1"/>
  <c r="C360" i="5" s="1"/>
  <c r="E360" i="5" s="1"/>
  <c r="H175" i="2"/>
  <c r="M175" i="2" s="1"/>
  <c r="I175" i="2"/>
  <c r="H176" i="2"/>
  <c r="I176" i="2"/>
  <c r="H177" i="2"/>
  <c r="I177" i="2"/>
  <c r="A386" i="5" s="1"/>
  <c r="C387" i="5" s="1"/>
  <c r="J177" i="2"/>
  <c r="L177" i="2"/>
  <c r="M177" i="2"/>
  <c r="H178" i="2"/>
  <c r="I178" i="2"/>
  <c r="J178" i="2"/>
  <c r="L178" i="2"/>
  <c r="O178" i="2" s="1"/>
  <c r="M178" i="2"/>
  <c r="H179" i="2"/>
  <c r="I179" i="2"/>
  <c r="M179" i="2" s="1"/>
  <c r="J179" i="2"/>
  <c r="L179" i="2"/>
  <c r="H180" i="2"/>
  <c r="I180" i="2"/>
  <c r="J180" i="2"/>
  <c r="L180" i="2" s="1"/>
  <c r="O180" i="2" s="1"/>
  <c r="M180" i="2"/>
  <c r="N180" i="2"/>
  <c r="H181" i="2"/>
  <c r="M181" i="2" s="1"/>
  <c r="I181" i="2"/>
  <c r="J181" i="2"/>
  <c r="L181" i="2"/>
  <c r="O181" i="2" s="1"/>
  <c r="N181" i="2"/>
  <c r="H182" i="2"/>
  <c r="M182" i="2" s="1"/>
  <c r="I182" i="2"/>
  <c r="J182" i="2"/>
  <c r="L182" i="2"/>
  <c r="N182" i="2" s="1"/>
  <c r="O182" i="2"/>
  <c r="H183" i="2"/>
  <c r="I183" i="2"/>
  <c r="J183" i="2"/>
  <c r="L183" i="2" s="1"/>
  <c r="H184" i="2"/>
  <c r="M184" i="2" s="1"/>
  <c r="I184" i="2"/>
  <c r="J184" i="2"/>
  <c r="L184" i="2"/>
  <c r="N184" i="2" s="1"/>
  <c r="O184" i="2"/>
  <c r="H185" i="2"/>
  <c r="I185" i="2"/>
  <c r="M185" i="2" s="1"/>
  <c r="J185" i="2"/>
  <c r="L185" i="2"/>
  <c r="H186" i="2"/>
  <c r="M186" i="2" s="1"/>
  <c r="I186" i="2"/>
  <c r="J186" i="2"/>
  <c r="L186" i="2"/>
  <c r="H187" i="2"/>
  <c r="I187" i="2"/>
  <c r="J187" i="2"/>
  <c r="L187" i="2"/>
  <c r="N187" i="2" s="1"/>
  <c r="M187" i="2"/>
  <c r="H188" i="2"/>
  <c r="I188" i="2"/>
  <c r="J188" i="2"/>
  <c r="L188" i="2" s="1"/>
  <c r="M188" i="2"/>
  <c r="O188" i="2" s="1"/>
  <c r="N188" i="2"/>
  <c r="H189" i="2"/>
  <c r="M189" i="2" s="1"/>
  <c r="I189" i="2"/>
  <c r="L189" i="2"/>
  <c r="N189" i="2" s="1"/>
  <c r="H190" i="2"/>
  <c r="I190" i="2"/>
  <c r="L190" i="2"/>
  <c r="H191" i="2"/>
  <c r="I191" i="2"/>
  <c r="L191" i="2"/>
  <c r="M191" i="2"/>
  <c r="N191" i="2"/>
  <c r="H192" i="2"/>
  <c r="I192" i="2"/>
  <c r="L192" i="2"/>
  <c r="H193" i="2"/>
  <c r="M193" i="2" s="1"/>
  <c r="I193" i="2"/>
  <c r="L193" i="2"/>
  <c r="H194" i="2"/>
  <c r="M194" i="2" s="1"/>
  <c r="I194" i="2"/>
  <c r="L194" i="2"/>
  <c r="N194" i="2"/>
  <c r="O194" i="2"/>
  <c r="H195" i="2"/>
  <c r="I195" i="2"/>
  <c r="M195" i="2" s="1"/>
  <c r="J195" i="2"/>
  <c r="L195" i="2"/>
  <c r="O195" i="2" s="1"/>
  <c r="H196" i="2"/>
  <c r="M196" i="2" s="1"/>
  <c r="I196" i="2"/>
  <c r="J196" i="2"/>
  <c r="L196" i="2"/>
  <c r="H197" i="2"/>
  <c r="I197" i="2"/>
  <c r="J197" i="2"/>
  <c r="L197" i="2"/>
  <c r="M197" i="2"/>
  <c r="N197" i="2"/>
  <c r="H198" i="2"/>
  <c r="I198" i="2"/>
  <c r="J198" i="2"/>
  <c r="L198" i="2" s="1"/>
  <c r="M198" i="2"/>
  <c r="N198" i="2"/>
  <c r="O198" i="2"/>
  <c r="H199" i="2"/>
  <c r="M199" i="2" s="1"/>
  <c r="O199" i="2" s="1"/>
  <c r="I199" i="2"/>
  <c r="J199" i="2"/>
  <c r="L199" i="2" s="1"/>
  <c r="N199" i="2" s="1"/>
  <c r="H200" i="2"/>
  <c r="M200" i="2" s="1"/>
  <c r="I200" i="2"/>
  <c r="J200" i="2"/>
  <c r="L200" i="2"/>
  <c r="H201" i="2"/>
  <c r="I201" i="2"/>
  <c r="M201" i="2" s="1"/>
  <c r="J201" i="2"/>
  <c r="L201" i="2" s="1"/>
  <c r="H202" i="2"/>
  <c r="I202" i="2"/>
  <c r="J202" i="2"/>
  <c r="L202" i="2" s="1"/>
  <c r="N202" i="2"/>
  <c r="H203" i="2"/>
  <c r="I203" i="2"/>
  <c r="M203" i="2" s="1"/>
  <c r="J203" i="2"/>
  <c r="L203" i="2"/>
  <c r="H204" i="2"/>
  <c r="M204" i="2" s="1"/>
  <c r="I204" i="2"/>
  <c r="J204" i="2"/>
  <c r="L204" i="2"/>
  <c r="H205" i="2"/>
  <c r="I205" i="2"/>
  <c r="J205" i="2"/>
  <c r="L205" i="2"/>
  <c r="M205" i="2"/>
  <c r="N205" i="2"/>
  <c r="H206" i="2"/>
  <c r="I206" i="2"/>
  <c r="J206" i="2"/>
  <c r="L206" i="2" s="1"/>
  <c r="M206" i="2"/>
  <c r="O206" i="2" s="1"/>
  <c r="N206" i="2"/>
  <c r="H207" i="2"/>
  <c r="M207" i="2" s="1"/>
  <c r="I207" i="2"/>
  <c r="J207" i="2"/>
  <c r="L207" i="2" s="1"/>
  <c r="N207" i="2" s="1"/>
  <c r="O207" i="2"/>
  <c r="H208" i="2"/>
  <c r="I208" i="2"/>
  <c r="H209" i="2"/>
  <c r="I209" i="2"/>
  <c r="M209" i="2"/>
  <c r="H210" i="2"/>
  <c r="M210" i="2" s="1"/>
  <c r="I210" i="2"/>
  <c r="J210" i="2"/>
  <c r="L210" i="2" s="1"/>
  <c r="N210" i="2" s="1"/>
  <c r="H211" i="2"/>
  <c r="I211" i="2"/>
  <c r="M211" i="2" s="1"/>
  <c r="J211" i="2"/>
  <c r="L211" i="2" s="1"/>
  <c r="H212" i="2"/>
  <c r="I212" i="2"/>
  <c r="J212" i="2"/>
  <c r="L212" i="2"/>
  <c r="M212" i="2"/>
  <c r="H213" i="2"/>
  <c r="I213" i="2"/>
  <c r="M213" i="2"/>
  <c r="H214" i="2"/>
  <c r="I214" i="2"/>
  <c r="M214" i="2"/>
  <c r="H215" i="2"/>
  <c r="M215" i="2" s="1"/>
  <c r="I215" i="2"/>
  <c r="H216" i="2"/>
  <c r="I216" i="2"/>
  <c r="M216" i="2" s="1"/>
  <c r="H217" i="2"/>
  <c r="I217" i="2"/>
  <c r="M217" i="2" s="1"/>
  <c r="H218" i="2"/>
  <c r="I218" i="2"/>
  <c r="H219" i="2"/>
  <c r="I219" i="2"/>
  <c r="M219" i="2"/>
  <c r="H220" i="2"/>
  <c r="I220" i="2"/>
  <c r="M220" i="2"/>
  <c r="H221" i="2"/>
  <c r="M221" i="2" s="1"/>
  <c r="I221" i="2"/>
  <c r="H222" i="2"/>
  <c r="I222" i="2"/>
  <c r="M222" i="2" s="1"/>
  <c r="H223" i="2"/>
  <c r="M223" i="2" s="1"/>
  <c r="I223" i="2"/>
  <c r="H224" i="2"/>
  <c r="I224" i="2"/>
  <c r="M224" i="2"/>
  <c r="H225" i="2"/>
  <c r="I225" i="2"/>
  <c r="H226" i="2"/>
  <c r="I226" i="2"/>
  <c r="H227" i="2"/>
  <c r="I227" i="2"/>
  <c r="M227" i="2"/>
  <c r="H228" i="2"/>
  <c r="M228" i="2" s="1"/>
  <c r="I228" i="2"/>
  <c r="H229" i="2"/>
  <c r="I229" i="2"/>
  <c r="H230" i="2"/>
  <c r="I230" i="2"/>
  <c r="M230" i="2" s="1"/>
  <c r="H231" i="2"/>
  <c r="M231" i="2" s="1"/>
  <c r="I231" i="2"/>
  <c r="H232" i="2"/>
  <c r="M232" i="2" s="1"/>
  <c r="I232" i="2"/>
  <c r="H233" i="2"/>
  <c r="I233" i="2"/>
  <c r="M233" i="2"/>
  <c r="H234" i="2"/>
  <c r="M234" i="2" s="1"/>
  <c r="I234" i="2"/>
  <c r="H235" i="2"/>
  <c r="I235" i="2"/>
  <c r="M235" i="2"/>
  <c r="H236" i="2"/>
  <c r="M236" i="2" s="1"/>
  <c r="I236" i="2"/>
  <c r="H237" i="2"/>
  <c r="I237" i="2"/>
  <c r="M237" i="2"/>
  <c r="H238" i="2"/>
  <c r="I238" i="2"/>
  <c r="M238" i="2"/>
  <c r="H239" i="2"/>
  <c r="M239" i="2" s="1"/>
  <c r="I239" i="2"/>
  <c r="H240" i="2"/>
  <c r="M240" i="2" s="1"/>
  <c r="I240" i="2"/>
  <c r="H241" i="2"/>
  <c r="I241" i="2"/>
  <c r="M241" i="2"/>
  <c r="H242" i="2"/>
  <c r="M242" i="2" s="1"/>
  <c r="I242" i="2"/>
  <c r="H243" i="2"/>
  <c r="I243" i="2"/>
  <c r="M243" i="2" s="1"/>
  <c r="H244" i="2"/>
  <c r="I244" i="2"/>
  <c r="M244" i="2"/>
  <c r="H245" i="2"/>
  <c r="I245" i="2"/>
  <c r="M245" i="2"/>
  <c r="H246" i="2"/>
  <c r="I246" i="2"/>
  <c r="M246" i="2"/>
  <c r="H247" i="2"/>
  <c r="M247" i="2" s="1"/>
  <c r="I247" i="2"/>
  <c r="H248" i="2"/>
  <c r="I248" i="2"/>
  <c r="M248" i="2" s="1"/>
  <c r="H249" i="2"/>
  <c r="I249" i="2"/>
  <c r="M249" i="2" s="1"/>
  <c r="H250" i="2"/>
  <c r="I250" i="2"/>
  <c r="H251" i="2"/>
  <c r="I251" i="2"/>
  <c r="M251" i="2"/>
  <c r="H252" i="2"/>
  <c r="I252" i="2"/>
  <c r="M252" i="2"/>
  <c r="H253" i="2"/>
  <c r="M253" i="2" s="1"/>
  <c r="I253" i="2"/>
  <c r="H254" i="2"/>
  <c r="I254" i="2"/>
  <c r="M254" i="2" s="1"/>
  <c r="H255" i="2"/>
  <c r="M255" i="2" s="1"/>
  <c r="I255" i="2"/>
  <c r="H256" i="2"/>
  <c r="I256" i="2"/>
  <c r="M256" i="2"/>
  <c r="H257" i="2"/>
  <c r="M257" i="2" s="1"/>
  <c r="I257" i="2"/>
  <c r="H258" i="2"/>
  <c r="I258" i="2"/>
  <c r="H259" i="2"/>
  <c r="I259" i="2"/>
  <c r="M259" i="2"/>
  <c r="H260" i="2"/>
  <c r="M260" i="2" s="1"/>
  <c r="I260" i="2"/>
  <c r="H261" i="2"/>
  <c r="I261" i="2"/>
  <c r="H262" i="2"/>
  <c r="I262" i="2"/>
  <c r="M262" i="2"/>
  <c r="H263" i="2"/>
  <c r="M263" i="2" s="1"/>
  <c r="I263" i="2"/>
  <c r="H264" i="2"/>
  <c r="M264" i="2" s="1"/>
  <c r="I264" i="2"/>
  <c r="H265" i="2"/>
  <c r="M265" i="2" s="1"/>
  <c r="I265" i="2"/>
  <c r="H266" i="2"/>
  <c r="M266" i="2" s="1"/>
  <c r="I266" i="2"/>
  <c r="H267" i="2"/>
  <c r="I267" i="2"/>
  <c r="M267" i="2"/>
  <c r="H268" i="2"/>
  <c r="M268" i="2" s="1"/>
  <c r="I268" i="2"/>
  <c r="H269" i="2"/>
  <c r="I269" i="2"/>
  <c r="M269" i="2" s="1"/>
  <c r="H270" i="2"/>
  <c r="I270" i="2"/>
  <c r="M270" i="2"/>
  <c r="H271" i="2"/>
  <c r="M271" i="2" s="1"/>
  <c r="I271" i="2"/>
  <c r="H272" i="2"/>
  <c r="I272" i="2"/>
  <c r="J272" i="2"/>
  <c r="L272" i="2"/>
  <c r="H273" i="2"/>
  <c r="I273" i="2"/>
  <c r="M273" i="2" s="1"/>
  <c r="J273" i="2"/>
  <c r="L273" i="2" s="1"/>
  <c r="N273" i="2"/>
  <c r="H274" i="2"/>
  <c r="I274" i="2"/>
  <c r="J274" i="2"/>
  <c r="L274" i="2" s="1"/>
  <c r="N274" i="2"/>
  <c r="H275" i="2"/>
  <c r="I275" i="2"/>
  <c r="M275" i="2" s="1"/>
  <c r="J275" i="2"/>
  <c r="L275" i="2"/>
  <c r="O275" i="2" s="1"/>
  <c r="H276" i="2"/>
  <c r="M276" i="2" s="1"/>
  <c r="I276" i="2"/>
  <c r="H277" i="2"/>
  <c r="I277" i="2"/>
  <c r="M277" i="2"/>
  <c r="H278" i="2"/>
  <c r="I278" i="2"/>
  <c r="H279" i="2"/>
  <c r="M279" i="2" s="1"/>
  <c r="I279" i="2"/>
  <c r="H280" i="2"/>
  <c r="M280" i="2" s="1"/>
  <c r="I280" i="2"/>
  <c r="H281" i="2"/>
  <c r="I281" i="2"/>
  <c r="M281" i="2"/>
  <c r="H282" i="2"/>
  <c r="M282" i="2" s="1"/>
  <c r="I282" i="2"/>
  <c r="H283" i="2"/>
  <c r="I283" i="2"/>
  <c r="M283" i="2" s="1"/>
  <c r="H284" i="2"/>
  <c r="I284" i="2"/>
  <c r="M284" i="2"/>
  <c r="H285" i="2"/>
  <c r="I285" i="2"/>
  <c r="M285" i="2" s="1"/>
  <c r="H286" i="2"/>
  <c r="I286" i="2"/>
  <c r="M286" i="2" s="1"/>
  <c r="H287" i="2"/>
  <c r="M287" i="2" s="1"/>
  <c r="I287" i="2"/>
  <c r="H288" i="2"/>
  <c r="I288" i="2"/>
  <c r="M288" i="2"/>
  <c r="H289" i="2"/>
  <c r="M289" i="2" s="1"/>
  <c r="I289" i="2"/>
  <c r="H290" i="2"/>
  <c r="I290" i="2"/>
  <c r="H291" i="2"/>
  <c r="I291" i="2"/>
  <c r="M291" i="2"/>
  <c r="H292" i="2"/>
  <c r="I292" i="2"/>
  <c r="M292" i="2"/>
  <c r="H293" i="2"/>
  <c r="M293" i="2" s="1"/>
  <c r="I293" i="2"/>
  <c r="H294" i="2"/>
  <c r="I294" i="2"/>
  <c r="M294" i="2"/>
  <c r="H295" i="2"/>
  <c r="M295" i="2" s="1"/>
  <c r="I295" i="2"/>
  <c r="H296" i="2"/>
  <c r="I296" i="2"/>
  <c r="M296" i="2" s="1"/>
  <c r="H297" i="2"/>
  <c r="I297" i="2"/>
  <c r="H298" i="2"/>
  <c r="M298" i="2" s="1"/>
  <c r="I298" i="2"/>
  <c r="H299" i="2"/>
  <c r="I299" i="2"/>
  <c r="M299" i="2"/>
  <c r="H300" i="2"/>
  <c r="M300" i="2" s="1"/>
  <c r="I300" i="2"/>
  <c r="H301" i="2"/>
  <c r="M301" i="2" s="1"/>
  <c r="I301" i="2"/>
  <c r="H302" i="2"/>
  <c r="I302" i="2"/>
  <c r="M302" i="2"/>
  <c r="H303" i="2"/>
  <c r="M303" i="2" s="1"/>
  <c r="I303" i="2"/>
  <c r="H304" i="2"/>
  <c r="I304" i="2"/>
  <c r="H305" i="2"/>
  <c r="I305" i="2"/>
  <c r="M305" i="2" s="1"/>
  <c r="H306" i="2"/>
  <c r="I306" i="2"/>
  <c r="J306" i="2"/>
  <c r="L306" i="2" s="1"/>
  <c r="N306" i="2" s="1"/>
  <c r="H307" i="2"/>
  <c r="I307" i="2"/>
  <c r="H308" i="2"/>
  <c r="M308" i="2" s="1"/>
  <c r="I308" i="2"/>
  <c r="H309" i="2"/>
  <c r="I309" i="2"/>
  <c r="M309" i="2"/>
  <c r="H310" i="2"/>
  <c r="I310" i="2"/>
  <c r="M310" i="2" s="1"/>
  <c r="H311" i="2"/>
  <c r="M311" i="2" s="1"/>
  <c r="I311" i="2"/>
  <c r="H312" i="2"/>
  <c r="I312" i="2"/>
  <c r="M312" i="2"/>
  <c r="H313" i="2"/>
  <c r="I313" i="2"/>
  <c r="J313" i="2"/>
  <c r="L313" i="2" s="1"/>
  <c r="M313" i="2"/>
  <c r="N313" i="2"/>
  <c r="H314" i="2"/>
  <c r="I314" i="2"/>
  <c r="J314" i="2"/>
  <c r="L314" i="2"/>
  <c r="H315" i="2"/>
  <c r="I315" i="2"/>
  <c r="M315" i="2" s="1"/>
  <c r="H316" i="2"/>
  <c r="I316" i="2"/>
  <c r="M316" i="2"/>
  <c r="H317" i="2"/>
  <c r="I317" i="2"/>
  <c r="M317" i="2" s="1"/>
  <c r="H318" i="2"/>
  <c r="I318" i="2"/>
  <c r="M318" i="2" s="1"/>
  <c r="H319" i="2"/>
  <c r="M319" i="2" s="1"/>
  <c r="I319" i="2"/>
  <c r="H320" i="2"/>
  <c r="I320" i="2"/>
  <c r="M320" i="2"/>
  <c r="H321" i="2"/>
  <c r="M321" i="2" s="1"/>
  <c r="I321" i="2"/>
  <c r="H322" i="2"/>
  <c r="I322" i="2"/>
  <c r="H323" i="2"/>
  <c r="I323" i="2"/>
  <c r="M323" i="2"/>
  <c r="H324" i="2"/>
  <c r="I324" i="2"/>
  <c r="J324" i="2"/>
  <c r="L324" i="2" s="1"/>
  <c r="M324" i="2"/>
  <c r="N324" i="2"/>
  <c r="H325" i="2"/>
  <c r="I325" i="2"/>
  <c r="J325" i="2"/>
  <c r="L325" i="2"/>
  <c r="N325" i="2" s="1"/>
  <c r="H326" i="2"/>
  <c r="I326" i="2"/>
  <c r="M326" i="2" s="1"/>
  <c r="J326" i="2"/>
  <c r="L326" i="2" s="1"/>
  <c r="H327" i="2"/>
  <c r="M327" i="2" s="1"/>
  <c r="I327" i="2"/>
  <c r="J327" i="2"/>
  <c r="L327" i="2"/>
  <c r="O327" i="2" s="1"/>
  <c r="N327" i="2"/>
  <c r="H328" i="2"/>
  <c r="I328" i="2"/>
  <c r="J328" i="2"/>
  <c r="L328" i="2"/>
  <c r="N328" i="2" s="1"/>
  <c r="M328" i="2"/>
  <c r="O328" i="2"/>
  <c r="H329" i="2"/>
  <c r="M329" i="2" s="1"/>
  <c r="I329" i="2"/>
  <c r="J329" i="2"/>
  <c r="L329" i="2" s="1"/>
  <c r="N329" i="2" s="1"/>
  <c r="H330" i="2"/>
  <c r="I330" i="2"/>
  <c r="J330" i="2"/>
  <c r="L330" i="2"/>
  <c r="H331" i="2"/>
  <c r="I331" i="2"/>
  <c r="J331" i="2"/>
  <c r="L331" i="2" s="1"/>
  <c r="M331" i="2"/>
  <c r="H332" i="2"/>
  <c r="I332" i="2"/>
  <c r="J332" i="2"/>
  <c r="L332" i="2" s="1"/>
  <c r="M332" i="2"/>
  <c r="N332" i="2"/>
  <c r="H333" i="2"/>
  <c r="I333" i="2"/>
  <c r="J333" i="2"/>
  <c r="L333" i="2"/>
  <c r="H334" i="2"/>
  <c r="I334" i="2"/>
  <c r="M334" i="2" s="1"/>
  <c r="J334" i="2"/>
  <c r="L334" i="2" s="1"/>
  <c r="H335" i="2"/>
  <c r="M335" i="2" s="1"/>
  <c r="I335" i="2"/>
  <c r="J335" i="2"/>
  <c r="L335" i="2" s="1"/>
  <c r="H336" i="2"/>
  <c r="I336" i="2"/>
  <c r="J336" i="2"/>
  <c r="L336" i="2"/>
  <c r="N336" i="2" s="1"/>
  <c r="M336" i="2"/>
  <c r="O336" i="2"/>
  <c r="H337" i="2"/>
  <c r="M337" i="2" s="1"/>
  <c r="I337" i="2"/>
  <c r="J337" i="2"/>
  <c r="L337" i="2" s="1"/>
  <c r="N337" i="2" s="1"/>
  <c r="H338" i="2"/>
  <c r="I338" i="2"/>
  <c r="J338" i="2"/>
  <c r="L338" i="2"/>
  <c r="H339" i="2"/>
  <c r="I339" i="2"/>
  <c r="J339" i="2"/>
  <c r="L339" i="2"/>
  <c r="N339" i="2" s="1"/>
  <c r="M339" i="2"/>
  <c r="O339" i="2"/>
  <c r="H340" i="2"/>
  <c r="I340" i="2"/>
  <c r="J340" i="2"/>
  <c r="L340" i="2" s="1"/>
  <c r="O340" i="2" s="1"/>
  <c r="M340" i="2"/>
  <c r="H341" i="2"/>
  <c r="I341" i="2"/>
  <c r="R8" i="15" s="1"/>
  <c r="T8" i="15" s="1"/>
  <c r="J341" i="2"/>
  <c r="L341" i="2"/>
  <c r="H342" i="2"/>
  <c r="I342" i="2"/>
  <c r="M342" i="2" s="1"/>
  <c r="J342" i="2"/>
  <c r="L342" i="2" s="1"/>
  <c r="H343" i="2"/>
  <c r="M343" i="2" s="1"/>
  <c r="I343" i="2"/>
  <c r="J343" i="2"/>
  <c r="L343" i="2" s="1"/>
  <c r="H344" i="2"/>
  <c r="I344" i="2"/>
  <c r="J344" i="2"/>
  <c r="L344" i="2"/>
  <c r="N344" i="2" s="1"/>
  <c r="M344" i="2"/>
  <c r="O344" i="2"/>
  <c r="H345" i="2"/>
  <c r="M345" i="2" s="1"/>
  <c r="I345" i="2"/>
  <c r="J345" i="2"/>
  <c r="L345" i="2" s="1"/>
  <c r="N345" i="2" s="1"/>
  <c r="H346" i="2"/>
  <c r="I346" i="2"/>
  <c r="J346" i="2"/>
  <c r="L346" i="2"/>
  <c r="H347" i="2"/>
  <c r="I347" i="2"/>
  <c r="J347" i="2"/>
  <c r="L347" i="2"/>
  <c r="N347" i="2" s="1"/>
  <c r="M347" i="2"/>
  <c r="H348" i="2"/>
  <c r="I348" i="2"/>
  <c r="J348" i="2"/>
  <c r="L348" i="2" s="1"/>
  <c r="O348" i="2" s="1"/>
  <c r="M348" i="2"/>
  <c r="H349" i="2"/>
  <c r="M349" i="2" s="1"/>
  <c r="I349" i="2"/>
  <c r="J349" i="2"/>
  <c r="L349" i="2"/>
  <c r="N349" i="2" s="1"/>
  <c r="O349" i="2"/>
  <c r="H350" i="2"/>
  <c r="I350" i="2"/>
  <c r="M350" i="2" s="1"/>
  <c r="J350" i="2"/>
  <c r="L350" i="2" s="1"/>
  <c r="O350" i="2" s="1"/>
  <c r="N350" i="2"/>
  <c r="H351" i="2"/>
  <c r="M351" i="2" s="1"/>
  <c r="I351" i="2"/>
  <c r="J351" i="2"/>
  <c r="L351" i="2"/>
  <c r="O351" i="2" s="1"/>
  <c r="N351" i="2"/>
  <c r="H352" i="2"/>
  <c r="M352" i="2" s="1"/>
  <c r="O352" i="2" s="1"/>
  <c r="I352" i="2"/>
  <c r="J352" i="2"/>
  <c r="L352" i="2"/>
  <c r="N352" i="2" s="1"/>
  <c r="H353" i="2"/>
  <c r="M353" i="2" s="1"/>
  <c r="I353" i="2"/>
  <c r="J353" i="2"/>
  <c r="L353" i="2" s="1"/>
  <c r="H354" i="2"/>
  <c r="I354" i="2"/>
  <c r="J354" i="2"/>
  <c r="L354" i="2"/>
  <c r="H355" i="2"/>
  <c r="I355" i="2"/>
  <c r="J355" i="2"/>
  <c r="L355" i="2"/>
  <c r="N355" i="2" s="1"/>
  <c r="M355" i="2"/>
  <c r="H356" i="2"/>
  <c r="I356" i="2"/>
  <c r="J356" i="2"/>
  <c r="L356" i="2" s="1"/>
  <c r="M356" i="2"/>
  <c r="H357" i="2"/>
  <c r="I357" i="2"/>
  <c r="J357" i="2"/>
  <c r="L357" i="2"/>
  <c r="H358" i="2"/>
  <c r="I358" i="2"/>
  <c r="M358" i="2" s="1"/>
  <c r="J358" i="2"/>
  <c r="L358" i="2" s="1"/>
  <c r="H359" i="2"/>
  <c r="M359" i="2" s="1"/>
  <c r="I359" i="2"/>
  <c r="J359" i="2"/>
  <c r="L359" i="2"/>
  <c r="O359" i="2" s="1"/>
  <c r="N359" i="2"/>
  <c r="H360" i="2"/>
  <c r="M360" i="2" s="1"/>
  <c r="I360" i="2"/>
  <c r="J360" i="2"/>
  <c r="L360" i="2"/>
  <c r="N360" i="2" s="1"/>
  <c r="H361" i="2"/>
  <c r="M361" i="2" s="1"/>
  <c r="I361" i="2"/>
  <c r="J361" i="2"/>
  <c r="L361" i="2" s="1"/>
  <c r="H362" i="2"/>
  <c r="I362" i="2"/>
  <c r="J362" i="2"/>
  <c r="L362" i="2" s="1"/>
  <c r="H363" i="2"/>
  <c r="I363" i="2"/>
  <c r="J363" i="2"/>
  <c r="L363" i="2" s="1"/>
  <c r="M363" i="2"/>
  <c r="H364" i="2"/>
  <c r="I364" i="2"/>
  <c r="J364" i="2"/>
  <c r="L364" i="2" s="1"/>
  <c r="M364" i="2"/>
  <c r="N364" i="2"/>
  <c r="H365" i="2"/>
  <c r="I365" i="2"/>
  <c r="J365" i="2"/>
  <c r="L365" i="2"/>
  <c r="H366" i="2"/>
  <c r="I366" i="2"/>
  <c r="M366" i="2" s="1"/>
  <c r="J366" i="2"/>
  <c r="L366" i="2" s="1"/>
  <c r="O366" i="2" s="1"/>
  <c r="H367" i="2"/>
  <c r="M367" i="2" s="1"/>
  <c r="I367" i="2"/>
  <c r="J367" i="2"/>
  <c r="L367" i="2"/>
  <c r="O367" i="2" s="1"/>
  <c r="N367" i="2"/>
  <c r="H368" i="2"/>
  <c r="M368" i="2" s="1"/>
  <c r="I368" i="2"/>
  <c r="J368" i="2"/>
  <c r="L368" i="2"/>
  <c r="N368" i="2" s="1"/>
  <c r="H369" i="2"/>
  <c r="M369" i="2" s="1"/>
  <c r="I369" i="2"/>
  <c r="J369" i="2"/>
  <c r="L369" i="2" s="1"/>
  <c r="H370" i="2"/>
  <c r="M370" i="2" s="1"/>
  <c r="I370" i="2"/>
  <c r="J370" i="2"/>
  <c r="L370" i="2"/>
  <c r="N370" i="2" s="1"/>
  <c r="H371" i="2"/>
  <c r="I371" i="2"/>
  <c r="J371" i="2"/>
  <c r="L371" i="2"/>
  <c r="N371" i="2" s="1"/>
  <c r="M371" i="2"/>
  <c r="H372" i="2"/>
  <c r="I372" i="2"/>
  <c r="J372" i="2"/>
  <c r="L372" i="2" s="1"/>
  <c r="M372" i="2"/>
  <c r="N372" i="2"/>
  <c r="H373" i="2"/>
  <c r="M373" i="2" s="1"/>
  <c r="I373" i="2"/>
  <c r="J373" i="2"/>
  <c r="L373" i="2"/>
  <c r="N373" i="2" s="1"/>
  <c r="H374" i="2"/>
  <c r="I374" i="2"/>
  <c r="M374" i="2" s="1"/>
  <c r="J374" i="2"/>
  <c r="L374" i="2" s="1"/>
  <c r="O374" i="2" s="1"/>
  <c r="N374" i="2"/>
  <c r="H375" i="2"/>
  <c r="M375" i="2" s="1"/>
  <c r="I375" i="2"/>
  <c r="J375" i="2"/>
  <c r="L375" i="2" s="1"/>
  <c r="H376" i="2"/>
  <c r="M376" i="2" s="1"/>
  <c r="O376" i="2" s="1"/>
  <c r="I376" i="2"/>
  <c r="J376" i="2"/>
  <c r="L376" i="2"/>
  <c r="N376" i="2" s="1"/>
  <c r="H377" i="2"/>
  <c r="M377" i="2" s="1"/>
  <c r="I377" i="2"/>
  <c r="J377" i="2"/>
  <c r="L377" i="2" s="1"/>
  <c r="H378" i="2"/>
  <c r="I378" i="2"/>
  <c r="J378" i="2"/>
  <c r="L378" i="2"/>
  <c r="H379" i="2"/>
  <c r="I379" i="2"/>
  <c r="J379" i="2"/>
  <c r="L379" i="2"/>
  <c r="N379" i="2" s="1"/>
  <c r="M379" i="2"/>
  <c r="H380" i="2"/>
  <c r="I380" i="2"/>
  <c r="J380" i="2"/>
  <c r="L380" i="2" s="1"/>
  <c r="M380" i="2"/>
  <c r="N380" i="2"/>
  <c r="H381" i="2"/>
  <c r="I381" i="2"/>
  <c r="J381" i="2"/>
  <c r="L381" i="2"/>
  <c r="H382" i="2"/>
  <c r="I382" i="2"/>
  <c r="M382" i="2" s="1"/>
  <c r="J382" i="2"/>
  <c r="L382" i="2" s="1"/>
  <c r="O382" i="2" s="1"/>
  <c r="N382" i="2"/>
  <c r="H383" i="2"/>
  <c r="M383" i="2" s="1"/>
  <c r="I383" i="2"/>
  <c r="J383" i="2"/>
  <c r="L383" i="2"/>
  <c r="O383" i="2" s="1"/>
  <c r="H384" i="2"/>
  <c r="I384" i="2"/>
  <c r="J384" i="2"/>
  <c r="L384" i="2"/>
  <c r="N384" i="2" s="1"/>
  <c r="M384" i="2"/>
  <c r="H385" i="2"/>
  <c r="M385" i="2" s="1"/>
  <c r="I385" i="2"/>
  <c r="J385" i="2"/>
  <c r="L385" i="2" s="1"/>
  <c r="N385" i="2"/>
  <c r="H386" i="2"/>
  <c r="M386" i="2" s="1"/>
  <c r="I386" i="2"/>
  <c r="J386" i="2"/>
  <c r="L386" i="2" s="1"/>
  <c r="H387" i="2"/>
  <c r="I387" i="2"/>
  <c r="M387" i="2" s="1"/>
  <c r="J387" i="2"/>
  <c r="L387" i="2"/>
  <c r="O387" i="2" s="1"/>
  <c r="N387" i="2"/>
  <c r="H388" i="2"/>
  <c r="I388" i="2"/>
  <c r="J388" i="2"/>
  <c r="L388" i="2"/>
  <c r="N388" i="2" s="1"/>
  <c r="M388" i="2"/>
  <c r="H389" i="2"/>
  <c r="I389" i="2"/>
  <c r="J389" i="2"/>
  <c r="L389" i="2"/>
  <c r="M389" i="2"/>
  <c r="N389" i="2"/>
  <c r="H390" i="2"/>
  <c r="I390" i="2"/>
  <c r="J390" i="2"/>
  <c r="L390" i="2" s="1"/>
  <c r="M390" i="2"/>
  <c r="O390" i="2" s="1"/>
  <c r="N390" i="2"/>
  <c r="H391" i="2"/>
  <c r="M391" i="2" s="1"/>
  <c r="O391" i="2" s="1"/>
  <c r="I391" i="2"/>
  <c r="J391" i="2"/>
  <c r="L391" i="2" s="1"/>
  <c r="N391" i="2" s="1"/>
  <c r="H392" i="2"/>
  <c r="M392" i="2" s="1"/>
  <c r="I392" i="2"/>
  <c r="J392" i="2"/>
  <c r="L392" i="2" s="1"/>
  <c r="H393" i="2"/>
  <c r="I393" i="2"/>
  <c r="J393" i="2"/>
  <c r="L393" i="2"/>
  <c r="M393" i="2"/>
  <c r="H394" i="2"/>
  <c r="M394" i="2" s="1"/>
  <c r="I394" i="2"/>
  <c r="J394" i="2"/>
  <c r="L394" i="2"/>
  <c r="N394" i="2" s="1"/>
  <c r="H395" i="2"/>
  <c r="I395" i="2"/>
  <c r="M395" i="2" s="1"/>
  <c r="J395" i="2"/>
  <c r="L395" i="2" s="1"/>
  <c r="N395" i="2" s="1"/>
  <c r="H396" i="2"/>
  <c r="M396" i="2" s="1"/>
  <c r="I396" i="2"/>
  <c r="J396" i="2"/>
  <c r="L396" i="2" s="1"/>
  <c r="N396" i="2"/>
  <c r="O396" i="2"/>
  <c r="H397" i="2"/>
  <c r="I397" i="2"/>
  <c r="J397" i="2"/>
  <c r="L397" i="2"/>
  <c r="H398" i="2"/>
  <c r="I398" i="2"/>
  <c r="R16" i="15" s="1"/>
  <c r="T16" i="15" s="1"/>
  <c r="J398" i="2"/>
  <c r="L398" i="2" s="1"/>
  <c r="H399" i="2"/>
  <c r="I399" i="2"/>
  <c r="J399" i="2"/>
  <c r="L399" i="2"/>
  <c r="N399" i="2"/>
  <c r="H400" i="2"/>
  <c r="M400" i="2" s="1"/>
  <c r="I400" i="2"/>
  <c r="J400" i="2"/>
  <c r="L400" i="2"/>
  <c r="N400" i="2" s="1"/>
  <c r="H401" i="2"/>
  <c r="M401" i="2" s="1"/>
  <c r="I401" i="2"/>
  <c r="J401" i="2"/>
  <c r="L401" i="2" s="1"/>
  <c r="O401" i="2" s="1"/>
  <c r="N401" i="2"/>
  <c r="H402" i="2"/>
  <c r="M402" i="2" s="1"/>
  <c r="I402" i="2"/>
  <c r="H403" i="2"/>
  <c r="I403" i="2"/>
  <c r="M403" i="2" s="1"/>
  <c r="H404" i="2"/>
  <c r="I404" i="2"/>
  <c r="M404" i="2"/>
  <c r="H405" i="2"/>
  <c r="M405" i="2" s="1"/>
  <c r="I405" i="2"/>
  <c r="H406" i="2"/>
  <c r="I406" i="2"/>
  <c r="M406" i="2" s="1"/>
  <c r="H407" i="2"/>
  <c r="I407" i="2"/>
  <c r="H408" i="2"/>
  <c r="I408" i="2"/>
  <c r="H409" i="2"/>
  <c r="M409" i="2" s="1"/>
  <c r="I409" i="2"/>
  <c r="J409" i="2"/>
  <c r="L409" i="2" s="1"/>
  <c r="H410" i="2"/>
  <c r="I410" i="2"/>
  <c r="J410" i="2"/>
  <c r="L410" i="2" s="1"/>
  <c r="O410" i="2" s="1"/>
  <c r="M410" i="2"/>
  <c r="N410" i="2"/>
  <c r="H411" i="2"/>
  <c r="I411" i="2"/>
  <c r="J411" i="2"/>
  <c r="L411" i="2"/>
  <c r="M411" i="2"/>
  <c r="N411" i="2"/>
  <c r="O411" i="2"/>
  <c r="H412" i="2"/>
  <c r="M412" i="2" s="1"/>
  <c r="O412" i="2" s="1"/>
  <c r="I412" i="2"/>
  <c r="J412" i="2"/>
  <c r="L412" i="2"/>
  <c r="N412" i="2" s="1"/>
  <c r="H413" i="2"/>
  <c r="M413" i="2" s="1"/>
  <c r="I413" i="2"/>
  <c r="N413" i="2" s="1"/>
  <c r="J413" i="2"/>
  <c r="L413" i="2"/>
  <c r="H414" i="2"/>
  <c r="I414" i="2"/>
  <c r="J414" i="2"/>
  <c r="L414" i="2" s="1"/>
  <c r="N414" i="2" s="1"/>
  <c r="M414" i="2"/>
  <c r="H415" i="2"/>
  <c r="M415" i="2" s="1"/>
  <c r="I415" i="2"/>
  <c r="J415" i="2"/>
  <c r="L415" i="2"/>
  <c r="N415" i="2"/>
  <c r="O415" i="2"/>
  <c r="H416" i="2"/>
  <c r="I416" i="2"/>
  <c r="J416" i="2"/>
  <c r="L416" i="2" s="1"/>
  <c r="N416" i="2" s="1"/>
  <c r="M416" i="2"/>
  <c r="H417" i="2"/>
  <c r="I417" i="2"/>
  <c r="M417" i="2"/>
  <c r="H418" i="2"/>
  <c r="I418" i="2"/>
  <c r="H419" i="2"/>
  <c r="I419" i="2"/>
  <c r="M419" i="2" s="1"/>
  <c r="H420" i="2"/>
  <c r="I420" i="2"/>
  <c r="M420" i="2"/>
  <c r="H421" i="2"/>
  <c r="M421" i="2" s="1"/>
  <c r="I421" i="2"/>
  <c r="H422" i="2"/>
  <c r="M422" i="2" s="1"/>
  <c r="I422" i="2"/>
  <c r="H423" i="2"/>
  <c r="I423" i="2"/>
  <c r="H424" i="2"/>
  <c r="I424" i="2"/>
  <c r="M424" i="2"/>
  <c r="H425" i="2"/>
  <c r="M425" i="2" s="1"/>
  <c r="I425" i="2"/>
  <c r="J425" i="2"/>
  <c r="L425" i="2"/>
  <c r="N425" i="2" s="1"/>
  <c r="H426" i="2"/>
  <c r="M426" i="2" s="1"/>
  <c r="I426" i="2"/>
  <c r="J426" i="2"/>
  <c r="L426" i="2"/>
  <c r="N426" i="2" s="1"/>
  <c r="H427" i="2"/>
  <c r="I427" i="2"/>
  <c r="J427" i="2"/>
  <c r="L427" i="2"/>
  <c r="N427" i="2" s="1"/>
  <c r="M427" i="2"/>
  <c r="O427" i="2"/>
  <c r="H428" i="2"/>
  <c r="M428" i="2" s="1"/>
  <c r="I428" i="2"/>
  <c r="J428" i="2"/>
  <c r="L428" i="2" s="1"/>
  <c r="N428" i="2" s="1"/>
  <c r="H429" i="2"/>
  <c r="I429" i="2"/>
  <c r="N429" i="2" s="1"/>
  <c r="J429" i="2"/>
  <c r="L429" i="2"/>
  <c r="H430" i="2"/>
  <c r="I430" i="2"/>
  <c r="J430" i="2"/>
  <c r="L430" i="2" s="1"/>
  <c r="M430" i="2"/>
  <c r="N430" i="2"/>
  <c r="H431" i="2"/>
  <c r="I431" i="2"/>
  <c r="N431" i="2" s="1"/>
  <c r="J431" i="2"/>
  <c r="L431" i="2"/>
  <c r="H432" i="2"/>
  <c r="M432" i="2" s="1"/>
  <c r="O432" i="2" s="1"/>
  <c r="I432" i="2"/>
  <c r="J432" i="2"/>
  <c r="L432" i="2"/>
  <c r="N432" i="2" s="1"/>
  <c r="H433" i="2"/>
  <c r="I433" i="2"/>
  <c r="J433" i="2"/>
  <c r="L433" i="2" s="1"/>
  <c r="M433" i="2"/>
  <c r="N433" i="2"/>
  <c r="H434" i="2"/>
  <c r="I434" i="2"/>
  <c r="M434" i="2" s="1"/>
  <c r="J434" i="2"/>
  <c r="L434" i="2" s="1"/>
  <c r="H435" i="2"/>
  <c r="I435" i="2"/>
  <c r="J435" i="2"/>
  <c r="L435" i="2"/>
  <c r="N435" i="2" s="1"/>
  <c r="M435" i="2"/>
  <c r="H436" i="2"/>
  <c r="I436" i="2"/>
  <c r="J436" i="2"/>
  <c r="L436" i="2"/>
  <c r="N436" i="2" s="1"/>
  <c r="M436" i="2"/>
  <c r="H437" i="2"/>
  <c r="I437" i="2"/>
  <c r="J437" i="2"/>
  <c r="L437" i="2"/>
  <c r="M437" i="2"/>
  <c r="O437" i="2" s="1"/>
  <c r="N437" i="2"/>
  <c r="H438" i="2"/>
  <c r="I438" i="2"/>
  <c r="J438" i="2"/>
  <c r="L438" i="2" s="1"/>
  <c r="N438" i="2" s="1"/>
  <c r="M438" i="2"/>
  <c r="O438" i="2"/>
  <c r="H439" i="2"/>
  <c r="M439" i="2" s="1"/>
  <c r="I439" i="2"/>
  <c r="J439" i="2"/>
  <c r="L439" i="2" s="1"/>
  <c r="O439" i="2" s="1"/>
  <c r="N439" i="2"/>
  <c r="H440" i="2"/>
  <c r="I440" i="2"/>
  <c r="M440" i="2" s="1"/>
  <c r="J440" i="2"/>
  <c r="L440" i="2"/>
  <c r="H441" i="2"/>
  <c r="I441" i="2"/>
  <c r="J441" i="2"/>
  <c r="L441" i="2"/>
  <c r="M441" i="2"/>
  <c r="N441" i="2"/>
  <c r="H442" i="2"/>
  <c r="M442" i="2" s="1"/>
  <c r="I442" i="2"/>
  <c r="J442" i="2"/>
  <c r="L442" i="2"/>
  <c r="N442" i="2" s="1"/>
  <c r="H443" i="2"/>
  <c r="I443" i="2"/>
  <c r="M443" i="2" s="1"/>
  <c r="J443" i="2"/>
  <c r="L443" i="2"/>
  <c r="H444" i="2"/>
  <c r="I444" i="2"/>
  <c r="J444" i="2"/>
  <c r="L444" i="2" s="1"/>
  <c r="M444" i="2"/>
  <c r="N444" i="2"/>
  <c r="H445" i="2"/>
  <c r="I445" i="2"/>
  <c r="N445" i="2" s="1"/>
  <c r="J445" i="2"/>
  <c r="L445" i="2"/>
  <c r="H446" i="2"/>
  <c r="I446" i="2"/>
  <c r="M446" i="2" s="1"/>
  <c r="J446" i="2"/>
  <c r="L446" i="2" s="1"/>
  <c r="H447" i="2"/>
  <c r="I447" i="2"/>
  <c r="J447" i="2"/>
  <c r="L447" i="2"/>
  <c r="N447" i="2"/>
  <c r="H448" i="2"/>
  <c r="M448" i="2" s="1"/>
  <c r="I448" i="2"/>
  <c r="J448" i="2"/>
  <c r="L448" i="2"/>
  <c r="N448" i="2" s="1"/>
  <c r="O448" i="2"/>
  <c r="H449" i="2"/>
  <c r="M449" i="2" s="1"/>
  <c r="I449" i="2"/>
  <c r="N449" i="2" s="1"/>
  <c r="J449" i="2"/>
  <c r="L449" i="2" s="1"/>
  <c r="H450" i="2"/>
  <c r="I450" i="2"/>
  <c r="J450" i="2"/>
  <c r="L450" i="2"/>
  <c r="N450" i="2" s="1"/>
  <c r="M450" i="2"/>
  <c r="H451" i="2"/>
  <c r="I451" i="2"/>
  <c r="J451" i="2"/>
  <c r="L451" i="2"/>
  <c r="M451" i="2"/>
  <c r="N451" i="2"/>
  <c r="H452" i="2"/>
  <c r="M452" i="2" s="1"/>
  <c r="O452" i="2" s="1"/>
  <c r="I452" i="2"/>
  <c r="J452" i="2"/>
  <c r="L452" i="2"/>
  <c r="N452" i="2" s="1"/>
  <c r="H453" i="2"/>
  <c r="I453" i="2"/>
  <c r="M453" i="2" s="1"/>
  <c r="J453" i="2"/>
  <c r="L453" i="2"/>
  <c r="H454" i="2"/>
  <c r="M454" i="2" s="1"/>
  <c r="I454" i="2"/>
  <c r="J454" i="2"/>
  <c r="L454" i="2" s="1"/>
  <c r="N454" i="2" s="1"/>
  <c r="H455" i="2"/>
  <c r="M455" i="2" s="1"/>
  <c r="I455" i="2"/>
  <c r="J455" i="2"/>
  <c r="L455" i="2" s="1"/>
  <c r="N455" i="2"/>
  <c r="O455" i="2"/>
  <c r="H456" i="2"/>
  <c r="I456" i="2"/>
  <c r="M456" i="2" s="1"/>
  <c r="J456" i="2"/>
  <c r="L456" i="2"/>
  <c r="H457" i="2"/>
  <c r="I457" i="2"/>
  <c r="M457" i="2" s="1"/>
  <c r="J457" i="2"/>
  <c r="L457" i="2"/>
  <c r="H458" i="2"/>
  <c r="M458" i="2" s="1"/>
  <c r="I458" i="2"/>
  <c r="J458" i="2"/>
  <c r="L458" i="2"/>
  <c r="N458" i="2"/>
  <c r="O458" i="2"/>
  <c r="H459" i="2"/>
  <c r="I459" i="2"/>
  <c r="M459" i="2" s="1"/>
  <c r="O459" i="2" s="1"/>
  <c r="J459" i="2"/>
  <c r="L459" i="2"/>
  <c r="H460" i="2"/>
  <c r="M460" i="2" s="1"/>
  <c r="I460" i="2"/>
  <c r="J460" i="2"/>
  <c r="L460" i="2" s="1"/>
  <c r="N460" i="2"/>
  <c r="H461" i="2"/>
  <c r="I461" i="2"/>
  <c r="J461" i="2"/>
  <c r="L461" i="2"/>
  <c r="N461" i="2"/>
  <c r="H462" i="2"/>
  <c r="I462" i="2"/>
  <c r="M462" i="2" s="1"/>
  <c r="J462" i="2"/>
  <c r="L462" i="2" s="1"/>
  <c r="N462" i="2"/>
  <c r="H463" i="2"/>
  <c r="I463" i="2"/>
  <c r="N463" i="2" s="1"/>
  <c r="J463" i="2"/>
  <c r="L463" i="2"/>
  <c r="H464" i="2"/>
  <c r="M464" i="2" s="1"/>
  <c r="I464" i="2"/>
  <c r="J464" i="2"/>
  <c r="L464" i="2"/>
  <c r="N464" i="2" s="1"/>
  <c r="H465" i="2"/>
  <c r="M465" i="2" s="1"/>
  <c r="I465" i="2"/>
  <c r="J465" i="2"/>
  <c r="L465" i="2" s="1"/>
  <c r="N465" i="2"/>
  <c r="H466" i="2"/>
  <c r="I466" i="2"/>
  <c r="M466" i="2" s="1"/>
  <c r="J466" i="2"/>
  <c r="L466" i="2"/>
  <c r="H467" i="2"/>
  <c r="I467" i="2"/>
  <c r="J467" i="2"/>
  <c r="L467" i="2"/>
  <c r="O467" i="2" s="1"/>
  <c r="M467" i="2"/>
  <c r="H468" i="2"/>
  <c r="I468" i="2"/>
  <c r="J468" i="2"/>
  <c r="L468" i="2"/>
  <c r="O468" i="2" s="1"/>
  <c r="M468" i="2"/>
  <c r="N468" i="2"/>
  <c r="H469" i="2"/>
  <c r="I469" i="2"/>
  <c r="M469" i="2" s="1"/>
  <c r="H470" i="2"/>
  <c r="M470" i="2" s="1"/>
  <c r="I470" i="2"/>
  <c r="H471" i="2"/>
  <c r="M471" i="2" s="1"/>
  <c r="I471" i="2"/>
  <c r="H472" i="2"/>
  <c r="M472" i="2" s="1"/>
  <c r="I472" i="2"/>
  <c r="H473" i="2"/>
  <c r="I473" i="2"/>
  <c r="M473" i="2" s="1"/>
  <c r="H474" i="2"/>
  <c r="I474" i="2"/>
  <c r="M474" i="2"/>
  <c r="H475" i="2"/>
  <c r="I475" i="2"/>
  <c r="M475" i="2"/>
  <c r="H476" i="2"/>
  <c r="M476" i="2" s="1"/>
  <c r="I476" i="2"/>
  <c r="H477" i="2"/>
  <c r="I477" i="2"/>
  <c r="M477" i="2"/>
  <c r="H478" i="2"/>
  <c r="M478" i="2" s="1"/>
  <c r="I478" i="2"/>
  <c r="H479" i="2"/>
  <c r="M479" i="2" s="1"/>
  <c r="I479" i="2"/>
  <c r="J479" i="2"/>
  <c r="L479" i="2"/>
  <c r="N479" i="2" s="1"/>
  <c r="H480" i="2"/>
  <c r="M480" i="2" s="1"/>
  <c r="O480" i="2" s="1"/>
  <c r="I480" i="2"/>
  <c r="J480" i="2"/>
  <c r="L480" i="2" s="1"/>
  <c r="H481" i="2"/>
  <c r="I481" i="2"/>
  <c r="M481" i="2" s="1"/>
  <c r="J481" i="2"/>
  <c r="L481" i="2"/>
  <c r="H482" i="2"/>
  <c r="I482" i="2"/>
  <c r="J482" i="2"/>
  <c r="L482" i="2"/>
  <c r="N482" i="2" s="1"/>
  <c r="M482" i="2"/>
  <c r="H483" i="2"/>
  <c r="I483" i="2"/>
  <c r="J483" i="2"/>
  <c r="L483" i="2" s="1"/>
  <c r="M483" i="2"/>
  <c r="N483" i="2"/>
  <c r="O483" i="2"/>
  <c r="H484" i="2"/>
  <c r="M484" i="2" s="1"/>
  <c r="I484" i="2"/>
  <c r="J484" i="2"/>
  <c r="L484" i="2" s="1"/>
  <c r="H485" i="2"/>
  <c r="M485" i="2" s="1"/>
  <c r="I485" i="2"/>
  <c r="J485" i="2"/>
  <c r="L485" i="2"/>
  <c r="O485" i="2" s="1"/>
  <c r="H486" i="2"/>
  <c r="I486" i="2"/>
  <c r="J486" i="2"/>
  <c r="L486" i="2" s="1"/>
  <c r="N486" i="2"/>
  <c r="H487" i="2"/>
  <c r="I487" i="2"/>
  <c r="J487" i="2"/>
  <c r="L487" i="2"/>
  <c r="N487" i="2"/>
  <c r="H488" i="2"/>
  <c r="M488" i="2" s="1"/>
  <c r="I488" i="2"/>
  <c r="J488" i="2"/>
  <c r="L488" i="2"/>
  <c r="H489" i="2"/>
  <c r="M489" i="2" s="1"/>
  <c r="I489" i="2"/>
  <c r="J489" i="2"/>
  <c r="L489" i="2"/>
  <c r="O489" i="2" s="1"/>
  <c r="H490" i="2"/>
  <c r="M490" i="2" s="1"/>
  <c r="I490" i="2"/>
  <c r="J490" i="2"/>
  <c r="L490" i="2" s="1"/>
  <c r="N490" i="2"/>
  <c r="H491" i="2"/>
  <c r="I491" i="2"/>
  <c r="M491" i="2" s="1"/>
  <c r="J491" i="2"/>
  <c r="L491" i="2"/>
  <c r="O491" i="2" s="1"/>
  <c r="H492" i="2"/>
  <c r="I492" i="2"/>
  <c r="J492" i="2"/>
  <c r="L492" i="2"/>
  <c r="N492" i="2" s="1"/>
  <c r="M492" i="2"/>
  <c r="H493" i="2"/>
  <c r="I493" i="2"/>
  <c r="J493" i="2"/>
  <c r="L493" i="2"/>
  <c r="M493" i="2"/>
  <c r="N493" i="2"/>
  <c r="H494" i="2"/>
  <c r="M494" i="2" s="1"/>
  <c r="O494" i="2" s="1"/>
  <c r="I494" i="2"/>
  <c r="R15" i="15" s="1"/>
  <c r="J494" i="2"/>
  <c r="L494" i="2" s="1"/>
  <c r="H495" i="2"/>
  <c r="M495" i="2" s="1"/>
  <c r="O495" i="2" s="1"/>
  <c r="I495" i="2"/>
  <c r="J495" i="2"/>
  <c r="L495" i="2"/>
  <c r="N495" i="2" s="1"/>
  <c r="H496" i="2"/>
  <c r="I496" i="2"/>
  <c r="J496" i="2"/>
  <c r="L496" i="2" s="1"/>
  <c r="N496" i="2" s="1"/>
  <c r="M496" i="2"/>
  <c r="O496" i="2"/>
  <c r="H497" i="2"/>
  <c r="I497" i="2"/>
  <c r="M497" i="2" s="1"/>
  <c r="J497" i="2"/>
  <c r="L497" i="2" s="1"/>
  <c r="H498" i="2"/>
  <c r="M498" i="2" s="1"/>
  <c r="I498" i="2"/>
  <c r="N498" i="2" s="1"/>
  <c r="J498" i="2"/>
  <c r="L498" i="2"/>
  <c r="H499" i="2"/>
  <c r="I499" i="2"/>
  <c r="J499" i="2"/>
  <c r="L499" i="2" s="1"/>
  <c r="N499" i="2" s="1"/>
  <c r="M499" i="2"/>
  <c r="H500" i="2"/>
  <c r="M500" i="2" s="1"/>
  <c r="I500" i="2"/>
  <c r="J500" i="2"/>
  <c r="L500" i="2"/>
  <c r="N500" i="2"/>
  <c r="O500" i="2"/>
  <c r="Q2" i="15"/>
  <c r="R2" i="15"/>
  <c r="S2" i="15"/>
  <c r="Q3" i="15"/>
  <c r="R3" i="15"/>
  <c r="T3" i="15" s="1"/>
  <c r="S3" i="15"/>
  <c r="Q4" i="15"/>
  <c r="R4" i="15"/>
  <c r="T4" i="15" s="1"/>
  <c r="S4" i="15"/>
  <c r="Q5" i="15"/>
  <c r="R5" i="15"/>
  <c r="S5" i="15"/>
  <c r="T5" i="15"/>
  <c r="Q6" i="15"/>
  <c r="R6" i="15"/>
  <c r="S6" i="15"/>
  <c r="Q7" i="15"/>
  <c r="R7" i="15"/>
  <c r="S7" i="15"/>
  <c r="T7" i="15"/>
  <c r="Q8" i="15"/>
  <c r="S8" i="15"/>
  <c r="Q9" i="15"/>
  <c r="S9" i="15" s="1"/>
  <c r="R9" i="15"/>
  <c r="Q10" i="15"/>
  <c r="R10" i="15"/>
  <c r="T10" i="15" s="1"/>
  <c r="S10" i="15"/>
  <c r="Q11" i="15"/>
  <c r="S11" i="15" s="1"/>
  <c r="R11" i="15"/>
  <c r="Q12" i="15"/>
  <c r="R12" i="15"/>
  <c r="S12" i="15"/>
  <c r="Q13" i="15"/>
  <c r="R13" i="15"/>
  <c r="T13" i="15" s="1"/>
  <c r="S13" i="15"/>
  <c r="Q14" i="15"/>
  <c r="R14" i="15"/>
  <c r="S14" i="15"/>
  <c r="Q15" i="15"/>
  <c r="S15" i="15" s="1"/>
  <c r="Q16" i="15"/>
  <c r="S16" i="15"/>
  <c r="Q17" i="15"/>
  <c r="S17" i="15" s="1"/>
  <c r="R17" i="15"/>
  <c r="T17" i="15" s="1"/>
  <c r="Q18" i="15"/>
  <c r="R18" i="15"/>
  <c r="S18" i="15"/>
  <c r="Q19" i="15"/>
  <c r="R19" i="15"/>
  <c r="T19" i="15" s="1"/>
  <c r="S19" i="15"/>
  <c r="Q20" i="15"/>
  <c r="R20" i="15"/>
  <c r="T20" i="15" s="1"/>
  <c r="S20" i="15"/>
  <c r="J21" i="15"/>
  <c r="L21" i="15"/>
  <c r="J27" i="15"/>
  <c r="L27" i="15"/>
  <c r="D113" i="27"/>
  <c r="G6" i="5"/>
  <c r="A9" i="5"/>
  <c r="C10" i="5" s="1"/>
  <c r="D9" i="5"/>
  <c r="E9" i="5"/>
  <c r="D10" i="5"/>
  <c r="C11" i="5"/>
  <c r="G19" i="5"/>
  <c r="D25" i="5" s="1"/>
  <c r="C22" i="5"/>
  <c r="D22" i="5"/>
  <c r="E22" i="5" s="1"/>
  <c r="C23" i="5"/>
  <c r="D23" i="5"/>
  <c r="C24" i="5"/>
  <c r="D24" i="5"/>
  <c r="G33" i="5"/>
  <c r="D37" i="5" s="1"/>
  <c r="A36" i="5"/>
  <c r="C36" i="5"/>
  <c r="C38" i="5" s="1"/>
  <c r="D36" i="5"/>
  <c r="C37" i="5"/>
  <c r="G44" i="5"/>
  <c r="D48" i="5" s="1"/>
  <c r="E47" i="5"/>
  <c r="G56" i="5"/>
  <c r="A59" i="5"/>
  <c r="C60" i="5" s="1"/>
  <c r="E60" i="5" s="1"/>
  <c r="E61" i="5" s="1"/>
  <c r="C59" i="5"/>
  <c r="D59" i="5"/>
  <c r="E59" i="5"/>
  <c r="D60" i="5"/>
  <c r="G67" i="5"/>
  <c r="C70" i="5"/>
  <c r="E70" i="5" s="1"/>
  <c r="D70" i="5"/>
  <c r="D71" i="5"/>
  <c r="G79" i="5"/>
  <c r="A82" i="5"/>
  <c r="C83" i="5" s="1"/>
  <c r="C84" i="5" s="1"/>
  <c r="C82" i="5"/>
  <c r="D82" i="5"/>
  <c r="E82" i="5"/>
  <c r="E84" i="5" s="1"/>
  <c r="D83" i="5"/>
  <c r="E83" i="5"/>
  <c r="G90" i="5"/>
  <c r="A93" i="5"/>
  <c r="E93" i="5"/>
  <c r="C94" i="5"/>
  <c r="C95" i="5" s="1"/>
  <c r="D94" i="5"/>
  <c r="E94" i="5"/>
  <c r="G102" i="5"/>
  <c r="D105" i="5"/>
  <c r="E105" i="5"/>
  <c r="D106" i="5"/>
  <c r="E106" i="5"/>
  <c r="D107" i="5"/>
  <c r="G117" i="5"/>
  <c r="E120" i="5"/>
  <c r="D121" i="5"/>
  <c r="G128" i="5"/>
  <c r="E131" i="5"/>
  <c r="C132" i="5"/>
  <c r="D132" i="5"/>
  <c r="C133" i="5"/>
  <c r="G141" i="5"/>
  <c r="D144" i="5"/>
  <c r="E144" i="5"/>
  <c r="D145" i="5"/>
  <c r="G153" i="5"/>
  <c r="D157" i="5" s="1"/>
  <c r="E157" i="5" s="1"/>
  <c r="E158" i="5" s="1"/>
  <c r="G158" i="5" s="1"/>
  <c r="E156" i="5"/>
  <c r="C157" i="5"/>
  <c r="C158" i="5"/>
  <c r="G163" i="5"/>
  <c r="D166" i="5"/>
  <c r="E166" i="5"/>
  <c r="D167" i="5"/>
  <c r="G174" i="5"/>
  <c r="D178" i="5" s="1"/>
  <c r="D177" i="5"/>
  <c r="E177" i="5"/>
  <c r="G183" i="5"/>
  <c r="D186" i="5"/>
  <c r="E186" i="5" s="1"/>
  <c r="D187" i="5"/>
  <c r="G194" i="5"/>
  <c r="D196" i="5"/>
  <c r="E196" i="5" s="1"/>
  <c r="D197" i="5"/>
  <c r="E197" i="5"/>
  <c r="D198" i="5"/>
  <c r="G206" i="5"/>
  <c r="C209" i="5"/>
  <c r="D209" i="5"/>
  <c r="E209" i="5"/>
  <c r="C210" i="5"/>
  <c r="D210" i="5"/>
  <c r="E210" i="5"/>
  <c r="C211" i="5"/>
  <c r="D211" i="5"/>
  <c r="E211" i="5"/>
  <c r="D212" i="5"/>
  <c r="G220" i="5"/>
  <c r="D223" i="5"/>
  <c r="E223" i="5"/>
  <c r="D224" i="5"/>
  <c r="G231" i="5"/>
  <c r="D235" i="5" s="1"/>
  <c r="A234" i="5"/>
  <c r="D234" i="5"/>
  <c r="E234" i="5"/>
  <c r="E236" i="5" s="1"/>
  <c r="C235" i="5"/>
  <c r="C236" i="5" s="1"/>
  <c r="E235" i="5"/>
  <c r="G242" i="5"/>
  <c r="A245" i="5"/>
  <c r="C245" i="5"/>
  <c r="D245" i="5"/>
  <c r="E245" i="5"/>
  <c r="D246" i="5"/>
  <c r="G254" i="5"/>
  <c r="D258" i="5" s="1"/>
  <c r="A257" i="5"/>
  <c r="C258" i="5" s="1"/>
  <c r="D257" i="5"/>
  <c r="E257" i="5" s="1"/>
  <c r="G266" i="5"/>
  <c r="D270" i="5" s="1"/>
  <c r="D269" i="5"/>
  <c r="E269" i="5" s="1"/>
  <c r="G278" i="5"/>
  <c r="D283" i="5" s="1"/>
  <c r="D281" i="5"/>
  <c r="E281" i="5"/>
  <c r="D282" i="5"/>
  <c r="E282" i="5"/>
  <c r="G291" i="5"/>
  <c r="C294" i="5"/>
  <c r="E294" i="5" s="1"/>
  <c r="D294" i="5"/>
  <c r="C295" i="5"/>
  <c r="D295" i="5"/>
  <c r="E295" i="5"/>
  <c r="D296" i="5"/>
  <c r="G303" i="5"/>
  <c r="A306" i="5"/>
  <c r="E306" i="5"/>
  <c r="C307" i="5"/>
  <c r="E307" i="5" s="1"/>
  <c r="D307" i="5"/>
  <c r="G314" i="5"/>
  <c r="A317" i="5"/>
  <c r="D317" i="5"/>
  <c r="E317" i="5"/>
  <c r="E319" i="5" s="1"/>
  <c r="C318" i="5"/>
  <c r="E318" i="5" s="1"/>
  <c r="D318" i="5"/>
  <c r="C327" i="5"/>
  <c r="G329" i="5"/>
  <c r="C332" i="5"/>
  <c r="E332" i="5" s="1"/>
  <c r="D333" i="5"/>
  <c r="G343" i="5"/>
  <c r="D347" i="5" s="1"/>
  <c r="E346" i="5"/>
  <c r="G355" i="5"/>
  <c r="C358" i="5"/>
  <c r="D358" i="5"/>
  <c r="E358" i="5"/>
  <c r="C359" i="5"/>
  <c r="D359" i="5"/>
  <c r="E359" i="5"/>
  <c r="D360" i="5"/>
  <c r="G370" i="5"/>
  <c r="D376" i="5" s="1"/>
  <c r="C373" i="5"/>
  <c r="D373" i="5"/>
  <c r="E373" i="5" s="1"/>
  <c r="C374" i="5"/>
  <c r="D374" i="5"/>
  <c r="E374" i="5"/>
  <c r="C375" i="5"/>
  <c r="E375" i="5" s="1"/>
  <c r="D375" i="5"/>
  <c r="G383" i="5"/>
  <c r="D387" i="5" s="1"/>
  <c r="E387" i="5" s="1"/>
  <c r="D386" i="5"/>
  <c r="E386" i="5" s="1"/>
  <c r="C388" i="5"/>
  <c r="G394" i="5"/>
  <c r="D398" i="5" s="1"/>
  <c r="D397" i="5"/>
  <c r="E397" i="5" s="1"/>
  <c r="C398" i="5"/>
  <c r="E398" i="5" s="1"/>
  <c r="G405" i="5"/>
  <c r="D408" i="5"/>
  <c r="E408" i="5"/>
  <c r="D409" i="5"/>
  <c r="G416" i="5"/>
  <c r="C419" i="5"/>
  <c r="D419" i="5"/>
  <c r="D420" i="5"/>
  <c r="G428" i="5"/>
  <c r="D433" i="5" s="1"/>
  <c r="C431" i="5"/>
  <c r="D431" i="5"/>
  <c r="C432" i="5"/>
  <c r="E432" i="5" s="1"/>
  <c r="D432" i="5"/>
  <c r="G441" i="5"/>
  <c r="D445" i="5" s="1"/>
  <c r="D444" i="5"/>
  <c r="E444" i="5" s="1"/>
  <c r="G453" i="5"/>
  <c r="D457" i="5" s="1"/>
  <c r="C456" i="5"/>
  <c r="E456" i="5" s="1"/>
  <c r="D456" i="5"/>
  <c r="G466" i="5"/>
  <c r="D470" i="5" s="1"/>
  <c r="C469" i="5"/>
  <c r="E469" i="5" s="1"/>
  <c r="D469" i="5"/>
  <c r="G479" i="5"/>
  <c r="D483" i="5" s="1"/>
  <c r="D482" i="5"/>
  <c r="E482" i="5" s="1"/>
  <c r="G492" i="5"/>
  <c r="D496" i="5" s="1"/>
  <c r="E496" i="5" s="1"/>
  <c r="E497" i="5" s="1"/>
  <c r="G497" i="5" s="1"/>
  <c r="C495" i="5"/>
  <c r="D495" i="5"/>
  <c r="E495" i="5"/>
  <c r="C496" i="5"/>
  <c r="C497" i="5"/>
  <c r="G504" i="5"/>
  <c r="D510" i="5" s="1"/>
  <c r="A507" i="5"/>
  <c r="C507" i="5"/>
  <c r="D507" i="5"/>
  <c r="E507" i="5" s="1"/>
  <c r="C508" i="5"/>
  <c r="D508" i="5"/>
  <c r="C509" i="5"/>
  <c r="E509" i="5" s="1"/>
  <c r="D509" i="5"/>
  <c r="G519" i="5"/>
  <c r="D522" i="5"/>
  <c r="E522" i="5"/>
  <c r="C523" i="5"/>
  <c r="D523" i="5"/>
  <c r="E523" i="5"/>
  <c r="D524" i="5"/>
  <c r="G532" i="5"/>
  <c r="C535" i="5"/>
  <c r="D535" i="5"/>
  <c r="D536" i="5"/>
  <c r="G543" i="5"/>
  <c r="A546" i="5"/>
  <c r="C549" i="5" s="1"/>
  <c r="E546" i="5"/>
  <c r="D549" i="5"/>
  <c r="G557" i="5"/>
  <c r="D561" i="5" s="1"/>
  <c r="E560" i="5"/>
  <c r="C561" i="5"/>
  <c r="G572" i="5"/>
  <c r="D575" i="5"/>
  <c r="E575" i="5"/>
  <c r="D576" i="5"/>
  <c r="G587" i="5"/>
  <c r="C590" i="5"/>
  <c r="D590" i="5"/>
  <c r="E590" i="5"/>
  <c r="C591" i="5"/>
  <c r="D591" i="5"/>
  <c r="E591" i="5"/>
  <c r="C592" i="5"/>
  <c r="D592" i="5"/>
  <c r="D593" i="5"/>
  <c r="N362" i="2" l="1"/>
  <c r="E258" i="5"/>
  <c r="E259" i="5" s="1"/>
  <c r="G259" i="5" s="1"/>
  <c r="C259" i="5"/>
  <c r="O498" i="2"/>
  <c r="T11" i="15"/>
  <c r="T15" i="15"/>
  <c r="N102" i="2"/>
  <c r="O102" i="2"/>
  <c r="E549" i="5"/>
  <c r="C550" i="5"/>
  <c r="G236" i="5"/>
  <c r="G84" i="5"/>
  <c r="O488" i="2"/>
  <c r="O375" i="2"/>
  <c r="N375" i="2"/>
  <c r="N107" i="2"/>
  <c r="J148" i="16"/>
  <c r="K148" i="16"/>
  <c r="L148" i="16" s="1"/>
  <c r="O484" i="2"/>
  <c r="N484" i="2"/>
  <c r="O409" i="2"/>
  <c r="N409" i="2"/>
  <c r="E361" i="5"/>
  <c r="O497" i="2"/>
  <c r="N497" i="2"/>
  <c r="N434" i="2"/>
  <c r="O434" i="2"/>
  <c r="N363" i="2"/>
  <c r="O363" i="2"/>
  <c r="E550" i="5"/>
  <c r="G550" i="5" s="1"/>
  <c r="T9" i="15"/>
  <c r="S21" i="15"/>
  <c r="O343" i="2"/>
  <c r="N343" i="2"/>
  <c r="N87" i="2"/>
  <c r="O87" i="2"/>
  <c r="E388" i="5"/>
  <c r="G388" i="5" s="1"/>
  <c r="O466" i="2"/>
  <c r="O335" i="2"/>
  <c r="N335" i="2"/>
  <c r="N331" i="2"/>
  <c r="O331" i="2"/>
  <c r="O13" i="2"/>
  <c r="N13" i="2"/>
  <c r="N192" i="2"/>
  <c r="O192" i="2"/>
  <c r="O5" i="2"/>
  <c r="N5" i="2"/>
  <c r="J71" i="3"/>
  <c r="E399" i="5"/>
  <c r="M463" i="2"/>
  <c r="O463" i="2" s="1"/>
  <c r="M381" i="2"/>
  <c r="O381" i="2" s="1"/>
  <c r="M304" i="2"/>
  <c r="M183" i="2"/>
  <c r="N114" i="2"/>
  <c r="O114" i="2"/>
  <c r="J63" i="3"/>
  <c r="E431" i="5"/>
  <c r="E308" i="5"/>
  <c r="G308" i="5" s="1"/>
  <c r="E132" i="5"/>
  <c r="E133" i="5" s="1"/>
  <c r="G133" i="5" s="1"/>
  <c r="O430" i="2"/>
  <c r="M398" i="2"/>
  <c r="O398" i="2" s="1"/>
  <c r="O332" i="2"/>
  <c r="O186" i="2"/>
  <c r="N186" i="2"/>
  <c r="N125" i="2"/>
  <c r="A575" i="5"/>
  <c r="C576" i="5" s="1"/>
  <c r="A120" i="5"/>
  <c r="C121" i="5" s="1"/>
  <c r="N494" i="2"/>
  <c r="M486" i="2"/>
  <c r="O486" i="2" s="1"/>
  <c r="O453" i="2"/>
  <c r="O451" i="2"/>
  <c r="O442" i="2"/>
  <c r="O441" i="2"/>
  <c r="M423" i="2"/>
  <c r="M407" i="2"/>
  <c r="O394" i="2"/>
  <c r="O393" i="2"/>
  <c r="N393" i="2"/>
  <c r="O388" i="2"/>
  <c r="O385" i="2"/>
  <c r="O372" i="2"/>
  <c r="O360" i="2"/>
  <c r="N357" i="2"/>
  <c r="N354" i="2"/>
  <c r="O347" i="2"/>
  <c r="N342" i="2"/>
  <c r="O342" i="2"/>
  <c r="N340" i="2"/>
  <c r="N330" i="2"/>
  <c r="M322" i="2"/>
  <c r="M290" i="2"/>
  <c r="M225" i="2"/>
  <c r="N147" i="2"/>
  <c r="O147" i="2"/>
  <c r="N103" i="2"/>
  <c r="O103" i="2"/>
  <c r="N95" i="2"/>
  <c r="O95" i="2"/>
  <c r="O77" i="2"/>
  <c r="N77" i="2"/>
  <c r="O75" i="2"/>
  <c r="M52" i="2"/>
  <c r="O52" i="2" s="1"/>
  <c r="O22" i="2"/>
  <c r="N22" i="2"/>
  <c r="D17" i="23"/>
  <c r="J29" i="3"/>
  <c r="J139" i="16"/>
  <c r="K139" i="16"/>
  <c r="L139" i="16" s="1"/>
  <c r="K137" i="16"/>
  <c r="L137" i="16" s="1"/>
  <c r="J187" i="3"/>
  <c r="J171" i="3"/>
  <c r="J90" i="16"/>
  <c r="K90" i="16"/>
  <c r="L90" i="16" s="1"/>
  <c r="J113" i="16"/>
  <c r="K113" i="16"/>
  <c r="L113" i="16" s="1"/>
  <c r="K98" i="16"/>
  <c r="L98" i="16" s="1"/>
  <c r="J98" i="16"/>
  <c r="K214" i="16"/>
  <c r="L214" i="16" s="1"/>
  <c r="J214" i="16"/>
  <c r="N238" i="18"/>
  <c r="V238" i="18"/>
  <c r="S238" i="18"/>
  <c r="W238" i="18"/>
  <c r="P238" i="18"/>
  <c r="U238" i="18"/>
  <c r="X238" i="18"/>
  <c r="L64" i="19"/>
  <c r="E561" i="5"/>
  <c r="E562" i="5" s="1"/>
  <c r="G562" i="5" s="1"/>
  <c r="O457" i="2"/>
  <c r="O361" i="2"/>
  <c r="N361" i="2"/>
  <c r="M135" i="2"/>
  <c r="O135" i="2" s="1"/>
  <c r="N135" i="2"/>
  <c r="O133" i="2"/>
  <c r="N133" i="2"/>
  <c r="N123" i="2"/>
  <c r="O123" i="2"/>
  <c r="N80" i="2"/>
  <c r="O80" i="2"/>
  <c r="N61" i="2"/>
  <c r="Q252" i="3"/>
  <c r="R252" i="3"/>
  <c r="E23" i="5"/>
  <c r="R21" i="15"/>
  <c r="O272" i="2"/>
  <c r="M250" i="2"/>
  <c r="M121" i="2"/>
  <c r="K167" i="16"/>
  <c r="J167" i="16"/>
  <c r="Q96" i="3"/>
  <c r="R96" i="3" s="1"/>
  <c r="E419" i="5"/>
  <c r="O377" i="2"/>
  <c r="N377" i="2"/>
  <c r="M314" i="2"/>
  <c r="M272" i="2"/>
  <c r="O118" i="2"/>
  <c r="N118" i="2"/>
  <c r="M61" i="2"/>
  <c r="O61" i="2" s="1"/>
  <c r="J75" i="3"/>
  <c r="J112" i="3"/>
  <c r="W232" i="18"/>
  <c r="S232" i="18"/>
  <c r="V232" i="18"/>
  <c r="X232" i="18"/>
  <c r="N232" i="18"/>
  <c r="P232" i="18"/>
  <c r="U232" i="18"/>
  <c r="N219" i="18"/>
  <c r="W219" i="18"/>
  <c r="P219" i="18"/>
  <c r="S219" i="18"/>
  <c r="U219" i="18"/>
  <c r="V219" i="18"/>
  <c r="X219" i="18"/>
  <c r="M209" i="18"/>
  <c r="O209" i="18"/>
  <c r="K100" i="19" s="1"/>
  <c r="R209" i="18" s="1"/>
  <c r="E508" i="5"/>
  <c r="G508" i="5" s="1"/>
  <c r="E95" i="5"/>
  <c r="G95" i="5" s="1"/>
  <c r="E10" i="5"/>
  <c r="E11" i="5" s="1"/>
  <c r="G11" i="5" s="1"/>
  <c r="E592" i="5"/>
  <c r="A22" i="5"/>
  <c r="C25" i="5" s="1"/>
  <c r="E25" i="5" s="1"/>
  <c r="T18" i="15"/>
  <c r="T2" i="15"/>
  <c r="O490" i="2"/>
  <c r="N480" i="2"/>
  <c r="O465" i="2"/>
  <c r="O462" i="2"/>
  <c r="M461" i="2"/>
  <c r="O461" i="2" s="1"/>
  <c r="N459" i="2"/>
  <c r="N453" i="2"/>
  <c r="M447" i="2"/>
  <c r="O447" i="2" s="1"/>
  <c r="O416" i="2"/>
  <c r="O400" i="2"/>
  <c r="N397" i="2"/>
  <c r="N383" i="2"/>
  <c r="O380" i="2"/>
  <c r="O373" i="2"/>
  <c r="O370" i="2"/>
  <c r="O368" i="2"/>
  <c r="N365" i="2"/>
  <c r="O355" i="2"/>
  <c r="M346" i="2"/>
  <c r="O346" i="2" s="1"/>
  <c r="N333" i="2"/>
  <c r="M325" i="2"/>
  <c r="O325" i="2" s="1"/>
  <c r="M307" i="2"/>
  <c r="A469" i="5"/>
  <c r="C470" i="5" s="1"/>
  <c r="E470" i="5" s="1"/>
  <c r="E471" i="5" s="1"/>
  <c r="O273" i="2"/>
  <c r="M229" i="2"/>
  <c r="O210" i="2"/>
  <c r="O205" i="2"/>
  <c r="O203" i="2"/>
  <c r="O200" i="2"/>
  <c r="N193" i="2"/>
  <c r="O193" i="2"/>
  <c r="N177" i="2"/>
  <c r="O177" i="2"/>
  <c r="M157" i="2"/>
  <c r="O157" i="2" s="1"/>
  <c r="N138" i="2"/>
  <c r="O138" i="2"/>
  <c r="N132" i="2"/>
  <c r="O132" i="2"/>
  <c r="O128" i="2"/>
  <c r="N128" i="2"/>
  <c r="N111" i="2"/>
  <c r="O111" i="2"/>
  <c r="A105" i="5"/>
  <c r="C107" i="5" s="1"/>
  <c r="N10" i="2"/>
  <c r="O10" i="2"/>
  <c r="J285" i="3"/>
  <c r="J127" i="3"/>
  <c r="K190" i="16"/>
  <c r="L190" i="16" s="1"/>
  <c r="J190" i="16"/>
  <c r="K183" i="16"/>
  <c r="J183" i="16"/>
  <c r="J104" i="16"/>
  <c r="K104" i="16"/>
  <c r="L104" i="16" s="1"/>
  <c r="L106" i="19"/>
  <c r="W184" i="18"/>
  <c r="U184" i="18"/>
  <c r="N184" i="18"/>
  <c r="X184" i="18"/>
  <c r="P184" i="18"/>
  <c r="V184" i="18"/>
  <c r="O177" i="18"/>
  <c r="K253" i="19" s="1"/>
  <c r="R177" i="18" s="1"/>
  <c r="M177" i="18"/>
  <c r="L8" i="19"/>
  <c r="P8" i="19" s="1"/>
  <c r="T129" i="18"/>
  <c r="L86" i="19"/>
  <c r="P86" i="19" s="1"/>
  <c r="T128" i="18"/>
  <c r="T127" i="18"/>
  <c r="L85" i="19"/>
  <c r="P85" i="19" s="1"/>
  <c r="N392" i="2"/>
  <c r="O392" i="2"/>
  <c r="N334" i="2"/>
  <c r="O334" i="2"/>
  <c r="O204" i="2"/>
  <c r="N204" i="2"/>
  <c r="J65" i="3"/>
  <c r="T12" i="15"/>
  <c r="O369" i="2"/>
  <c r="N369" i="2"/>
  <c r="O356" i="2"/>
  <c r="N346" i="2"/>
  <c r="N211" i="2"/>
  <c r="O211" i="2"/>
  <c r="J210" i="3"/>
  <c r="D30" i="23"/>
  <c r="J36" i="3"/>
  <c r="P36" i="3" s="1"/>
  <c r="R36" i="3" s="1"/>
  <c r="P255" i="3"/>
  <c r="Q250" i="3"/>
  <c r="R250" i="3" s="1"/>
  <c r="M429" i="2"/>
  <c r="O429" i="2" s="1"/>
  <c r="M190" i="2"/>
  <c r="O190" i="2" s="1"/>
  <c r="M28" i="2"/>
  <c r="J226" i="3"/>
  <c r="K240" i="16"/>
  <c r="L240" i="16" s="1"/>
  <c r="J240" i="16"/>
  <c r="N491" i="2"/>
  <c r="N456" i="2"/>
  <c r="O456" i="2"/>
  <c r="N446" i="2"/>
  <c r="O436" i="2"/>
  <c r="O428" i="2"/>
  <c r="O395" i="2"/>
  <c r="N326" i="2"/>
  <c r="O326" i="2"/>
  <c r="A456" i="5"/>
  <c r="C457" i="5" s="1"/>
  <c r="E457" i="5" s="1"/>
  <c r="E458" i="5" s="1"/>
  <c r="O212" i="2"/>
  <c r="N212" i="2"/>
  <c r="N201" i="2"/>
  <c r="O67" i="2"/>
  <c r="O53" i="2"/>
  <c r="N53" i="2"/>
  <c r="N7" i="2"/>
  <c r="O7" i="2"/>
  <c r="J125" i="3"/>
  <c r="J249" i="3"/>
  <c r="J268" i="3"/>
  <c r="J74" i="3"/>
  <c r="J283" i="3"/>
  <c r="K107" i="16"/>
  <c r="L107" i="16" s="1"/>
  <c r="J107" i="16"/>
  <c r="J105" i="16"/>
  <c r="K105" i="16"/>
  <c r="L105" i="16" s="1"/>
  <c r="J85" i="3"/>
  <c r="J54" i="3"/>
  <c r="J15" i="16"/>
  <c r="K15" i="16"/>
  <c r="L15" i="16" s="1"/>
  <c r="N440" i="2"/>
  <c r="O440" i="2"/>
  <c r="O413" i="2"/>
  <c r="J231" i="16"/>
  <c r="K231" i="16"/>
  <c r="M378" i="2"/>
  <c r="O378" i="2" s="1"/>
  <c r="M192" i="2"/>
  <c r="N116" i="2"/>
  <c r="O116" i="2"/>
  <c r="J206" i="3"/>
  <c r="J120" i="16"/>
  <c r="K120" i="16"/>
  <c r="L120" i="16" s="1"/>
  <c r="T14" i="15"/>
  <c r="O493" i="2"/>
  <c r="O444" i="2"/>
  <c r="O433" i="2"/>
  <c r="O197" i="2"/>
  <c r="N179" i="2"/>
  <c r="O179" i="2"/>
  <c r="N136" i="2"/>
  <c r="O136" i="2"/>
  <c r="O93" i="2"/>
  <c r="N93" i="2"/>
  <c r="O8" i="2"/>
  <c r="N8" i="2"/>
  <c r="J264" i="3"/>
  <c r="J174" i="3"/>
  <c r="C510" i="5"/>
  <c r="E510" i="5" s="1"/>
  <c r="E37" i="5"/>
  <c r="O443" i="2"/>
  <c r="C562" i="5"/>
  <c r="T6" i="15"/>
  <c r="I502" i="2"/>
  <c r="O499" i="2"/>
  <c r="O492" i="2"/>
  <c r="N488" i="2"/>
  <c r="N485" i="2"/>
  <c r="O482" i="2"/>
  <c r="O481" i="2"/>
  <c r="N481" i="2"/>
  <c r="N467" i="2"/>
  <c r="N466" i="2"/>
  <c r="N457" i="2"/>
  <c r="O454" i="2"/>
  <c r="O435" i="2"/>
  <c r="O426" i="2"/>
  <c r="O425" i="2"/>
  <c r="O384" i="2"/>
  <c r="N381" i="2"/>
  <c r="N378" i="2"/>
  <c r="O371" i="2"/>
  <c r="N358" i="2"/>
  <c r="M357" i="2"/>
  <c r="O357" i="2" s="1"/>
  <c r="M354" i="2"/>
  <c r="O354" i="2" s="1"/>
  <c r="N348" i="2"/>
  <c r="N338" i="2"/>
  <c r="M330" i="2"/>
  <c r="O330" i="2" s="1"/>
  <c r="M297" i="2"/>
  <c r="M261" i="2"/>
  <c r="O196" i="2"/>
  <c r="N196" i="2"/>
  <c r="O187" i="2"/>
  <c r="O185" i="2"/>
  <c r="M161" i="2"/>
  <c r="N153" i="2"/>
  <c r="O153" i="2"/>
  <c r="O151" i="2"/>
  <c r="O148" i="2"/>
  <c r="N139" i="2"/>
  <c r="N117" i="2"/>
  <c r="N112" i="2"/>
  <c r="N96" i="2"/>
  <c r="M69" i="2"/>
  <c r="M65" i="2"/>
  <c r="J100" i="3"/>
  <c r="J41" i="3"/>
  <c r="K30" i="16"/>
  <c r="L30" i="16" s="1"/>
  <c r="J30" i="16"/>
  <c r="J26" i="16"/>
  <c r="K26" i="16"/>
  <c r="L26" i="16" s="1"/>
  <c r="J7" i="16"/>
  <c r="K7" i="16"/>
  <c r="M338" i="2"/>
  <c r="O338" i="2" s="1"/>
  <c r="C361" i="5"/>
  <c r="O364" i="2"/>
  <c r="M341" i="2"/>
  <c r="O341" i="2" s="1"/>
  <c r="M176" i="2"/>
  <c r="J255" i="3"/>
  <c r="J232" i="3"/>
  <c r="C399" i="5"/>
  <c r="C511" i="5"/>
  <c r="C319" i="5"/>
  <c r="G319" i="5" s="1"/>
  <c r="C308" i="5"/>
  <c r="E535" i="5"/>
  <c r="C246" i="5"/>
  <c r="E246" i="5" s="1"/>
  <c r="E247" i="5" s="1"/>
  <c r="C61" i="5"/>
  <c r="G61" i="5" s="1"/>
  <c r="E36" i="5"/>
  <c r="E38" i="5" s="1"/>
  <c r="G38" i="5" s="1"/>
  <c r="E24" i="5"/>
  <c r="H502" i="2"/>
  <c r="N489" i="2"/>
  <c r="O479" i="2"/>
  <c r="O464" i="2"/>
  <c r="O460" i="2"/>
  <c r="O450" i="2"/>
  <c r="O449" i="2"/>
  <c r="O446" i="2"/>
  <c r="M445" i="2"/>
  <c r="O445" i="2" s="1"/>
  <c r="N443" i="2"/>
  <c r="M431" i="2"/>
  <c r="O431" i="2" s="1"/>
  <c r="M418" i="2"/>
  <c r="O414" i="2"/>
  <c r="M408" i="2"/>
  <c r="N398" i="2"/>
  <c r="M397" i="2"/>
  <c r="O397" i="2" s="1"/>
  <c r="O389" i="2"/>
  <c r="N386" i="2"/>
  <c r="O386" i="2"/>
  <c r="O379" i="2"/>
  <c r="N366" i="2"/>
  <c r="M365" i="2"/>
  <c r="O365" i="2" s="1"/>
  <c r="M362" i="2"/>
  <c r="O362" i="2" s="1"/>
  <c r="O358" i="2"/>
  <c r="N356" i="2"/>
  <c r="O353" i="2"/>
  <c r="N353" i="2"/>
  <c r="N341" i="2"/>
  <c r="M333" i="2"/>
  <c r="O333" i="2" s="1"/>
  <c r="O324" i="2"/>
  <c r="N314" i="2"/>
  <c r="M218" i="2"/>
  <c r="M208" i="2"/>
  <c r="O201" i="2"/>
  <c r="N190" i="2"/>
  <c r="O183" i="2"/>
  <c r="N183" i="2"/>
  <c r="O156" i="2"/>
  <c r="N146" i="2"/>
  <c r="O146" i="2"/>
  <c r="O131" i="2"/>
  <c r="N131" i="2"/>
  <c r="N110" i="2"/>
  <c r="O110" i="2"/>
  <c r="O104" i="2"/>
  <c r="N104" i="2"/>
  <c r="O100" i="2"/>
  <c r="N76" i="2"/>
  <c r="O72" i="2"/>
  <c r="N72" i="2"/>
  <c r="N59" i="2"/>
  <c r="N55" i="2"/>
  <c r="O55" i="2"/>
  <c r="J198" i="3"/>
  <c r="J228" i="16"/>
  <c r="K228" i="16"/>
  <c r="L228" i="16" s="1"/>
  <c r="J77" i="3"/>
  <c r="D27" i="23"/>
  <c r="J33" i="3"/>
  <c r="L118" i="16"/>
  <c r="J217" i="3"/>
  <c r="P256" i="3"/>
  <c r="P111" i="3"/>
  <c r="P98" i="3"/>
  <c r="F20" i="20"/>
  <c r="F21" i="20" s="1"/>
  <c r="C21" i="20"/>
  <c r="P283" i="3"/>
  <c r="P224" i="3"/>
  <c r="R224" i="3" s="1"/>
  <c r="J37" i="16"/>
  <c r="K37" i="16"/>
  <c r="L37" i="16" s="1"/>
  <c r="K34" i="16"/>
  <c r="L34" i="16" s="1"/>
  <c r="J34" i="16"/>
  <c r="J10" i="16"/>
  <c r="K10" i="16"/>
  <c r="L10" i="16" s="1"/>
  <c r="P68" i="3"/>
  <c r="W177" i="18"/>
  <c r="V177" i="18"/>
  <c r="P177" i="18"/>
  <c r="Z177" i="18"/>
  <c r="N177" i="18"/>
  <c r="U177" i="18"/>
  <c r="S177" i="18"/>
  <c r="X177" i="18"/>
  <c r="M131" i="18"/>
  <c r="O131" i="18"/>
  <c r="K171" i="19" s="1"/>
  <c r="R131" i="18" s="1"/>
  <c r="J249" i="18"/>
  <c r="M249" i="18" s="1"/>
  <c r="U113" i="18"/>
  <c r="W113" i="18"/>
  <c r="N113" i="18"/>
  <c r="X113" i="18"/>
  <c r="P113" i="18"/>
  <c r="S113" i="18"/>
  <c r="V113" i="18"/>
  <c r="P17" i="18"/>
  <c r="S17" i="18"/>
  <c r="V17" i="18"/>
  <c r="V249" i="18" s="1"/>
  <c r="W17" i="18"/>
  <c r="X17" i="18"/>
  <c r="U17" i="18"/>
  <c r="K249" i="18"/>
  <c r="M487" i="2"/>
  <c r="O487" i="2" s="1"/>
  <c r="M399" i="2"/>
  <c r="O399" i="2" s="1"/>
  <c r="O314" i="2"/>
  <c r="O313" i="2"/>
  <c r="M278" i="2"/>
  <c r="M258" i="2"/>
  <c r="M226" i="2"/>
  <c r="O191" i="2"/>
  <c r="O189" i="2"/>
  <c r="N178" i="2"/>
  <c r="M172" i="2"/>
  <c r="M145" i="2"/>
  <c r="O145" i="2" s="1"/>
  <c r="N143" i="2"/>
  <c r="O115" i="2"/>
  <c r="N108" i="2"/>
  <c r="M105" i="2"/>
  <c r="M102" i="2"/>
  <c r="N83" i="2"/>
  <c r="O66" i="2"/>
  <c r="O64" i="2"/>
  <c r="O56" i="2"/>
  <c r="M41" i="2"/>
  <c r="N14" i="2"/>
  <c r="K46" i="21"/>
  <c r="M46" i="21" s="1"/>
  <c r="N46" i="21" s="1"/>
  <c r="L237" i="16"/>
  <c r="J21" i="3"/>
  <c r="J22" i="3"/>
  <c r="J191" i="16"/>
  <c r="K191" i="16"/>
  <c r="K168" i="16"/>
  <c r="L168" i="16" s="1"/>
  <c r="J168" i="16"/>
  <c r="J124" i="16"/>
  <c r="K124" i="16"/>
  <c r="L124" i="16" s="1"/>
  <c r="J209" i="3"/>
  <c r="K108" i="16"/>
  <c r="L108" i="16" s="1"/>
  <c r="J102" i="16"/>
  <c r="K56" i="16"/>
  <c r="L56" i="16" s="1"/>
  <c r="J56" i="16"/>
  <c r="J58" i="3"/>
  <c r="J243" i="3"/>
  <c r="P282" i="3"/>
  <c r="P244" i="3"/>
  <c r="J85" i="16"/>
  <c r="K85" i="16"/>
  <c r="L85" i="16" s="1"/>
  <c r="J177" i="3"/>
  <c r="P74" i="3"/>
  <c r="O141" i="2"/>
  <c r="O101" i="2"/>
  <c r="N101" i="2"/>
  <c r="K44" i="21"/>
  <c r="M44" i="21" s="1"/>
  <c r="N44" i="21" s="1"/>
  <c r="J275" i="3"/>
  <c r="J62" i="3"/>
  <c r="J202" i="3"/>
  <c r="J269" i="3"/>
  <c r="J177" i="16"/>
  <c r="K177" i="16"/>
  <c r="L177" i="16" s="1"/>
  <c r="J122" i="3"/>
  <c r="J251" i="3"/>
  <c r="J95" i="3"/>
  <c r="J81" i="16"/>
  <c r="K81" i="16"/>
  <c r="L81" i="16" s="1"/>
  <c r="J44" i="3"/>
  <c r="P44" i="3" s="1"/>
  <c r="J164" i="3"/>
  <c r="J156" i="3"/>
  <c r="F250" i="16"/>
  <c r="P278" i="3"/>
  <c r="R235" i="3"/>
  <c r="Q235" i="3"/>
  <c r="K118" i="16"/>
  <c r="J118" i="16"/>
  <c r="P164" i="3"/>
  <c r="J213" i="16"/>
  <c r="K213" i="16"/>
  <c r="L213" i="16" s="1"/>
  <c r="P50" i="3"/>
  <c r="M215" i="18"/>
  <c r="O215" i="18"/>
  <c r="K330" i="19" s="1"/>
  <c r="R215" i="18" s="1"/>
  <c r="U146" i="18"/>
  <c r="N146" i="18"/>
  <c r="W146" i="18"/>
  <c r="P146" i="18"/>
  <c r="S146" i="18"/>
  <c r="X146" i="18"/>
  <c r="V146" i="18"/>
  <c r="O345" i="2"/>
  <c r="N203" i="2"/>
  <c r="N195" i="2"/>
  <c r="N185" i="2"/>
  <c r="O144" i="2"/>
  <c r="N99" i="2"/>
  <c r="O99" i="2"/>
  <c r="N92" i="2"/>
  <c r="O92" i="2"/>
  <c r="O21" i="2"/>
  <c r="N21" i="2"/>
  <c r="J237" i="16"/>
  <c r="K237" i="16"/>
  <c r="J152" i="16"/>
  <c r="J140" i="16"/>
  <c r="K140" i="16"/>
  <c r="L140" i="16" s="1"/>
  <c r="J98" i="3"/>
  <c r="J229" i="3"/>
  <c r="K19" i="16"/>
  <c r="L19" i="16" s="1"/>
  <c r="G3" i="16"/>
  <c r="E250" i="16"/>
  <c r="P243" i="3"/>
  <c r="K22" i="16"/>
  <c r="L22" i="16" s="1"/>
  <c r="J22" i="16"/>
  <c r="U231" i="18"/>
  <c r="Y231" i="18" s="1"/>
  <c r="P231" i="18"/>
  <c r="X231" i="18"/>
  <c r="S231" i="18"/>
  <c r="V231" i="18"/>
  <c r="W231" i="18"/>
  <c r="N231" i="18"/>
  <c r="L99" i="19"/>
  <c r="T208" i="18"/>
  <c r="O337" i="2"/>
  <c r="O329" i="2"/>
  <c r="N275" i="2"/>
  <c r="N156" i="2"/>
  <c r="O152" i="2"/>
  <c r="N152" i="2"/>
  <c r="N58" i="2"/>
  <c r="O58" i="2"/>
  <c r="N12" i="2"/>
  <c r="O12" i="2"/>
  <c r="L231" i="16"/>
  <c r="M306" i="2"/>
  <c r="O306" i="2" s="1"/>
  <c r="M274" i="2"/>
  <c r="O274" i="2" s="1"/>
  <c r="N272" i="2"/>
  <c r="M202" i="2"/>
  <c r="O202" i="2" s="1"/>
  <c r="N200" i="2"/>
  <c r="M117" i="2"/>
  <c r="O117" i="2" s="1"/>
  <c r="M113" i="2"/>
  <c r="O86" i="2"/>
  <c r="M76" i="2"/>
  <c r="O76" i="2" s="1"/>
  <c r="N52" i="2"/>
  <c r="N32" i="2"/>
  <c r="O32" i="2"/>
  <c r="O19" i="2"/>
  <c r="N19" i="2"/>
  <c r="K40" i="21"/>
  <c r="M40" i="21" s="1"/>
  <c r="N40" i="21" s="1"/>
  <c r="J70" i="3"/>
  <c r="K235" i="16"/>
  <c r="L235" i="16" s="1"/>
  <c r="J235" i="16"/>
  <c r="J131" i="3"/>
  <c r="J215" i="3"/>
  <c r="J213" i="3"/>
  <c r="J183" i="3"/>
  <c r="J184" i="3"/>
  <c r="K75" i="16"/>
  <c r="L75" i="16" s="1"/>
  <c r="J75" i="16"/>
  <c r="K194" i="16"/>
  <c r="L194" i="16" s="1"/>
  <c r="J194" i="16"/>
  <c r="P38" i="3"/>
  <c r="P114" i="3"/>
  <c r="W237" i="18"/>
  <c r="U237" i="18"/>
  <c r="V237" i="18"/>
  <c r="X237" i="18"/>
  <c r="N237" i="18"/>
  <c r="P237" i="18"/>
  <c r="S237" i="18"/>
  <c r="L145" i="19"/>
  <c r="T227" i="18"/>
  <c r="M158" i="2"/>
  <c r="M142" i="2"/>
  <c r="O142" i="2" s="1"/>
  <c r="M125" i="2"/>
  <c r="O125" i="2" s="1"/>
  <c r="M107" i="2"/>
  <c r="O107" i="2" s="1"/>
  <c r="O60" i="2"/>
  <c r="M35" i="2"/>
  <c r="M26" i="2"/>
  <c r="L224" i="16"/>
  <c r="J83" i="3"/>
  <c r="J195" i="3"/>
  <c r="J111" i="3"/>
  <c r="J162" i="16"/>
  <c r="C22" i="23"/>
  <c r="F22" i="23"/>
  <c r="J150" i="16"/>
  <c r="K111" i="16"/>
  <c r="L111" i="16" s="1"/>
  <c r="J221" i="3"/>
  <c r="L54" i="16"/>
  <c r="J178" i="3"/>
  <c r="J155" i="3"/>
  <c r="R241" i="3"/>
  <c r="K232" i="3"/>
  <c r="N232" i="3" s="1"/>
  <c r="K213" i="3"/>
  <c r="N213" i="3" s="1"/>
  <c r="P213" i="3" s="1"/>
  <c r="K210" i="3"/>
  <c r="N210" i="3" s="1"/>
  <c r="P210" i="3" s="1"/>
  <c r="J44" i="16"/>
  <c r="K44" i="16"/>
  <c r="L44" i="16" s="1"/>
  <c r="K165" i="3"/>
  <c r="N165" i="3" s="1"/>
  <c r="P165" i="3" s="1"/>
  <c r="K157" i="3"/>
  <c r="N157" i="3" s="1"/>
  <c r="P157" i="3" s="1"/>
  <c r="K154" i="3"/>
  <c r="N154" i="3" s="1"/>
  <c r="P154" i="3" s="1"/>
  <c r="K18" i="16"/>
  <c r="L18" i="16" s="1"/>
  <c r="J18" i="16"/>
  <c r="L238" i="19"/>
  <c r="T201" i="18"/>
  <c r="L20" i="19"/>
  <c r="P20" i="19" s="1"/>
  <c r="T190" i="18"/>
  <c r="J61" i="3"/>
  <c r="L183" i="16"/>
  <c r="J201" i="3"/>
  <c r="J165" i="16"/>
  <c r="K165" i="16"/>
  <c r="L165" i="16" s="1"/>
  <c r="J281" i="3"/>
  <c r="L119" i="16"/>
  <c r="L102" i="16"/>
  <c r="J225" i="3"/>
  <c r="L28" i="16"/>
  <c r="J115" i="3"/>
  <c r="P281" i="3"/>
  <c r="P254" i="3"/>
  <c r="J114" i="3"/>
  <c r="P97" i="3"/>
  <c r="P47" i="3"/>
  <c r="M239" i="18"/>
  <c r="O239" i="18"/>
  <c r="K104" i="19" s="1"/>
  <c r="R239" i="18" s="1"/>
  <c r="S239" i="18" s="1"/>
  <c r="W221" i="18"/>
  <c r="S221" i="18"/>
  <c r="V221" i="18"/>
  <c r="Y221" i="18" s="1"/>
  <c r="X221" i="18"/>
  <c r="N221" i="18"/>
  <c r="P221" i="18"/>
  <c r="M174" i="2"/>
  <c r="N91" i="2"/>
  <c r="M70" i="2"/>
  <c r="O70" i="2" s="1"/>
  <c r="N68" i="2"/>
  <c r="M33" i="2"/>
  <c r="J244" i="3"/>
  <c r="L227" i="16"/>
  <c r="J267" i="3"/>
  <c r="D26" i="23"/>
  <c r="J28" i="3"/>
  <c r="J242" i="3"/>
  <c r="J97" i="16"/>
  <c r="K97" i="16"/>
  <c r="L97" i="16" s="1"/>
  <c r="P45" i="3"/>
  <c r="J72" i="16"/>
  <c r="J39" i="3"/>
  <c r="P39" i="3" s="1"/>
  <c r="J193" i="3"/>
  <c r="L3" i="16"/>
  <c r="J8" i="16"/>
  <c r="K8" i="16"/>
  <c r="L8" i="16" s="1"/>
  <c r="P66" i="3"/>
  <c r="P54" i="3"/>
  <c r="Y209" i="18"/>
  <c r="S198" i="18"/>
  <c r="T198" i="18"/>
  <c r="P191" i="18"/>
  <c r="X191" i="18"/>
  <c r="U191" i="18"/>
  <c r="W191" i="18"/>
  <c r="N191" i="18"/>
  <c r="S191" i="18"/>
  <c r="V191" i="18"/>
  <c r="N106" i="2"/>
  <c r="M85" i="2"/>
  <c r="O85" i="2" s="1"/>
  <c r="M67" i="2"/>
  <c r="M27" i="2"/>
  <c r="M18" i="2"/>
  <c r="O18" i="2" s="1"/>
  <c r="J277" i="3"/>
  <c r="D20" i="23"/>
  <c r="J32" i="3"/>
  <c r="J9" i="3"/>
  <c r="D23" i="23"/>
  <c r="J25" i="3"/>
  <c r="J12" i="3"/>
  <c r="J12" i="16"/>
  <c r="K12" i="16"/>
  <c r="L12" i="16" s="1"/>
  <c r="J160" i="3"/>
  <c r="J117" i="16"/>
  <c r="K117" i="16"/>
  <c r="L117" i="16" s="1"/>
  <c r="J107" i="3"/>
  <c r="P53" i="3"/>
  <c r="J53" i="16"/>
  <c r="K53" i="16"/>
  <c r="L53" i="16" s="1"/>
  <c r="K10" i="3"/>
  <c r="N10" i="3" s="1"/>
  <c r="P10" i="3" s="1"/>
  <c r="K14" i="3"/>
  <c r="N14" i="3" s="1"/>
  <c r="P14" i="3" s="1"/>
  <c r="K18" i="3"/>
  <c r="N18" i="3" s="1"/>
  <c r="P18" i="3" s="1"/>
  <c r="K32" i="3"/>
  <c r="N32" i="3" s="1"/>
  <c r="K29" i="3"/>
  <c r="N29" i="3" s="1"/>
  <c r="K37" i="3"/>
  <c r="N37" i="3" s="1"/>
  <c r="P37" i="3" s="1"/>
  <c r="K127" i="3"/>
  <c r="N127" i="3" s="1"/>
  <c r="P127" i="3" s="1"/>
  <c r="K131" i="3"/>
  <c r="N131" i="3" s="1"/>
  <c r="K143" i="3"/>
  <c r="N143" i="3" s="1"/>
  <c r="P143" i="3" s="1"/>
  <c r="K147" i="3"/>
  <c r="N147" i="3" s="1"/>
  <c r="P147" i="3" s="1"/>
  <c r="K151" i="3"/>
  <c r="N151" i="3" s="1"/>
  <c r="P151" i="3" s="1"/>
  <c r="K198" i="3"/>
  <c r="N198" i="3" s="1"/>
  <c r="K203" i="3"/>
  <c r="N203" i="3" s="1"/>
  <c r="P203" i="3" s="1"/>
  <c r="K208" i="3"/>
  <c r="N208" i="3" s="1"/>
  <c r="P208" i="3" s="1"/>
  <c r="K216" i="3"/>
  <c r="N216" i="3" s="1"/>
  <c r="P216" i="3" s="1"/>
  <c r="R216" i="3" s="1"/>
  <c r="K225" i="3"/>
  <c r="N225" i="3" s="1"/>
  <c r="K226" i="3"/>
  <c r="N226" i="3" s="1"/>
  <c r="P226" i="3" s="1"/>
  <c r="K227" i="3"/>
  <c r="N227" i="3" s="1"/>
  <c r="P227" i="3" s="1"/>
  <c r="K228" i="3"/>
  <c r="N228" i="3" s="1"/>
  <c r="P228" i="3" s="1"/>
  <c r="R228" i="3" s="1"/>
  <c r="K249" i="3"/>
  <c r="N249" i="3" s="1"/>
  <c r="K285" i="3"/>
  <c r="N285" i="3" s="1"/>
  <c r="K7" i="3"/>
  <c r="N7" i="3" s="1"/>
  <c r="P7" i="3" s="1"/>
  <c r="K30" i="3"/>
  <c r="N30" i="3" s="1"/>
  <c r="P30" i="3" s="1"/>
  <c r="R30" i="3" s="1"/>
  <c r="K33" i="3"/>
  <c r="N33" i="3" s="1"/>
  <c r="K67" i="3"/>
  <c r="N67" i="3" s="1"/>
  <c r="P67" i="3" s="1"/>
  <c r="K85" i="3"/>
  <c r="N85" i="3" s="1"/>
  <c r="K91" i="3"/>
  <c r="N91" i="3" s="1"/>
  <c r="P91" i="3" s="1"/>
  <c r="K112" i="3"/>
  <c r="N112" i="3" s="1"/>
  <c r="K126" i="3"/>
  <c r="N126" i="3" s="1"/>
  <c r="P126" i="3" s="1"/>
  <c r="K129" i="3"/>
  <c r="N129" i="3" s="1"/>
  <c r="P129" i="3" s="1"/>
  <c r="K152" i="3"/>
  <c r="N152" i="3" s="1"/>
  <c r="P152" i="3" s="1"/>
  <c r="K158" i="3"/>
  <c r="N158" i="3" s="1"/>
  <c r="P158" i="3" s="1"/>
  <c r="K166" i="3"/>
  <c r="N166" i="3" s="1"/>
  <c r="P166" i="3" s="1"/>
  <c r="K206" i="3"/>
  <c r="N206" i="3" s="1"/>
  <c r="P206" i="3" s="1"/>
  <c r="K219" i="3"/>
  <c r="N219" i="3" s="1"/>
  <c r="P219" i="3" s="1"/>
  <c r="R219" i="3" s="1"/>
  <c r="K223" i="3"/>
  <c r="N223" i="3" s="1"/>
  <c r="P223" i="3" s="1"/>
  <c r="K230" i="3"/>
  <c r="N230" i="3" s="1"/>
  <c r="P230" i="3" s="1"/>
  <c r="K236" i="3"/>
  <c r="N236" i="3" s="1"/>
  <c r="P236" i="3" s="1"/>
  <c r="K242" i="3"/>
  <c r="N242" i="3" s="1"/>
  <c r="P242" i="3" s="1"/>
  <c r="K245" i="3"/>
  <c r="N245" i="3" s="1"/>
  <c r="P245" i="3" s="1"/>
  <c r="R245" i="3" s="1"/>
  <c r="K251" i="3"/>
  <c r="N251" i="3" s="1"/>
  <c r="P251" i="3" s="1"/>
  <c r="K274" i="3"/>
  <c r="N274" i="3" s="1"/>
  <c r="P274" i="3" s="1"/>
  <c r="K5" i="3"/>
  <c r="N5" i="3" s="1"/>
  <c r="P5" i="3" s="1"/>
  <c r="K31" i="3"/>
  <c r="N31" i="3" s="1"/>
  <c r="K79" i="3"/>
  <c r="N79" i="3" s="1"/>
  <c r="P79" i="3" s="1"/>
  <c r="K95" i="3"/>
  <c r="N95" i="3" s="1"/>
  <c r="K115" i="3"/>
  <c r="N115" i="3" s="1"/>
  <c r="P115" i="3" s="1"/>
  <c r="K125" i="3"/>
  <c r="N125" i="3" s="1"/>
  <c r="P125" i="3" s="1"/>
  <c r="K150" i="3"/>
  <c r="N150" i="3" s="1"/>
  <c r="P150" i="3" s="1"/>
  <c r="K156" i="3"/>
  <c r="N156" i="3" s="1"/>
  <c r="P156" i="3" s="1"/>
  <c r="K168" i="3"/>
  <c r="N168" i="3" s="1"/>
  <c r="P168" i="3" s="1"/>
  <c r="K200" i="3"/>
  <c r="N200" i="3" s="1"/>
  <c r="P200" i="3" s="1"/>
  <c r="K205" i="3"/>
  <c r="N205" i="3" s="1"/>
  <c r="P205" i="3" s="1"/>
  <c r="K217" i="3"/>
  <c r="N217" i="3" s="1"/>
  <c r="P217" i="3" s="1"/>
  <c r="R217" i="3" s="1"/>
  <c r="K220" i="3"/>
  <c r="N220" i="3" s="1"/>
  <c r="P220" i="3" s="1"/>
  <c r="R220" i="3" s="1"/>
  <c r="K231" i="3"/>
  <c r="N231" i="3" s="1"/>
  <c r="K246" i="3"/>
  <c r="N246" i="3" s="1"/>
  <c r="P246" i="3" s="1"/>
  <c r="K262" i="3"/>
  <c r="N262" i="3" s="1"/>
  <c r="P262" i="3" s="1"/>
  <c r="K264" i="3"/>
  <c r="N264" i="3" s="1"/>
  <c r="P264" i="3" s="1"/>
  <c r="K280" i="3"/>
  <c r="N280" i="3" s="1"/>
  <c r="P280" i="3" s="1"/>
  <c r="K9" i="3"/>
  <c r="N9" i="3" s="1"/>
  <c r="K11" i="3"/>
  <c r="N11" i="3" s="1"/>
  <c r="P11" i="3" s="1"/>
  <c r="K13" i="3"/>
  <c r="N13" i="3" s="1"/>
  <c r="P13" i="3" s="1"/>
  <c r="K23" i="3"/>
  <c r="N23" i="3" s="1"/>
  <c r="K15" i="3"/>
  <c r="N15" i="3" s="1"/>
  <c r="P15" i="3" s="1"/>
  <c r="K17" i="3"/>
  <c r="N17" i="3" s="1"/>
  <c r="P17" i="3" s="1"/>
  <c r="K19" i="3"/>
  <c r="N19" i="3" s="1"/>
  <c r="P19" i="3" s="1"/>
  <c r="K28" i="3"/>
  <c r="N28" i="3" s="1"/>
  <c r="K35" i="3"/>
  <c r="N35" i="3" s="1"/>
  <c r="P35" i="3" s="1"/>
  <c r="R35" i="3" s="1"/>
  <c r="K6" i="3"/>
  <c r="N6" i="3" s="1"/>
  <c r="P6" i="3" s="1"/>
  <c r="K25" i="3"/>
  <c r="N25" i="3" s="1"/>
  <c r="K75" i="3"/>
  <c r="N75" i="3" s="1"/>
  <c r="P75" i="3" s="1"/>
  <c r="K146" i="3"/>
  <c r="N146" i="3" s="1"/>
  <c r="P146" i="3" s="1"/>
  <c r="K149" i="3"/>
  <c r="N149" i="3" s="1"/>
  <c r="P149" i="3" s="1"/>
  <c r="K159" i="3"/>
  <c r="N159" i="3" s="1"/>
  <c r="P159" i="3" s="1"/>
  <c r="K163" i="3"/>
  <c r="N163" i="3" s="1"/>
  <c r="P163" i="3" s="1"/>
  <c r="K199" i="3"/>
  <c r="N199" i="3" s="1"/>
  <c r="P199" i="3" s="1"/>
  <c r="K212" i="3"/>
  <c r="N212" i="3" s="1"/>
  <c r="P212" i="3" s="1"/>
  <c r="K229" i="3"/>
  <c r="N229" i="3" s="1"/>
  <c r="K233" i="3"/>
  <c r="N233" i="3" s="1"/>
  <c r="P233" i="3" s="1"/>
  <c r="K266" i="3"/>
  <c r="N266" i="3" s="1"/>
  <c r="P266" i="3" s="1"/>
  <c r="K24" i="3"/>
  <c r="N24" i="3" s="1"/>
  <c r="P24" i="3" s="1"/>
  <c r="R24" i="3" s="1"/>
  <c r="K34" i="3"/>
  <c r="N34" i="3" s="1"/>
  <c r="P34" i="3" s="1"/>
  <c r="R34" i="3" s="1"/>
  <c r="K86" i="3"/>
  <c r="N86" i="3" s="1"/>
  <c r="P86" i="3" s="1"/>
  <c r="K161" i="3"/>
  <c r="N161" i="3" s="1"/>
  <c r="P161" i="3" s="1"/>
  <c r="K204" i="3"/>
  <c r="N204" i="3" s="1"/>
  <c r="P204" i="3" s="1"/>
  <c r="K214" i="3"/>
  <c r="N214" i="3" s="1"/>
  <c r="P214" i="3" s="1"/>
  <c r="R214" i="3" s="1"/>
  <c r="K218" i="3"/>
  <c r="N218" i="3" s="1"/>
  <c r="P218" i="3" s="1"/>
  <c r="R218" i="3" s="1"/>
  <c r="K222" i="3"/>
  <c r="N222" i="3" s="1"/>
  <c r="P222" i="3" s="1"/>
  <c r="R222" i="3" s="1"/>
  <c r="K248" i="3"/>
  <c r="N248" i="3" s="1"/>
  <c r="P248" i="3" s="1"/>
  <c r="K263" i="3"/>
  <c r="N263" i="3" s="1"/>
  <c r="P263" i="3" s="1"/>
  <c r="K265" i="3"/>
  <c r="N265" i="3" s="1"/>
  <c r="P265" i="3" s="1"/>
  <c r="K284" i="3"/>
  <c r="N284" i="3" s="1"/>
  <c r="P284" i="3" s="1"/>
  <c r="K8" i="3"/>
  <c r="N8" i="3" s="1"/>
  <c r="P8" i="3" s="1"/>
  <c r="K12" i="3"/>
  <c r="N12" i="3" s="1"/>
  <c r="P12" i="3" s="1"/>
  <c r="K73" i="3"/>
  <c r="N73" i="3" s="1"/>
  <c r="P73" i="3" s="1"/>
  <c r="K81" i="3"/>
  <c r="N81" i="3" s="1"/>
  <c r="P81" i="3" s="1"/>
  <c r="K99" i="3"/>
  <c r="N99" i="3" s="1"/>
  <c r="P99" i="3" s="1"/>
  <c r="K113" i="3"/>
  <c r="N113" i="3" s="1"/>
  <c r="P113" i="3" s="1"/>
  <c r="K16" i="3"/>
  <c r="N16" i="3" s="1"/>
  <c r="P16" i="3" s="1"/>
  <c r="K69" i="3"/>
  <c r="N69" i="3" s="1"/>
  <c r="P69" i="3" s="1"/>
  <c r="K92" i="3"/>
  <c r="N92" i="3" s="1"/>
  <c r="P92" i="3" s="1"/>
  <c r="K130" i="3"/>
  <c r="N130" i="3" s="1"/>
  <c r="P130" i="3" s="1"/>
  <c r="K153" i="3"/>
  <c r="N153" i="3" s="1"/>
  <c r="P153" i="3" s="1"/>
  <c r="K160" i="3"/>
  <c r="N160" i="3" s="1"/>
  <c r="P160" i="3" s="1"/>
  <c r="K211" i="3"/>
  <c r="N211" i="3" s="1"/>
  <c r="P211" i="3" s="1"/>
  <c r="K237" i="3"/>
  <c r="N237" i="3" s="1"/>
  <c r="P237" i="3" s="1"/>
  <c r="K247" i="3"/>
  <c r="N247" i="3" s="1"/>
  <c r="P247" i="3" s="1"/>
  <c r="K277" i="3"/>
  <c r="N277" i="3" s="1"/>
  <c r="K26" i="3"/>
  <c r="N26" i="3" s="1"/>
  <c r="P26" i="3" s="1"/>
  <c r="K94" i="3"/>
  <c r="N94" i="3" s="1"/>
  <c r="P94" i="3" s="1"/>
  <c r="K110" i="3"/>
  <c r="N110" i="3" s="1"/>
  <c r="P110" i="3" s="1"/>
  <c r="K128" i="3"/>
  <c r="N128" i="3" s="1"/>
  <c r="P128" i="3" s="1"/>
  <c r="K155" i="3"/>
  <c r="N155" i="3" s="1"/>
  <c r="P155" i="3" s="1"/>
  <c r="K162" i="3"/>
  <c r="N162" i="3" s="1"/>
  <c r="P162" i="3" s="1"/>
  <c r="K167" i="3"/>
  <c r="N167" i="3" s="1"/>
  <c r="P167" i="3" s="1"/>
  <c r="K201" i="3"/>
  <c r="N201" i="3" s="1"/>
  <c r="K215" i="3"/>
  <c r="N215" i="3" s="1"/>
  <c r="P215" i="3" s="1"/>
  <c r="R215" i="3" s="1"/>
  <c r="K221" i="3"/>
  <c r="N221" i="3" s="1"/>
  <c r="P221" i="3" s="1"/>
  <c r="R221" i="3" s="1"/>
  <c r="K273" i="3"/>
  <c r="N273" i="3" s="1"/>
  <c r="P273" i="3" s="1"/>
  <c r="K275" i="3"/>
  <c r="N275" i="3" s="1"/>
  <c r="K279" i="3"/>
  <c r="N279" i="3" s="1"/>
  <c r="P279" i="3" s="1"/>
  <c r="W245" i="18"/>
  <c r="Y245" i="18" s="1"/>
  <c r="X245" i="18"/>
  <c r="V245" i="18"/>
  <c r="P245" i="18"/>
  <c r="M236" i="18"/>
  <c r="O236" i="18"/>
  <c r="K102" i="19" s="1"/>
  <c r="R236" i="18" s="1"/>
  <c r="U215" i="18"/>
  <c r="P215" i="18"/>
  <c r="X215" i="18"/>
  <c r="N215" i="18"/>
  <c r="S215" i="18"/>
  <c r="V215" i="18"/>
  <c r="W215" i="18"/>
  <c r="M202" i="18"/>
  <c r="O202" i="18"/>
  <c r="K240" i="19" s="1"/>
  <c r="R202" i="18" s="1"/>
  <c r="S202" i="18" s="1"/>
  <c r="Y196" i="18"/>
  <c r="Y108" i="18"/>
  <c r="S107" i="18"/>
  <c r="T107" i="18"/>
  <c r="J113" i="3"/>
  <c r="F28" i="23"/>
  <c r="C28" i="23"/>
  <c r="D25" i="23"/>
  <c r="J27" i="3"/>
  <c r="P27" i="3" s="1"/>
  <c r="D21" i="23"/>
  <c r="J23" i="3"/>
  <c r="L7" i="16"/>
  <c r="M115" i="19"/>
  <c r="O115" i="19" s="1"/>
  <c r="P115" i="19" s="1"/>
  <c r="M114" i="19"/>
  <c r="O114" i="19" s="1"/>
  <c r="M113" i="19"/>
  <c r="O113" i="19" s="1"/>
  <c r="P113" i="19" s="1"/>
  <c r="V246" i="18"/>
  <c r="P246" i="18"/>
  <c r="S246" i="18"/>
  <c r="O228" i="18"/>
  <c r="K320" i="19" s="1"/>
  <c r="R228" i="18" s="1"/>
  <c r="M228" i="18"/>
  <c r="L97" i="19"/>
  <c r="T205" i="18"/>
  <c r="O188" i="18"/>
  <c r="K179" i="19" s="1"/>
  <c r="R188" i="18" s="1"/>
  <c r="M188" i="18"/>
  <c r="O187" i="18"/>
  <c r="K246" i="19" s="1"/>
  <c r="R187" i="18" s="1"/>
  <c r="S187" i="18" s="1"/>
  <c r="M187" i="18"/>
  <c r="O119" i="18"/>
  <c r="K220" i="19" s="1"/>
  <c r="R119" i="18" s="1"/>
  <c r="S119" i="18" s="1"/>
  <c r="M119" i="18"/>
  <c r="I9" i="1"/>
  <c r="J234" i="3"/>
  <c r="P234" i="3" s="1"/>
  <c r="R234" i="3" s="1"/>
  <c r="L61" i="16"/>
  <c r="J191" i="3"/>
  <c r="L39" i="16"/>
  <c r="J279" i="3"/>
  <c r="J149" i="16"/>
  <c r="K149" i="16"/>
  <c r="L149" i="16" s="1"/>
  <c r="J162" i="3"/>
  <c r="P52" i="3"/>
  <c r="P49" i="3"/>
  <c r="J138" i="16"/>
  <c r="P43" i="3"/>
  <c r="Y246" i="18"/>
  <c r="M244" i="18"/>
  <c r="O244" i="18"/>
  <c r="K112" i="19" s="1"/>
  <c r="R244" i="18" s="1"/>
  <c r="T233" i="18"/>
  <c r="W229" i="18"/>
  <c r="U229" i="18"/>
  <c r="Y229" i="18" s="1"/>
  <c r="N229" i="18"/>
  <c r="X229" i="18"/>
  <c r="P229" i="18"/>
  <c r="Y211" i="18"/>
  <c r="W206" i="18"/>
  <c r="X206" i="18"/>
  <c r="P206" i="18"/>
  <c r="S206" i="18"/>
  <c r="U206" i="18"/>
  <c r="O193" i="18"/>
  <c r="K248" i="19" s="1"/>
  <c r="R193" i="18" s="1"/>
  <c r="S193" i="18" s="1"/>
  <c r="M193" i="18"/>
  <c r="S168" i="18"/>
  <c r="T168" i="18"/>
  <c r="Y83" i="18"/>
  <c r="I280" i="1"/>
  <c r="F8" i="20"/>
  <c r="M241" i="18"/>
  <c r="O241" i="18"/>
  <c r="K106" i="19" s="1"/>
  <c r="R241" i="18" s="1"/>
  <c r="S241" i="18" s="1"/>
  <c r="S212" i="18"/>
  <c r="T212" i="18"/>
  <c r="O206" i="18"/>
  <c r="K98" i="19" s="1"/>
  <c r="R206" i="18" s="1"/>
  <c r="M206" i="18"/>
  <c r="S180" i="18"/>
  <c r="T180" i="18"/>
  <c r="L25" i="19"/>
  <c r="P25" i="19" s="1"/>
  <c r="L9" i="19"/>
  <c r="P9" i="19" s="1"/>
  <c r="T154" i="18"/>
  <c r="U138" i="18"/>
  <c r="X138" i="18"/>
  <c r="W138" i="18"/>
  <c r="N138" i="18"/>
  <c r="P138" i="18"/>
  <c r="V138" i="18"/>
  <c r="S121" i="18"/>
  <c r="T121" i="18"/>
  <c r="Y120" i="18"/>
  <c r="L89" i="19"/>
  <c r="P89" i="19" s="1"/>
  <c r="T88" i="18"/>
  <c r="W240" i="18"/>
  <c r="P240" i="18"/>
  <c r="S240" i="18"/>
  <c r="U240" i="18"/>
  <c r="V240" i="18"/>
  <c r="U234" i="18"/>
  <c r="S234" i="18"/>
  <c r="P234" i="18"/>
  <c r="L124" i="19"/>
  <c r="P124" i="19" s="1"/>
  <c r="T216" i="18"/>
  <c r="N201" i="18"/>
  <c r="V201" i="18"/>
  <c r="S201" i="18"/>
  <c r="W201" i="18"/>
  <c r="U201" i="18"/>
  <c r="X201" i="18"/>
  <c r="U189" i="18"/>
  <c r="X189" i="18"/>
  <c r="S189" i="18"/>
  <c r="V189" i="18"/>
  <c r="N189" i="18"/>
  <c r="P189" i="18"/>
  <c r="S171" i="18"/>
  <c r="T171" i="18"/>
  <c r="L19" i="19"/>
  <c r="P19" i="19" s="1"/>
  <c r="T141" i="18"/>
  <c r="O138" i="18"/>
  <c r="K157" i="19" s="1"/>
  <c r="R138" i="18" s="1"/>
  <c r="S138" i="18" s="1"/>
  <c r="M138" i="18"/>
  <c r="Y124" i="18"/>
  <c r="S123" i="18"/>
  <c r="T123" i="18"/>
  <c r="O99" i="18"/>
  <c r="K276" i="19" s="1"/>
  <c r="R99" i="18" s="1"/>
  <c r="M99" i="18"/>
  <c r="M94" i="18"/>
  <c r="O94" i="18"/>
  <c r="K205" i="19" s="1"/>
  <c r="R94" i="18" s="1"/>
  <c r="L167" i="16"/>
  <c r="L135" i="16"/>
  <c r="J93" i="3"/>
  <c r="L100" i="16"/>
  <c r="J214" i="3"/>
  <c r="L68" i="16"/>
  <c r="L59" i="16"/>
  <c r="L57" i="16"/>
  <c r="J38" i="3"/>
  <c r="P57" i="3"/>
  <c r="L24" i="16"/>
  <c r="J231" i="3"/>
  <c r="J133" i="16"/>
  <c r="K133" i="16"/>
  <c r="L133" i="16" s="1"/>
  <c r="P42" i="3"/>
  <c r="K207" i="3"/>
  <c r="N207" i="3" s="1"/>
  <c r="P207" i="3" s="1"/>
  <c r="K88" i="3"/>
  <c r="N88" i="3" s="1"/>
  <c r="P88" i="3" s="1"/>
  <c r="K90" i="3"/>
  <c r="N90" i="3" s="1"/>
  <c r="P90" i="3" s="1"/>
  <c r="Y241" i="18"/>
  <c r="X234" i="18"/>
  <c r="S229" i="18"/>
  <c r="L289" i="19"/>
  <c r="P289" i="19" s="1"/>
  <c r="W173" i="18"/>
  <c r="V173" i="18"/>
  <c r="N173" i="18"/>
  <c r="P173" i="18"/>
  <c r="S173" i="18"/>
  <c r="X173" i="18"/>
  <c r="U173" i="18"/>
  <c r="Z173" i="18"/>
  <c r="W159" i="18"/>
  <c r="X159" i="18"/>
  <c r="S159" i="18"/>
  <c r="N159" i="18"/>
  <c r="P159" i="18"/>
  <c r="U159" i="18"/>
  <c r="V159" i="18"/>
  <c r="M126" i="18"/>
  <c r="O126" i="18"/>
  <c r="K217" i="19" s="1"/>
  <c r="R126" i="18" s="1"/>
  <c r="L214" i="19"/>
  <c r="T172" i="18"/>
  <c r="M135" i="18"/>
  <c r="T133" i="18"/>
  <c r="Y131" i="18"/>
  <c r="L292" i="19"/>
  <c r="P292" i="19" s="1"/>
  <c r="T109" i="18"/>
  <c r="L285" i="19"/>
  <c r="P285" i="19" s="1"/>
  <c r="T106" i="18"/>
  <c r="L306" i="19"/>
  <c r="P306" i="19" s="1"/>
  <c r="R82" i="1"/>
  <c r="Q82" i="1"/>
  <c r="J124" i="2"/>
  <c r="L124" i="2" s="1"/>
  <c r="M123" i="2"/>
  <c r="J119" i="2"/>
  <c r="L119" i="2" s="1"/>
  <c r="J109" i="2"/>
  <c r="L109" i="2" s="1"/>
  <c r="J94" i="2"/>
  <c r="L94" i="2" s="1"/>
  <c r="J84" i="2"/>
  <c r="L84" i="2" s="1"/>
  <c r="M83" i="2"/>
  <c r="O83" i="2" s="1"/>
  <c r="J79" i="2"/>
  <c r="L79" i="2" s="1"/>
  <c r="J69" i="2"/>
  <c r="L69" i="2" s="1"/>
  <c r="J54" i="2"/>
  <c r="L54" i="2" s="1"/>
  <c r="J20" i="2"/>
  <c r="L20" i="2" s="1"/>
  <c r="M19" i="2"/>
  <c r="J15" i="2"/>
  <c r="L15" i="2" s="1"/>
  <c r="D19" i="23"/>
  <c r="J31" i="3"/>
  <c r="K197" i="16"/>
  <c r="L197" i="16" s="1"/>
  <c r="K181" i="16"/>
  <c r="L181" i="16" s="1"/>
  <c r="K101" i="16"/>
  <c r="L101" i="16" s="1"/>
  <c r="K69" i="16"/>
  <c r="L69" i="16" s="1"/>
  <c r="K21" i="16"/>
  <c r="L21" i="16" s="1"/>
  <c r="J6" i="16"/>
  <c r="P55" i="3"/>
  <c r="P46" i="3"/>
  <c r="F167" i="20"/>
  <c r="M233" i="18"/>
  <c r="O230" i="18"/>
  <c r="K154" i="19" s="1"/>
  <c r="R230" i="18" s="1"/>
  <c r="S230" i="18" s="1"/>
  <c r="M214" i="18"/>
  <c r="O214" i="18"/>
  <c r="K289" i="19" s="1"/>
  <c r="R214" i="18" s="1"/>
  <c r="S214" i="18" s="1"/>
  <c r="T193" i="18"/>
  <c r="O184" i="18"/>
  <c r="K239" i="19" s="1"/>
  <c r="R184" i="18" s="1"/>
  <c r="S184" i="18" s="1"/>
  <c r="M184" i="18"/>
  <c r="Y169" i="18"/>
  <c r="U161" i="18"/>
  <c r="S161" i="18"/>
  <c r="W161" i="18"/>
  <c r="N161" i="18"/>
  <c r="P161" i="18"/>
  <c r="W148" i="18"/>
  <c r="S148" i="18"/>
  <c r="V148" i="18"/>
  <c r="N148" i="18"/>
  <c r="P148" i="18"/>
  <c r="M136" i="18"/>
  <c r="O136" i="18"/>
  <c r="K165" i="19" s="1"/>
  <c r="R136" i="18" s="1"/>
  <c r="O114" i="18"/>
  <c r="K83" i="19" s="1"/>
  <c r="R114" i="18" s="1"/>
  <c r="S114" i="18" s="1"/>
  <c r="M114" i="18"/>
  <c r="L206" i="19"/>
  <c r="P206" i="19" s="1"/>
  <c r="T95" i="18"/>
  <c r="U81" i="18"/>
  <c r="P81" i="18"/>
  <c r="X81" i="18"/>
  <c r="N81" i="18"/>
  <c r="V81" i="18"/>
  <c r="W81" i="18"/>
  <c r="S81" i="18"/>
  <c r="S67" i="18"/>
  <c r="T67" i="18"/>
  <c r="M41" i="18"/>
  <c r="O41" i="18"/>
  <c r="K47" i="19" s="1"/>
  <c r="R41" i="18" s="1"/>
  <c r="S41" i="18" s="1"/>
  <c r="V243" i="18"/>
  <c r="Y243" i="18" s="1"/>
  <c r="P243" i="18"/>
  <c r="L211" i="19"/>
  <c r="P211" i="19" s="1"/>
  <c r="T211" i="18"/>
  <c r="U210" i="18"/>
  <c r="P210" i="18"/>
  <c r="S210" i="18"/>
  <c r="U203" i="18"/>
  <c r="X203" i="18"/>
  <c r="P203" i="18"/>
  <c r="S203" i="18"/>
  <c r="W200" i="18"/>
  <c r="U200" i="18"/>
  <c r="X200" i="18"/>
  <c r="N200" i="18"/>
  <c r="P200" i="18"/>
  <c r="Y197" i="18"/>
  <c r="S163" i="18"/>
  <c r="T163" i="18"/>
  <c r="U153" i="18"/>
  <c r="W153" i="18"/>
  <c r="P153" i="18"/>
  <c r="S153" i="18"/>
  <c r="N153" i="18"/>
  <c r="V153" i="18"/>
  <c r="T143" i="18"/>
  <c r="L14" i="19"/>
  <c r="P14" i="19" s="1"/>
  <c r="W116" i="18"/>
  <c r="P116" i="18"/>
  <c r="S116" i="18"/>
  <c r="U116" i="18"/>
  <c r="Y116" i="18" s="1"/>
  <c r="N116" i="18"/>
  <c r="U110" i="18"/>
  <c r="P110" i="18"/>
  <c r="X110" i="18"/>
  <c r="N110" i="18"/>
  <c r="V110" i="18"/>
  <c r="W110" i="18"/>
  <c r="O103" i="18"/>
  <c r="K161" i="19" s="1"/>
  <c r="R103" i="18" s="1"/>
  <c r="S103" i="18" s="1"/>
  <c r="M103" i="18"/>
  <c r="L275" i="19"/>
  <c r="T97" i="18"/>
  <c r="M91" i="18"/>
  <c r="O91" i="18"/>
  <c r="K122" i="19" s="1"/>
  <c r="R91" i="18" s="1"/>
  <c r="X90" i="18"/>
  <c r="P90" i="18"/>
  <c r="U90" i="18"/>
  <c r="S90" i="18"/>
  <c r="V90" i="18"/>
  <c r="O50" i="18"/>
  <c r="K207" i="19" s="1"/>
  <c r="R50" i="18" s="1"/>
  <c r="S50" i="18" s="1"/>
  <c r="M50" i="18"/>
  <c r="T47" i="18"/>
  <c r="L57" i="19"/>
  <c r="Y46" i="18"/>
  <c r="S43" i="18"/>
  <c r="T43" i="18"/>
  <c r="F9" i="20"/>
  <c r="H9" i="20" s="1"/>
  <c r="Y235" i="18"/>
  <c r="N230" i="18"/>
  <c r="V230" i="18"/>
  <c r="W230" i="18"/>
  <c r="P230" i="18"/>
  <c r="W224" i="18"/>
  <c r="X224" i="18"/>
  <c r="Y224" i="18" s="1"/>
  <c r="P224" i="18"/>
  <c r="U218" i="18"/>
  <c r="Y218" i="18" s="1"/>
  <c r="W218" i="18"/>
  <c r="P218" i="18"/>
  <c r="X210" i="18"/>
  <c r="O208" i="18"/>
  <c r="K99" i="19" s="1"/>
  <c r="R208" i="18" s="1"/>
  <c r="S208" i="18" s="1"/>
  <c r="M208" i="18"/>
  <c r="W203" i="18"/>
  <c r="U194" i="18"/>
  <c r="Y194" i="18" s="1"/>
  <c r="P194" i="18"/>
  <c r="S194" i="18"/>
  <c r="V194" i="18"/>
  <c r="X194" i="18"/>
  <c r="L178" i="19"/>
  <c r="P178" i="19" s="1"/>
  <c r="N125" i="18"/>
  <c r="V125" i="18"/>
  <c r="U125" i="18"/>
  <c r="Y125" i="18" s="1"/>
  <c r="W125" i="18"/>
  <c r="P125" i="18"/>
  <c r="S125" i="18"/>
  <c r="V98" i="18"/>
  <c r="Y98" i="18" s="1"/>
  <c r="N98" i="18"/>
  <c r="W98" i="18"/>
  <c r="P98" i="18"/>
  <c r="S98" i="18"/>
  <c r="X98" i="18"/>
  <c r="N93" i="18"/>
  <c r="V93" i="18"/>
  <c r="U93" i="18"/>
  <c r="W93" i="18"/>
  <c r="P93" i="18"/>
  <c r="S93" i="18"/>
  <c r="X93" i="18"/>
  <c r="U73" i="18"/>
  <c r="P73" i="18"/>
  <c r="X73" i="18"/>
  <c r="N73" i="18"/>
  <c r="S73" i="18"/>
  <c r="V73" i="18"/>
  <c r="T25" i="18"/>
  <c r="L266" i="19"/>
  <c r="Q305" i="1"/>
  <c r="R305" i="1"/>
  <c r="M11" i="2"/>
  <c r="O11" i="2" s="1"/>
  <c r="J9" i="2"/>
  <c r="L9" i="2" s="1"/>
  <c r="J17" i="2"/>
  <c r="L17" i="2" s="1"/>
  <c r="J33" i="2"/>
  <c r="L33" i="2" s="1"/>
  <c r="J57" i="2"/>
  <c r="L57" i="2" s="1"/>
  <c r="J65" i="2"/>
  <c r="L65" i="2" s="1"/>
  <c r="J73" i="2"/>
  <c r="L73" i="2" s="1"/>
  <c r="J81" i="2"/>
  <c r="L81" i="2" s="1"/>
  <c r="J97" i="2"/>
  <c r="L97" i="2" s="1"/>
  <c r="J105" i="2"/>
  <c r="L105" i="2" s="1"/>
  <c r="J113" i="2"/>
  <c r="L113" i="2" s="1"/>
  <c r="J121" i="2"/>
  <c r="L121" i="2" s="1"/>
  <c r="J129" i="2"/>
  <c r="L129" i="2" s="1"/>
  <c r="J137" i="2"/>
  <c r="L137" i="2" s="1"/>
  <c r="J20" i="3"/>
  <c r="L191" i="16"/>
  <c r="J194" i="3"/>
  <c r="D29" i="23"/>
  <c r="L159" i="16"/>
  <c r="J103" i="3"/>
  <c r="L127" i="16"/>
  <c r="L95" i="16"/>
  <c r="L79" i="16"/>
  <c r="L31" i="16"/>
  <c r="J52" i="3"/>
  <c r="J11" i="3"/>
  <c r="S243" i="18"/>
  <c r="U239" i="18"/>
  <c r="Y239" i="18" s="1"/>
  <c r="P239" i="18"/>
  <c r="X239" i="18"/>
  <c r="W239" i="18"/>
  <c r="U230" i="18"/>
  <c r="Y230" i="18" s="1"/>
  <c r="V224" i="18"/>
  <c r="O224" i="18"/>
  <c r="K197" i="19" s="1"/>
  <c r="R224" i="18" s="1"/>
  <c r="S224" i="18" s="1"/>
  <c r="M224" i="18"/>
  <c r="U223" i="18"/>
  <c r="Y223" i="18" s="1"/>
  <c r="P223" i="18"/>
  <c r="X223" i="18"/>
  <c r="W223" i="18"/>
  <c r="N223" i="18"/>
  <c r="L141" i="19"/>
  <c r="T222" i="18"/>
  <c r="V218" i="18"/>
  <c r="L302" i="19"/>
  <c r="P302" i="19" s="1"/>
  <c r="T217" i="18"/>
  <c r="W213" i="18"/>
  <c r="S213" i="18"/>
  <c r="U213" i="18"/>
  <c r="Y213" i="18" s="1"/>
  <c r="V213" i="18"/>
  <c r="W210" i="18"/>
  <c r="Y208" i="18"/>
  <c r="L244" i="19"/>
  <c r="T204" i="18"/>
  <c r="V203" i="18"/>
  <c r="V200" i="18"/>
  <c r="T187" i="18"/>
  <c r="L246" i="19"/>
  <c r="L245" i="19"/>
  <c r="T186" i="18"/>
  <c r="S182" i="18"/>
  <c r="T182" i="18"/>
  <c r="L252" i="19"/>
  <c r="P252" i="19" s="1"/>
  <c r="T176" i="18"/>
  <c r="X161" i="18"/>
  <c r="U148" i="18"/>
  <c r="Y140" i="18"/>
  <c r="S139" i="18"/>
  <c r="T139" i="18"/>
  <c r="X116" i="18"/>
  <c r="M93" i="18"/>
  <c r="O93" i="18"/>
  <c r="K55" i="19" s="1"/>
  <c r="R93" i="18" s="1"/>
  <c r="W90" i="18"/>
  <c r="W63" i="18"/>
  <c r="S63" i="18"/>
  <c r="P63" i="18"/>
  <c r="U63" i="18"/>
  <c r="X63" i="18"/>
  <c r="N63" i="18"/>
  <c r="U60" i="18"/>
  <c r="W60" i="18"/>
  <c r="P60" i="18"/>
  <c r="X60" i="18"/>
  <c r="S60" i="18"/>
  <c r="V60" i="18"/>
  <c r="L268" i="19"/>
  <c r="T52" i="18"/>
  <c r="O183" i="18"/>
  <c r="K241" i="19" s="1"/>
  <c r="R183" i="18" s="1"/>
  <c r="S183" i="18" s="1"/>
  <c r="X179" i="18"/>
  <c r="U179" i="18"/>
  <c r="Y179" i="18" s="1"/>
  <c r="L199" i="19"/>
  <c r="P199" i="19" s="1"/>
  <c r="T178" i="18"/>
  <c r="U166" i="18"/>
  <c r="P166" i="18"/>
  <c r="X166" i="18"/>
  <c r="W166" i="18"/>
  <c r="W164" i="18"/>
  <c r="U164" i="18"/>
  <c r="Y164" i="18" s="1"/>
  <c r="U158" i="18"/>
  <c r="Y158" i="18" s="1"/>
  <c r="P158" i="18"/>
  <c r="X158" i="18"/>
  <c r="N158" i="18"/>
  <c r="W156" i="18"/>
  <c r="S156" i="18"/>
  <c r="U156" i="18"/>
  <c r="O151" i="18"/>
  <c r="K18" i="19" s="1"/>
  <c r="R151" i="18" s="1"/>
  <c r="S151" i="18" s="1"/>
  <c r="M151" i="18"/>
  <c r="U150" i="18"/>
  <c r="Y150" i="18" s="1"/>
  <c r="P150" i="18"/>
  <c r="X150" i="18"/>
  <c r="N150" i="18"/>
  <c r="L16" i="19"/>
  <c r="P16" i="19" s="1"/>
  <c r="T149" i="18"/>
  <c r="U137" i="18"/>
  <c r="N137" i="18"/>
  <c r="X137" i="18"/>
  <c r="P137" i="18"/>
  <c r="L87" i="19"/>
  <c r="P87" i="19" s="1"/>
  <c r="T122" i="18"/>
  <c r="L281" i="19"/>
  <c r="P281" i="19" s="1"/>
  <c r="T117" i="18"/>
  <c r="Y114" i="18"/>
  <c r="O111" i="18"/>
  <c r="K80" i="19" s="1"/>
  <c r="R111" i="18" s="1"/>
  <c r="S111" i="18" s="1"/>
  <c r="M111" i="18"/>
  <c r="M109" i="18"/>
  <c r="T108" i="18"/>
  <c r="L65" i="19"/>
  <c r="U105" i="18"/>
  <c r="Y105" i="18" s="1"/>
  <c r="P105" i="18"/>
  <c r="W105" i="18"/>
  <c r="L186" i="19"/>
  <c r="U102" i="18"/>
  <c r="P102" i="18"/>
  <c r="X102" i="18"/>
  <c r="S102" i="18"/>
  <c r="V102" i="18"/>
  <c r="L185" i="19"/>
  <c r="T89" i="18"/>
  <c r="M88" i="18"/>
  <c r="W82" i="18"/>
  <c r="X82" i="18"/>
  <c r="S82" i="18"/>
  <c r="V82" i="18"/>
  <c r="Y82" i="18" s="1"/>
  <c r="L204" i="19"/>
  <c r="P204" i="19" s="1"/>
  <c r="T72" i="18"/>
  <c r="L94" i="19"/>
  <c r="P94" i="19" s="1"/>
  <c r="L286" i="19"/>
  <c r="P286" i="19" s="1"/>
  <c r="S59" i="18"/>
  <c r="T59" i="18"/>
  <c r="L251" i="19"/>
  <c r="P251" i="19" s="1"/>
  <c r="I111" i="1"/>
  <c r="U247" i="18"/>
  <c r="P247" i="18"/>
  <c r="X247" i="18"/>
  <c r="M232" i="18"/>
  <c r="W227" i="18"/>
  <c r="Y227" i="18" s="1"/>
  <c r="W226" i="18"/>
  <c r="Y226" i="18" s="1"/>
  <c r="T225" i="18"/>
  <c r="N222" i="18"/>
  <c r="V222" i="18"/>
  <c r="Y222" i="18" s="1"/>
  <c r="N208" i="18"/>
  <c r="P207" i="18"/>
  <c r="U207" i="18"/>
  <c r="X207" i="18"/>
  <c r="M204" i="18"/>
  <c r="L240" i="19"/>
  <c r="T202" i="18"/>
  <c r="Y198" i="18"/>
  <c r="W192" i="18"/>
  <c r="V192" i="18"/>
  <c r="Y192" i="18" s="1"/>
  <c r="V190" i="18"/>
  <c r="Y190" i="18" s="1"/>
  <c r="M186" i="18"/>
  <c r="O186" i="18"/>
  <c r="K245" i="19" s="1"/>
  <c r="R186" i="18" s="1"/>
  <c r="S186" i="18" s="1"/>
  <c r="O172" i="18"/>
  <c r="K214" i="19" s="1"/>
  <c r="R172" i="18" s="1"/>
  <c r="S172" i="18" s="1"/>
  <c r="P6" i="19"/>
  <c r="S166" i="18"/>
  <c r="V158" i="18"/>
  <c r="O157" i="18"/>
  <c r="K25" i="19" s="1"/>
  <c r="R157" i="18" s="1"/>
  <c r="S157" i="18" s="1"/>
  <c r="W150" i="18"/>
  <c r="M143" i="18"/>
  <c r="W137" i="18"/>
  <c r="Y135" i="18"/>
  <c r="M120" i="18"/>
  <c r="V105" i="18"/>
  <c r="L288" i="19"/>
  <c r="P288" i="19" s="1"/>
  <c r="T100" i="18"/>
  <c r="W95" i="18"/>
  <c r="S95" i="18"/>
  <c r="V95" i="18"/>
  <c r="Y95" i="18" s="1"/>
  <c r="N95" i="18"/>
  <c r="Y75" i="18"/>
  <c r="M73" i="18"/>
  <c r="O73" i="18"/>
  <c r="K69" i="19" s="1"/>
  <c r="R73" i="18" s="1"/>
  <c r="U69" i="18"/>
  <c r="W69" i="18"/>
  <c r="N69" i="18"/>
  <c r="X69" i="18"/>
  <c r="S69" i="18"/>
  <c r="U65" i="18"/>
  <c r="P65" i="18"/>
  <c r="X65" i="18"/>
  <c r="N65" i="18"/>
  <c r="V65" i="18"/>
  <c r="W65" i="18"/>
  <c r="T64" i="18"/>
  <c r="O7" i="18"/>
  <c r="K127" i="19" s="1"/>
  <c r="R7" i="18" s="1"/>
  <c r="S7" i="18" s="1"/>
  <c r="M7" i="18"/>
  <c r="M6" i="18"/>
  <c r="O6" i="18"/>
  <c r="I59" i="1"/>
  <c r="O196" i="18"/>
  <c r="K78" i="19" s="1"/>
  <c r="R196" i="18" s="1"/>
  <c r="S196" i="18" s="1"/>
  <c r="O192" i="18"/>
  <c r="K178" i="19" s="1"/>
  <c r="R192" i="18" s="1"/>
  <c r="S192" i="18" s="1"/>
  <c r="M192" i="18"/>
  <c r="N185" i="18"/>
  <c r="V185" i="18"/>
  <c r="S185" i="18"/>
  <c r="W185" i="18"/>
  <c r="P185" i="18"/>
  <c r="P179" i="18"/>
  <c r="U178" i="18"/>
  <c r="N178" i="18"/>
  <c r="X178" i="18"/>
  <c r="Y176" i="18"/>
  <c r="T175" i="18"/>
  <c r="Y170" i="18"/>
  <c r="N165" i="18"/>
  <c r="V165" i="18"/>
  <c r="W165" i="18"/>
  <c r="S165" i="18"/>
  <c r="P164" i="18"/>
  <c r="S158" i="18"/>
  <c r="P156" i="18"/>
  <c r="V150" i="18"/>
  <c r="Y139" i="18"/>
  <c r="X130" i="18"/>
  <c r="P130" i="18"/>
  <c r="U130" i="18"/>
  <c r="Y130" i="18" s="1"/>
  <c r="W127" i="18"/>
  <c r="S127" i="18"/>
  <c r="V127" i="18"/>
  <c r="L83" i="19"/>
  <c r="P83" i="19" s="1"/>
  <c r="T114" i="18"/>
  <c r="T103" i="18"/>
  <c r="L161" i="19"/>
  <c r="P161" i="19" s="1"/>
  <c r="N101" i="18"/>
  <c r="V101" i="18"/>
  <c r="P101" i="18"/>
  <c r="S101" i="18"/>
  <c r="U101" i="18"/>
  <c r="Y97" i="18"/>
  <c r="O72" i="18"/>
  <c r="K94" i="19" s="1"/>
  <c r="R72" i="18" s="1"/>
  <c r="S72" i="18" s="1"/>
  <c r="M72" i="18"/>
  <c r="M69" i="18"/>
  <c r="O69" i="18"/>
  <c r="K286" i="19" s="1"/>
  <c r="R69" i="18" s="1"/>
  <c r="T69" i="18" s="1"/>
  <c r="S62" i="18"/>
  <c r="T62" i="18"/>
  <c r="O56" i="18"/>
  <c r="K251" i="19" s="1"/>
  <c r="R56" i="18" s="1"/>
  <c r="S56" i="18" s="1"/>
  <c r="M56" i="18"/>
  <c r="U36" i="18"/>
  <c r="P36" i="18"/>
  <c r="X36" i="18"/>
  <c r="V36" i="18"/>
  <c r="S36" i="18"/>
  <c r="W36" i="18"/>
  <c r="P217" i="1"/>
  <c r="R217" i="1" s="1"/>
  <c r="M156" i="8"/>
  <c r="N156" i="8" s="1"/>
  <c r="Q205" i="1"/>
  <c r="R205" i="1"/>
  <c r="Z174" i="18"/>
  <c r="U174" i="18"/>
  <c r="Y174" i="18" s="1"/>
  <c r="N174" i="18"/>
  <c r="X174" i="18"/>
  <c r="P174" i="18"/>
  <c r="Y165" i="18"/>
  <c r="Y162" i="18"/>
  <c r="L18" i="19"/>
  <c r="P18" i="19" s="1"/>
  <c r="Y149" i="18"/>
  <c r="U145" i="18"/>
  <c r="P145" i="18"/>
  <c r="W145" i="18"/>
  <c r="M134" i="18"/>
  <c r="O134" i="18"/>
  <c r="K215" i="19" s="1"/>
  <c r="R134" i="18" s="1"/>
  <c r="S134" i="18" s="1"/>
  <c r="L80" i="19"/>
  <c r="P80" i="19" s="1"/>
  <c r="Y89" i="18"/>
  <c r="U84" i="18"/>
  <c r="S84" i="18"/>
  <c r="W84" i="18"/>
  <c r="P84" i="18"/>
  <c r="V84" i="18"/>
  <c r="S83" i="18"/>
  <c r="T83" i="18"/>
  <c r="O77" i="18"/>
  <c r="K52" i="19" s="1"/>
  <c r="R77" i="18" s="1"/>
  <c r="S77" i="18" s="1"/>
  <c r="M77" i="18"/>
  <c r="O74" i="18"/>
  <c r="K204" i="19" s="1"/>
  <c r="R74" i="18" s="1"/>
  <c r="S74" i="18" s="1"/>
  <c r="M74" i="18"/>
  <c r="W71" i="18"/>
  <c r="Y71" i="18" s="1"/>
  <c r="S71" i="18"/>
  <c r="V71" i="18"/>
  <c r="P71" i="18"/>
  <c r="Y33" i="18"/>
  <c r="S8" i="18"/>
  <c r="T8" i="18"/>
  <c r="I303" i="1"/>
  <c r="L307" i="19"/>
  <c r="P307" i="19" s="1"/>
  <c r="T235" i="18"/>
  <c r="S226" i="18"/>
  <c r="N214" i="18"/>
  <c r="V214" i="18"/>
  <c r="Y214" i="18" s="1"/>
  <c r="U205" i="18"/>
  <c r="X205" i="18"/>
  <c r="Y195" i="18"/>
  <c r="N193" i="18"/>
  <c r="V193" i="18"/>
  <c r="Y193" i="18" s="1"/>
  <c r="X193" i="18"/>
  <c r="U187" i="18"/>
  <c r="X187" i="18"/>
  <c r="U185" i="18"/>
  <c r="Y180" i="18"/>
  <c r="N179" i="18"/>
  <c r="V178" i="18"/>
  <c r="M173" i="18"/>
  <c r="Y172" i="18"/>
  <c r="W167" i="18"/>
  <c r="S167" i="18"/>
  <c r="X167" i="18"/>
  <c r="P167" i="18"/>
  <c r="T165" i="18"/>
  <c r="N164" i="18"/>
  <c r="M163" i="18"/>
  <c r="N156" i="18"/>
  <c r="X145" i="18"/>
  <c r="L15" i="19"/>
  <c r="P15" i="19" s="1"/>
  <c r="T144" i="18"/>
  <c r="Y143" i="18"/>
  <c r="W140" i="18"/>
  <c r="V140" i="18"/>
  <c r="P140" i="18"/>
  <c r="S140" i="18"/>
  <c r="L163" i="19"/>
  <c r="P163" i="19" s="1"/>
  <c r="T135" i="18"/>
  <c r="N133" i="18"/>
  <c r="V133" i="18"/>
  <c r="S133" i="18"/>
  <c r="U133" i="18"/>
  <c r="X133" i="18"/>
  <c r="S130" i="18"/>
  <c r="U129" i="18"/>
  <c r="N129" i="18"/>
  <c r="X129" i="18"/>
  <c r="U127" i="18"/>
  <c r="O125" i="18"/>
  <c r="K67" i="19" s="1"/>
  <c r="R125" i="18" s="1"/>
  <c r="W119" i="18"/>
  <c r="V119" i="18"/>
  <c r="Y119" i="18" s="1"/>
  <c r="X119" i="18"/>
  <c r="P119" i="18"/>
  <c r="Y117" i="18"/>
  <c r="T115" i="18"/>
  <c r="U106" i="18"/>
  <c r="N106" i="18"/>
  <c r="W106" i="18"/>
  <c r="M86" i="18"/>
  <c r="O86" i="18"/>
  <c r="K306" i="19" s="1"/>
  <c r="R86" i="18" s="1"/>
  <c r="S86" i="18" s="1"/>
  <c r="P82" i="18"/>
  <c r="X71" i="18"/>
  <c r="L119" i="19"/>
  <c r="P119" i="19" s="1"/>
  <c r="T58" i="18"/>
  <c r="Y182" i="18"/>
  <c r="T162" i="18"/>
  <c r="N141" i="18"/>
  <c r="V141" i="18"/>
  <c r="Y141" i="18" s="1"/>
  <c r="U126" i="18"/>
  <c r="P126" i="18"/>
  <c r="X126" i="18"/>
  <c r="U94" i="18"/>
  <c r="Y94" i="18" s="1"/>
  <c r="P94" i="18"/>
  <c r="X94" i="18"/>
  <c r="T85" i="18"/>
  <c r="L202" i="19"/>
  <c r="P202" i="19" s="1"/>
  <c r="U68" i="18"/>
  <c r="P68" i="18"/>
  <c r="V68" i="18"/>
  <c r="W68" i="18"/>
  <c r="L272" i="19"/>
  <c r="T61" i="18"/>
  <c r="U32" i="18"/>
  <c r="Y32" i="18" s="1"/>
  <c r="P32" i="18"/>
  <c r="X32" i="18"/>
  <c r="S32" i="18"/>
  <c r="V32" i="18"/>
  <c r="L23" i="19"/>
  <c r="P23" i="19" s="1"/>
  <c r="T27" i="18"/>
  <c r="Y4" i="18"/>
  <c r="I18" i="1"/>
  <c r="I212" i="1"/>
  <c r="P291" i="1"/>
  <c r="R291" i="1" s="1"/>
  <c r="M116" i="8"/>
  <c r="N116" i="8" s="1"/>
  <c r="I181" i="1"/>
  <c r="Q258" i="1"/>
  <c r="R258" i="1"/>
  <c r="Q219" i="1"/>
  <c r="Q202" i="1"/>
  <c r="C18" i="23"/>
  <c r="F18" i="23"/>
  <c r="C24" i="23"/>
  <c r="F24" i="23"/>
  <c r="J26" i="3"/>
  <c r="V241" i="18"/>
  <c r="V233" i="18"/>
  <c r="Y233" i="18" s="1"/>
  <c r="V225" i="18"/>
  <c r="Y225" i="18" s="1"/>
  <c r="V217" i="18"/>
  <c r="Y217" i="18" s="1"/>
  <c r="V209" i="18"/>
  <c r="X202" i="18"/>
  <c r="Y202" i="18" s="1"/>
  <c r="P199" i="18"/>
  <c r="X199" i="18"/>
  <c r="Y199" i="18" s="1"/>
  <c r="T197" i="18"/>
  <c r="T196" i="18"/>
  <c r="X186" i="18"/>
  <c r="Y186" i="18" s="1"/>
  <c r="P183" i="18"/>
  <c r="X183" i="18"/>
  <c r="Y183" i="18" s="1"/>
  <c r="T181" i="18"/>
  <c r="N172" i="18"/>
  <c r="V172" i="18"/>
  <c r="S169" i="18"/>
  <c r="M167" i="18"/>
  <c r="W162" i="18"/>
  <c r="T160" i="18"/>
  <c r="N157" i="18"/>
  <c r="V157" i="18"/>
  <c r="Y157" i="18" s="1"/>
  <c r="N143" i="18"/>
  <c r="U142" i="18"/>
  <c r="P142" i="18"/>
  <c r="X142" i="18"/>
  <c r="T132" i="18"/>
  <c r="S126" i="18"/>
  <c r="X124" i="18"/>
  <c r="N124" i="18"/>
  <c r="N117" i="18"/>
  <c r="V117" i="18"/>
  <c r="V108" i="18"/>
  <c r="N103" i="18"/>
  <c r="S94" i="18"/>
  <c r="X92" i="18"/>
  <c r="Y92" i="18" s="1"/>
  <c r="P122" i="19"/>
  <c r="T87" i="18"/>
  <c r="L278" i="19"/>
  <c r="O82" i="18"/>
  <c r="K279" i="19" s="1"/>
  <c r="R82" i="18" s="1"/>
  <c r="M82" i="18"/>
  <c r="N77" i="18"/>
  <c r="W77" i="18"/>
  <c r="Y77" i="18" s="1"/>
  <c r="P77" i="18"/>
  <c r="X68" i="18"/>
  <c r="Y66" i="18"/>
  <c r="O66" i="18"/>
  <c r="K64" i="19" s="1"/>
  <c r="R66" i="18" s="1"/>
  <c r="S66" i="18" s="1"/>
  <c r="M66" i="18"/>
  <c r="T29" i="18"/>
  <c r="L56" i="19"/>
  <c r="Y21" i="18"/>
  <c r="U16" i="18"/>
  <c r="P16" i="18"/>
  <c r="X16" i="18"/>
  <c r="S16" i="18"/>
  <c r="V16" i="18"/>
  <c r="W16" i="18"/>
  <c r="L127" i="19"/>
  <c r="P127" i="19" s="1"/>
  <c r="I114" i="1"/>
  <c r="I310" i="1"/>
  <c r="Q293" i="1"/>
  <c r="K333" i="19"/>
  <c r="R2" i="18"/>
  <c r="I176" i="1"/>
  <c r="I283" i="1"/>
  <c r="I240" i="1"/>
  <c r="P252" i="1"/>
  <c r="R252" i="1"/>
  <c r="U118" i="18"/>
  <c r="P118" i="18"/>
  <c r="X118" i="18"/>
  <c r="X114" i="18"/>
  <c r="O110" i="18"/>
  <c r="K162" i="19" s="1"/>
  <c r="R110" i="18" s="1"/>
  <c r="S110" i="18" s="1"/>
  <c r="Y109" i="18"/>
  <c r="O104" i="18"/>
  <c r="K186" i="19" s="1"/>
  <c r="R104" i="18" s="1"/>
  <c r="S104" i="18" s="1"/>
  <c r="U40" i="18"/>
  <c r="P40" i="18"/>
  <c r="X40" i="18"/>
  <c r="W40" i="18"/>
  <c r="S40" i="18"/>
  <c r="V40" i="18"/>
  <c r="V35" i="18"/>
  <c r="Y35" i="18" s="1"/>
  <c r="W35" i="18"/>
  <c r="P35" i="18"/>
  <c r="S35" i="18"/>
  <c r="W32" i="18"/>
  <c r="Y8" i="18"/>
  <c r="I120" i="1"/>
  <c r="I133" i="1"/>
  <c r="I132" i="1"/>
  <c r="I218" i="1"/>
  <c r="I62" i="1"/>
  <c r="I279" i="1"/>
  <c r="Q290" i="1"/>
  <c r="R290" i="1"/>
  <c r="M20" i="8"/>
  <c r="N20" i="8" s="1"/>
  <c r="R271" i="1"/>
  <c r="Q14" i="1"/>
  <c r="R14" i="1"/>
  <c r="L93" i="19"/>
  <c r="P93" i="19" s="1"/>
  <c r="T195" i="18"/>
  <c r="N176" i="18"/>
  <c r="V176" i="18"/>
  <c r="L7" i="19"/>
  <c r="P7" i="19" s="1"/>
  <c r="T170" i="18"/>
  <c r="M159" i="18"/>
  <c r="W154" i="18"/>
  <c r="Y154" i="18" s="1"/>
  <c r="T152" i="18"/>
  <c r="N149" i="18"/>
  <c r="V149" i="18"/>
  <c r="X141" i="18"/>
  <c r="N135" i="18"/>
  <c r="U134" i="18"/>
  <c r="P134" i="18"/>
  <c r="X134" i="18"/>
  <c r="T124" i="18"/>
  <c r="S118" i="18"/>
  <c r="W114" i="18"/>
  <c r="T112" i="18"/>
  <c r="N109" i="18"/>
  <c r="V109" i="18"/>
  <c r="S108" i="18"/>
  <c r="X100" i="18"/>
  <c r="Y100" i="18" s="1"/>
  <c r="T96" i="18"/>
  <c r="T92" i="18"/>
  <c r="X89" i="18"/>
  <c r="N89" i="18"/>
  <c r="S54" i="18"/>
  <c r="T54" i="18"/>
  <c r="U49" i="18"/>
  <c r="Y49" i="18" s="1"/>
  <c r="P49" i="18"/>
  <c r="X49" i="18"/>
  <c r="N49" i="18"/>
  <c r="S49" i="18"/>
  <c r="P304" i="19"/>
  <c r="L151" i="19"/>
  <c r="I56" i="1"/>
  <c r="I268" i="1"/>
  <c r="A535" i="5" s="1"/>
  <c r="C536" i="5" s="1"/>
  <c r="I173" i="1"/>
  <c r="I259" i="1"/>
  <c r="I302" i="1"/>
  <c r="Q291" i="1"/>
  <c r="Y58" i="18"/>
  <c r="L207" i="19"/>
  <c r="P207" i="19" s="1"/>
  <c r="T42" i="18"/>
  <c r="L50" i="19"/>
  <c r="V19" i="18"/>
  <c r="Y19" i="18" s="1"/>
  <c r="W19" i="18"/>
  <c r="P19" i="18"/>
  <c r="L123" i="19"/>
  <c r="P123" i="19" s="1"/>
  <c r="T13" i="18"/>
  <c r="T11" i="18"/>
  <c r="L156" i="19"/>
  <c r="P156" i="19" s="1"/>
  <c r="P259" i="19"/>
  <c r="I124" i="1"/>
  <c r="I201" i="1"/>
  <c r="I104" i="1"/>
  <c r="I81" i="1"/>
  <c r="I49" i="1"/>
  <c r="R294" i="1"/>
  <c r="Q294" i="1"/>
  <c r="R257" i="1"/>
  <c r="Q257" i="1"/>
  <c r="L277" i="19"/>
  <c r="T80" i="18"/>
  <c r="U76" i="18"/>
  <c r="Y76" i="18" s="1"/>
  <c r="W76" i="18"/>
  <c r="P76" i="18"/>
  <c r="Y61" i="18"/>
  <c r="N61" i="18"/>
  <c r="W61" i="18"/>
  <c r="O57" i="18"/>
  <c r="K70" i="19" s="1"/>
  <c r="R57" i="18" s="1"/>
  <c r="S57" i="18" s="1"/>
  <c r="W55" i="18"/>
  <c r="Y55" i="18" s="1"/>
  <c r="V55" i="18"/>
  <c r="P55" i="18"/>
  <c r="S55" i="18"/>
  <c r="W47" i="18"/>
  <c r="S47" i="18"/>
  <c r="V47" i="18"/>
  <c r="Y47" i="18" s="1"/>
  <c r="N47" i="18"/>
  <c r="V38" i="18"/>
  <c r="Y37" i="18"/>
  <c r="P33" i="18"/>
  <c r="S33" i="18"/>
  <c r="V33" i="18"/>
  <c r="X31" i="18"/>
  <c r="Y29" i="18"/>
  <c r="U20" i="18"/>
  <c r="Y20" i="18" s="1"/>
  <c r="P20" i="18"/>
  <c r="X20" i="18"/>
  <c r="V20" i="18"/>
  <c r="S15" i="18"/>
  <c r="U15" i="18"/>
  <c r="W15" i="18"/>
  <c r="P15" i="18"/>
  <c r="U11" i="18"/>
  <c r="Y11" i="18" s="1"/>
  <c r="W11" i="18"/>
  <c r="U9" i="18"/>
  <c r="W9" i="18"/>
  <c r="N9" i="18"/>
  <c r="X9" i="18"/>
  <c r="P9" i="18"/>
  <c r="S9" i="18"/>
  <c r="Y5" i="18"/>
  <c r="W4" i="18"/>
  <c r="V4" i="18"/>
  <c r="X4" i="18"/>
  <c r="P4" i="18"/>
  <c r="S4" i="18"/>
  <c r="U2" i="18"/>
  <c r="N2" i="18"/>
  <c r="W2" i="18"/>
  <c r="P296" i="19"/>
  <c r="I13" i="1"/>
  <c r="I145" i="1"/>
  <c r="I219" i="1"/>
  <c r="I45" i="1"/>
  <c r="I74" i="1"/>
  <c r="Q238" i="1"/>
  <c r="R238" i="1"/>
  <c r="P237" i="1"/>
  <c r="R237" i="1"/>
  <c r="M94" i="8"/>
  <c r="N94" i="8" s="1"/>
  <c r="M58" i="8"/>
  <c r="N58" i="8" s="1"/>
  <c r="R236" i="1"/>
  <c r="Q200" i="1"/>
  <c r="R63" i="1"/>
  <c r="Q63" i="1"/>
  <c r="Q59" i="1"/>
  <c r="W79" i="18"/>
  <c r="Y79" i="18" s="1"/>
  <c r="S79" i="18"/>
  <c r="T78" i="18"/>
  <c r="V76" i="18"/>
  <c r="L160" i="19"/>
  <c r="P160" i="19" s="1"/>
  <c r="T75" i="18"/>
  <c r="W66" i="18"/>
  <c r="X66" i="18"/>
  <c r="S61" i="18"/>
  <c r="X55" i="18"/>
  <c r="L267" i="19"/>
  <c r="T51" i="18"/>
  <c r="Y45" i="18"/>
  <c r="U44" i="18"/>
  <c r="W44" i="18"/>
  <c r="N44" i="18"/>
  <c r="X44" i="18"/>
  <c r="P44" i="18"/>
  <c r="S44" i="18"/>
  <c r="M42" i="18"/>
  <c r="U24" i="18"/>
  <c r="Y24" i="18" s="1"/>
  <c r="P24" i="18"/>
  <c r="X24" i="18"/>
  <c r="W24" i="18"/>
  <c r="S24" i="18"/>
  <c r="U22" i="18"/>
  <c r="P22" i="18"/>
  <c r="X22" i="18"/>
  <c r="W22" i="18"/>
  <c r="T21" i="18"/>
  <c r="L128" i="19"/>
  <c r="P128" i="19" s="1"/>
  <c r="P301" i="19"/>
  <c r="P262" i="19"/>
  <c r="P194" i="19"/>
  <c r="I17" i="1"/>
  <c r="I332" i="1"/>
  <c r="I190" i="1"/>
  <c r="I272" i="1"/>
  <c r="I48" i="1"/>
  <c r="P282" i="1"/>
  <c r="M90" i="8"/>
  <c r="M81" i="8"/>
  <c r="L58" i="19"/>
  <c r="T48" i="18"/>
  <c r="L53" i="19"/>
  <c r="T46" i="18"/>
  <c r="L51" i="19"/>
  <c r="T45" i="18"/>
  <c r="U38" i="18"/>
  <c r="P38" i="18"/>
  <c r="X38" i="18"/>
  <c r="W38" i="18"/>
  <c r="T37" i="18"/>
  <c r="L43" i="19"/>
  <c r="S31" i="18"/>
  <c r="U31" i="18"/>
  <c r="Y31" i="18" s="1"/>
  <c r="W31" i="18"/>
  <c r="P31" i="18"/>
  <c r="U27" i="18"/>
  <c r="W27" i="18"/>
  <c r="S19" i="18"/>
  <c r="Y13" i="18"/>
  <c r="M5" i="18"/>
  <c r="L5" i="19"/>
  <c r="P309" i="19"/>
  <c r="I107" i="1"/>
  <c r="I287" i="1"/>
  <c r="I269" i="1"/>
  <c r="R307" i="1"/>
  <c r="Q307" i="1"/>
  <c r="M24" i="8"/>
  <c r="R209" i="1"/>
  <c r="Q197" i="1"/>
  <c r="R197" i="1"/>
  <c r="Q193" i="1"/>
  <c r="R193" i="1"/>
  <c r="R163" i="1"/>
  <c r="Q163" i="1"/>
  <c r="O46" i="1"/>
  <c r="H337" i="1"/>
  <c r="N56" i="18"/>
  <c r="V56" i="18"/>
  <c r="L180" i="19"/>
  <c r="T53" i="18"/>
  <c r="Y39" i="18"/>
  <c r="S29" i="18"/>
  <c r="U26" i="18"/>
  <c r="P26" i="18"/>
  <c r="X26" i="18"/>
  <c r="Y23" i="18"/>
  <c r="S13" i="18"/>
  <c r="U10" i="18"/>
  <c r="Y10" i="18" s="1"/>
  <c r="P10" i="18"/>
  <c r="X10" i="18"/>
  <c r="N5" i="18"/>
  <c r="V5" i="18"/>
  <c r="P231" i="19"/>
  <c r="P92" i="19"/>
  <c r="I119" i="1"/>
  <c r="I106" i="1"/>
  <c r="I299" i="1"/>
  <c r="P225" i="1"/>
  <c r="M157" i="8"/>
  <c r="R225" i="1"/>
  <c r="I214" i="1"/>
  <c r="I20" i="1"/>
  <c r="I135" i="1"/>
  <c r="N60" i="8"/>
  <c r="N51" i="8"/>
  <c r="I304" i="1"/>
  <c r="I166" i="1"/>
  <c r="Q310" i="1"/>
  <c r="Q13" i="1"/>
  <c r="V168" i="18"/>
  <c r="Y168" i="18" s="1"/>
  <c r="V160" i="18"/>
  <c r="Y160" i="18" s="1"/>
  <c r="V152" i="18"/>
  <c r="Y152" i="18" s="1"/>
  <c r="V144" i="18"/>
  <c r="Y144" i="18" s="1"/>
  <c r="V136" i="18"/>
  <c r="Y136" i="18" s="1"/>
  <c r="V128" i="18"/>
  <c r="Y128" i="18" s="1"/>
  <c r="V120" i="18"/>
  <c r="V112" i="18"/>
  <c r="Y112" i="18" s="1"/>
  <c r="V104" i="18"/>
  <c r="Y104" i="18" s="1"/>
  <c r="N80" i="18"/>
  <c r="V80" i="18"/>
  <c r="Y80" i="18" s="1"/>
  <c r="N64" i="18"/>
  <c r="V64" i="18"/>
  <c r="Y64" i="18" s="1"/>
  <c r="U57" i="18"/>
  <c r="Y57" i="18" s="1"/>
  <c r="P57" i="18"/>
  <c r="X57" i="18"/>
  <c r="W52" i="18"/>
  <c r="Y52" i="18" s="1"/>
  <c r="U41" i="18"/>
  <c r="P41" i="18"/>
  <c r="X41" i="18"/>
  <c r="U30" i="18"/>
  <c r="P30" i="18"/>
  <c r="X30" i="18"/>
  <c r="W26" i="18"/>
  <c r="U14" i="18"/>
  <c r="Y14" i="18" s="1"/>
  <c r="P14" i="18"/>
  <c r="X14" i="18"/>
  <c r="W10" i="18"/>
  <c r="U6" i="18"/>
  <c r="P6" i="18"/>
  <c r="X6" i="18"/>
  <c r="P229" i="19"/>
  <c r="P136" i="19"/>
  <c r="P120" i="19"/>
  <c r="P111" i="19"/>
  <c r="I118" i="1"/>
  <c r="I192" i="1"/>
  <c r="I228" i="1"/>
  <c r="I153" i="1"/>
  <c r="R275" i="1"/>
  <c r="P275" i="1"/>
  <c r="M121" i="8"/>
  <c r="I292" i="1"/>
  <c r="I178" i="1"/>
  <c r="I234" i="1"/>
  <c r="I57" i="1"/>
  <c r="I131" i="1"/>
  <c r="M60" i="8"/>
  <c r="R22" i="1"/>
  <c r="M51" i="8"/>
  <c r="M19" i="8"/>
  <c r="N19" i="8" s="1"/>
  <c r="P329" i="1"/>
  <c r="R329" i="1" s="1"/>
  <c r="R328" i="1"/>
  <c r="M21" i="8"/>
  <c r="N21" i="8" s="1"/>
  <c r="Q321" i="1"/>
  <c r="R321" i="1"/>
  <c r="Q320" i="1"/>
  <c r="Q237" i="1"/>
  <c r="R231" i="1"/>
  <c r="Q231" i="1"/>
  <c r="Y53" i="18"/>
  <c r="U34" i="18"/>
  <c r="Y34" i="18" s="1"/>
  <c r="P34" i="18"/>
  <c r="X34" i="18"/>
  <c r="L91" i="19"/>
  <c r="P91" i="19" s="1"/>
  <c r="T23" i="18"/>
  <c r="U18" i="18"/>
  <c r="P18" i="18"/>
  <c r="X18" i="18"/>
  <c r="I316" i="1"/>
  <c r="I79" i="1"/>
  <c r="I273" i="1"/>
  <c r="I215" i="1"/>
  <c r="Q215" i="1" s="1"/>
  <c r="P185" i="1"/>
  <c r="M127" i="8"/>
  <c r="N127" i="8" s="1"/>
  <c r="I75" i="1"/>
  <c r="I123" i="1"/>
  <c r="I263" i="1"/>
  <c r="I50" i="1"/>
  <c r="I149" i="1"/>
  <c r="R25" i="1"/>
  <c r="M16" i="8"/>
  <c r="N16" i="8" s="1"/>
  <c r="R308" i="1"/>
  <c r="Q308" i="1"/>
  <c r="R244" i="1"/>
  <c r="Q244" i="1"/>
  <c r="Q222" i="1"/>
  <c r="R222" i="1"/>
  <c r="P188" i="1"/>
  <c r="M150" i="8"/>
  <c r="Q173" i="1"/>
  <c r="R96" i="1"/>
  <c r="Q96" i="1"/>
  <c r="P166" i="19"/>
  <c r="X91" i="18"/>
  <c r="Y91" i="18" s="1"/>
  <c r="N72" i="18"/>
  <c r="V72" i="18"/>
  <c r="Y72" i="18" s="1"/>
  <c r="X56" i="18"/>
  <c r="Y56" i="18" s="1"/>
  <c r="S52" i="18"/>
  <c r="N48" i="18"/>
  <c r="V48" i="18"/>
  <c r="Y48" i="18" s="1"/>
  <c r="W45" i="18"/>
  <c r="V30" i="18"/>
  <c r="U28" i="18"/>
  <c r="P28" i="18"/>
  <c r="X28" i="18"/>
  <c r="S26" i="18"/>
  <c r="V14" i="18"/>
  <c r="U12" i="18"/>
  <c r="P12" i="18"/>
  <c r="X12" i="18"/>
  <c r="S10" i="18"/>
  <c r="X5" i="18"/>
  <c r="T3" i="18"/>
  <c r="P325" i="19"/>
  <c r="P293" i="19"/>
  <c r="P116" i="19"/>
  <c r="P114" i="19"/>
  <c r="I113" i="1"/>
  <c r="I117" i="1"/>
  <c r="I242" i="1"/>
  <c r="I91" i="1"/>
  <c r="I300" i="1"/>
  <c r="I21" i="1"/>
  <c r="I298" i="1"/>
  <c r="I187" i="1"/>
  <c r="I206" i="1"/>
  <c r="I175" i="1"/>
  <c r="I195" i="1"/>
  <c r="N34" i="8"/>
  <c r="I24" i="1"/>
  <c r="J206" i="8"/>
  <c r="Q329" i="1"/>
  <c r="R250" i="1"/>
  <c r="Q250" i="1"/>
  <c r="P247" i="1"/>
  <c r="R247" i="1"/>
  <c r="R156" i="1"/>
  <c r="M34" i="8"/>
  <c r="I313" i="1"/>
  <c r="I207" i="1"/>
  <c r="I241" i="1"/>
  <c r="I71" i="1"/>
  <c r="I191" i="1"/>
  <c r="I245" i="1"/>
  <c r="I67" i="1"/>
  <c r="I213" i="1"/>
  <c r="I139" i="1"/>
  <c r="I200" i="1"/>
  <c r="I16" i="1"/>
  <c r="I179" i="1"/>
  <c r="I285" i="1"/>
  <c r="N81" i="8"/>
  <c r="I73" i="1"/>
  <c r="M61" i="8"/>
  <c r="N61" i="8" s="1"/>
  <c r="I44" i="1"/>
  <c r="R167" i="1"/>
  <c r="M13" i="8"/>
  <c r="N13" i="8" s="1"/>
  <c r="R331" i="1"/>
  <c r="N302" i="1"/>
  <c r="Q299" i="1"/>
  <c r="N298" i="1"/>
  <c r="Q298" i="1" s="1"/>
  <c r="R256" i="1"/>
  <c r="Q256" i="1"/>
  <c r="Q253" i="1"/>
  <c r="R253" i="1"/>
  <c r="N208" i="1"/>
  <c r="Q208" i="1" s="1"/>
  <c r="Q152" i="1"/>
  <c r="Q147" i="1"/>
  <c r="R147" i="1"/>
  <c r="Q92" i="1"/>
  <c r="Q8" i="1"/>
  <c r="V83" i="18"/>
  <c r="V75" i="18"/>
  <c r="I318" i="1"/>
  <c r="I134" i="1"/>
  <c r="I70" i="1"/>
  <c r="I116" i="1"/>
  <c r="I330" i="1"/>
  <c r="I126" i="1"/>
  <c r="N157" i="8"/>
  <c r="I144" i="1"/>
  <c r="I171" i="1"/>
  <c r="N138" i="8"/>
  <c r="I102" i="1"/>
  <c r="I296" i="1"/>
  <c r="Q296" i="1" s="1"/>
  <c r="I143" i="1"/>
  <c r="I60" i="1"/>
  <c r="I142" i="1"/>
  <c r="N90" i="8"/>
  <c r="M77" i="8"/>
  <c r="N77" i="8" s="1"/>
  <c r="I55" i="1"/>
  <c r="N29" i="8"/>
  <c r="N24" i="8"/>
  <c r="N327" i="1"/>
  <c r="Q327" i="1" s="1"/>
  <c r="Q279" i="1"/>
  <c r="Q272" i="1"/>
  <c r="Q245" i="1"/>
  <c r="Q228" i="1"/>
  <c r="N220" i="1"/>
  <c r="Q220" i="1" s="1"/>
  <c r="Q212" i="1"/>
  <c r="P112" i="1"/>
  <c r="R112" i="1" s="1"/>
  <c r="I203" i="1"/>
  <c r="I92" i="1"/>
  <c r="I274" i="1"/>
  <c r="Q274" i="1" s="1"/>
  <c r="I8" i="1"/>
  <c r="I194" i="1"/>
  <c r="N150" i="8"/>
  <c r="I66" i="1"/>
  <c r="I202" i="1"/>
  <c r="N121" i="8"/>
  <c r="I293" i="1"/>
  <c r="I128" i="1"/>
  <c r="I288" i="1"/>
  <c r="I270" i="1"/>
  <c r="I204" i="1"/>
  <c r="I301" i="1"/>
  <c r="Q301" i="1" s="1"/>
  <c r="R150" i="1"/>
  <c r="M32" i="8"/>
  <c r="N32" i="8" s="1"/>
  <c r="R80" i="1"/>
  <c r="M29" i="8"/>
  <c r="Q332" i="1"/>
  <c r="Q331" i="1"/>
  <c r="Q275" i="1"/>
  <c r="R251" i="1"/>
  <c r="Q251" i="1"/>
  <c r="I233" i="1"/>
  <c r="R216" i="1"/>
  <c r="Q213" i="1"/>
  <c r="Q165" i="1"/>
  <c r="X46" i="18"/>
  <c r="X3" i="18"/>
  <c r="I93" i="1"/>
  <c r="I315" i="1"/>
  <c r="I227" i="1"/>
  <c r="I243" i="1"/>
  <c r="I165" i="1"/>
  <c r="I94" i="1"/>
  <c r="I229" i="1"/>
  <c r="I97" i="1"/>
  <c r="I226" i="1"/>
  <c r="Q226" i="1" s="1"/>
  <c r="I180" i="1"/>
  <c r="I61" i="1"/>
  <c r="I174" i="1"/>
  <c r="A431" i="5" s="1"/>
  <c r="C433" i="5" s="1"/>
  <c r="I284" i="1"/>
  <c r="I264" i="1"/>
  <c r="I141" i="1"/>
  <c r="N67" i="8"/>
  <c r="N23" i="8"/>
  <c r="N311" i="1"/>
  <c r="Q311" i="1" s="1"/>
  <c r="Q280" i="1"/>
  <c r="Q230" i="1"/>
  <c r="Q207" i="1"/>
  <c r="R199" i="1"/>
  <c r="Q199" i="1"/>
  <c r="Q150" i="1"/>
  <c r="I125" i="1"/>
  <c r="Q102" i="1"/>
  <c r="R221" i="1"/>
  <c r="M74" i="8"/>
  <c r="N74" i="8" s="1"/>
  <c r="R210" i="1"/>
  <c r="R127" i="1"/>
  <c r="M42" i="8"/>
  <c r="N42" i="8" s="1"/>
  <c r="R121" i="1"/>
  <c r="M26" i="8"/>
  <c r="N26" i="8" s="1"/>
  <c r="Q121" i="1"/>
  <c r="P198" i="1"/>
  <c r="R198" i="1" s="1"/>
  <c r="Q168" i="1"/>
  <c r="Q151" i="1"/>
  <c r="Q21" i="1"/>
  <c r="M78" i="8"/>
  <c r="N78" i="8" s="1"/>
  <c r="R311" i="1"/>
  <c r="N66" i="8"/>
  <c r="N59" i="8"/>
  <c r="N43" i="8"/>
  <c r="N27" i="8"/>
  <c r="N18" i="8"/>
  <c r="M14" i="8"/>
  <c r="N14" i="8" s="1"/>
  <c r="N11" i="8"/>
  <c r="M9" i="8"/>
  <c r="N9" i="8" s="1"/>
  <c r="R23" i="1"/>
  <c r="Q23" i="1"/>
  <c r="N334" i="1"/>
  <c r="Q334" i="1" s="1"/>
  <c r="N325" i="1"/>
  <c r="Q325" i="1" s="1"/>
  <c r="N297" i="1"/>
  <c r="Q297" i="1" s="1"/>
  <c r="Q286" i="1"/>
  <c r="N284" i="1"/>
  <c r="Q284" i="1" s="1"/>
  <c r="N282" i="1"/>
  <c r="Q282" i="1" s="1"/>
  <c r="R281" i="1"/>
  <c r="R254" i="1"/>
  <c r="Q221" i="1"/>
  <c r="Q214" i="1"/>
  <c r="Q201" i="1"/>
  <c r="Q169" i="1"/>
  <c r="R162" i="1"/>
  <c r="Q162" i="1"/>
  <c r="Q108" i="1"/>
  <c r="R108" i="1"/>
  <c r="R11" i="1"/>
  <c r="M66" i="8"/>
  <c r="M50" i="8"/>
  <c r="N50" i="8" s="1"/>
  <c r="R235" i="1"/>
  <c r="R326" i="1"/>
  <c r="R169" i="1"/>
  <c r="M18" i="8"/>
  <c r="N306" i="1"/>
  <c r="N289" i="1"/>
  <c r="R267" i="1"/>
  <c r="Q242" i="1"/>
  <c r="Q234" i="1"/>
  <c r="R232" i="1"/>
  <c r="N224" i="1"/>
  <c r="R223" i="1"/>
  <c r="Q223" i="1"/>
  <c r="R172" i="1"/>
  <c r="Q166" i="1"/>
  <c r="Q145" i="1"/>
  <c r="Q81" i="1"/>
  <c r="P19" i="1"/>
  <c r="M68" i="8"/>
  <c r="N68" i="8" s="1"/>
  <c r="N65" i="8"/>
  <c r="M52" i="8"/>
  <c r="N52" i="8" s="1"/>
  <c r="N49" i="8"/>
  <c r="M36" i="8"/>
  <c r="N36" i="8" s="1"/>
  <c r="N33" i="8"/>
  <c r="N17" i="8"/>
  <c r="R327" i="1"/>
  <c r="N323" i="1"/>
  <c r="N243" i="1"/>
  <c r="R239" i="1"/>
  <c r="Q239" i="1"/>
  <c r="Q225" i="1"/>
  <c r="Q209" i="1"/>
  <c r="Q172" i="1"/>
  <c r="Q170" i="1"/>
  <c r="R148" i="1"/>
  <c r="Q134" i="1"/>
  <c r="Q133" i="1"/>
  <c r="P64" i="1"/>
  <c r="R64" i="1"/>
  <c r="N252" i="1"/>
  <c r="Q252" i="1" s="1"/>
  <c r="R246" i="1"/>
  <c r="N198" i="1"/>
  <c r="Q198" i="1" s="1"/>
  <c r="R160" i="1"/>
  <c r="N157" i="1"/>
  <c r="Q157" i="1" s="1"/>
  <c r="R129" i="1"/>
  <c r="Q116" i="1"/>
  <c r="Q94" i="1"/>
  <c r="R58" i="1"/>
  <c r="Q58" i="1"/>
  <c r="Q22" i="1"/>
  <c r="N273" i="1"/>
  <c r="Q273" i="1" s="1"/>
  <c r="N211" i="1"/>
  <c r="Q211" i="1" s="1"/>
  <c r="Q142" i="1"/>
  <c r="Q112" i="1"/>
  <c r="P109" i="1"/>
  <c r="R109" i="1"/>
  <c r="N276" i="1"/>
  <c r="N240" i="1"/>
  <c r="Q240" i="1" s="1"/>
  <c r="Q217" i="1"/>
  <c r="N196" i="1"/>
  <c r="P177" i="1"/>
  <c r="R155" i="1"/>
  <c r="Q155" i="1"/>
  <c r="Q153" i="1"/>
  <c r="Q127" i="1"/>
  <c r="Q84" i="1"/>
  <c r="Q74" i="1"/>
  <c r="R68" i="1"/>
  <c r="Q68" i="1"/>
  <c r="N287" i="1"/>
  <c r="Q287" i="1" s="1"/>
  <c r="N255" i="1"/>
  <c r="N254" i="1"/>
  <c r="Q254" i="1" s="1"/>
  <c r="P249" i="1"/>
  <c r="R249" i="1"/>
  <c r="N218" i="1"/>
  <c r="N190" i="1"/>
  <c r="Q190" i="1" s="1"/>
  <c r="P184" i="1"/>
  <c r="Q160" i="1"/>
  <c r="N143" i="1"/>
  <c r="Q143" i="1" s="1"/>
  <c r="Q129" i="1"/>
  <c r="Q122" i="1"/>
  <c r="R115" i="1"/>
  <c r="Q106" i="1"/>
  <c r="N158" i="1"/>
  <c r="N156" i="1"/>
  <c r="Q156" i="1" s="1"/>
  <c r="R137" i="1"/>
  <c r="N136" i="1"/>
  <c r="N135" i="1"/>
  <c r="Q135" i="1" s="1"/>
  <c r="R95" i="1"/>
  <c r="Q95" i="1"/>
  <c r="N66" i="1"/>
  <c r="Q66" i="1" s="1"/>
  <c r="Q20" i="1"/>
  <c r="Q12" i="1"/>
  <c r="R12" i="1"/>
  <c r="N271" i="1"/>
  <c r="Q271" i="1" s="1"/>
  <c r="N227" i="1"/>
  <c r="Q227" i="1" s="1"/>
  <c r="N216" i="1"/>
  <c r="Q216" i="1" s="1"/>
  <c r="N206" i="1"/>
  <c r="Q137" i="1"/>
  <c r="N132" i="1"/>
  <c r="Q132" i="1" s="1"/>
  <c r="Q80" i="1"/>
  <c r="N61" i="1"/>
  <c r="Q56" i="1"/>
  <c r="R154" i="1"/>
  <c r="Q149" i="1"/>
  <c r="Q148" i="1"/>
  <c r="Q140" i="1"/>
  <c r="Q107" i="1"/>
  <c r="Q105" i="1"/>
  <c r="Q103" i="1"/>
  <c r="Q93" i="1"/>
  <c r="N83" i="1"/>
  <c r="Q83" i="1" s="1"/>
  <c r="Q71" i="1"/>
  <c r="Q62" i="1"/>
  <c r="Q57" i="1"/>
  <c r="P146" i="1"/>
  <c r="R146" i="1"/>
  <c r="N128" i="1"/>
  <c r="N126" i="1"/>
  <c r="Q126" i="1" s="1"/>
  <c r="Q86" i="1"/>
  <c r="R85" i="1"/>
  <c r="Q85" i="1"/>
  <c r="N65" i="1"/>
  <c r="Q65" i="1" s="1"/>
  <c r="P76" i="1"/>
  <c r="R69" i="1"/>
  <c r="P65" i="1"/>
  <c r="R65" i="1"/>
  <c r="Q10" i="1"/>
  <c r="R7" i="1"/>
  <c r="Q7" i="1"/>
  <c r="N141" i="1"/>
  <c r="N130" i="1"/>
  <c r="Q130" i="1" s="1"/>
  <c r="N109" i="1"/>
  <c r="Q109" i="1" s="1"/>
  <c r="R78" i="1"/>
  <c r="N67" i="1"/>
  <c r="Q67" i="1" s="1"/>
  <c r="N16" i="1"/>
  <c r="Q16" i="1" s="1"/>
  <c r="N15" i="1"/>
  <c r="N11" i="1"/>
  <c r="Q11" i="1" s="1"/>
  <c r="N9" i="1"/>
  <c r="Q9" i="1" s="1"/>
  <c r="N161" i="1"/>
  <c r="Q161" i="1" s="1"/>
  <c r="P83" i="1"/>
  <c r="R83" i="1"/>
  <c r="N25" i="1"/>
  <c r="Q25" i="1" s="1"/>
  <c r="N17" i="1"/>
  <c r="E536" i="5" l="1"/>
  <c r="C537" i="5"/>
  <c r="J77" i="1"/>
  <c r="N77" i="1" s="1"/>
  <c r="J76" i="1"/>
  <c r="N76" i="1" s="1"/>
  <c r="K135" i="3"/>
  <c r="N135" i="3" s="1"/>
  <c r="P135" i="3" s="1"/>
  <c r="K139" i="3"/>
  <c r="N139" i="3" s="1"/>
  <c r="P139" i="3" s="1"/>
  <c r="K132" i="3"/>
  <c r="N132" i="3" s="1"/>
  <c r="P132" i="3" s="1"/>
  <c r="K136" i="3"/>
  <c r="N136" i="3" s="1"/>
  <c r="P136" i="3" s="1"/>
  <c r="K141" i="3"/>
  <c r="N141" i="3" s="1"/>
  <c r="P141" i="3" s="1"/>
  <c r="K140" i="3"/>
  <c r="N140" i="3" s="1"/>
  <c r="P140" i="3" s="1"/>
  <c r="K133" i="3"/>
  <c r="N133" i="3" s="1"/>
  <c r="P133" i="3" s="1"/>
  <c r="K137" i="3"/>
  <c r="N137" i="3" s="1"/>
  <c r="P137" i="3" s="1"/>
  <c r="K138" i="3"/>
  <c r="N138" i="3" s="1"/>
  <c r="P138" i="3" s="1"/>
  <c r="K134" i="3"/>
  <c r="N134" i="3" s="1"/>
  <c r="P134" i="3" s="1"/>
  <c r="G247" i="5"/>
  <c r="J101" i="1" s="1"/>
  <c r="N101" i="1" s="1"/>
  <c r="G458" i="5"/>
  <c r="E433" i="5"/>
  <c r="C434" i="5"/>
  <c r="Q27" i="3"/>
  <c r="R27" i="3"/>
  <c r="P144" i="1"/>
  <c r="R144" i="1"/>
  <c r="M154" i="8"/>
  <c r="N154" i="8" s="1"/>
  <c r="P206" i="1"/>
  <c r="R206" i="1" s="1"/>
  <c r="M130" i="8"/>
  <c r="N130" i="8" s="1"/>
  <c r="M200" i="8"/>
  <c r="N200" i="8" s="1"/>
  <c r="L104" i="19"/>
  <c r="A77" i="20" s="1"/>
  <c r="C78" i="20" s="1"/>
  <c r="T239" i="18"/>
  <c r="L247" i="19"/>
  <c r="T194" i="18"/>
  <c r="N119" i="2"/>
  <c r="O119" i="2"/>
  <c r="Y234" i="18"/>
  <c r="Q237" i="3"/>
  <c r="R237" i="3"/>
  <c r="Q159" i="3"/>
  <c r="R159" i="3" s="1"/>
  <c r="Q114" i="3"/>
  <c r="R114" i="3"/>
  <c r="K166" i="16"/>
  <c r="L166" i="16" s="1"/>
  <c r="J166" i="16"/>
  <c r="A294" i="5"/>
  <c r="C296" i="5" s="1"/>
  <c r="K103" i="16"/>
  <c r="L103" i="16" s="1"/>
  <c r="J103" i="16"/>
  <c r="P292" i="1"/>
  <c r="R292" i="1" s="1"/>
  <c r="M117" i="8"/>
  <c r="N117" i="8" s="1"/>
  <c r="M54" i="8"/>
  <c r="N54" i="8" s="1"/>
  <c r="P145" i="1"/>
  <c r="R145" i="1" s="1"/>
  <c r="M149" i="8"/>
  <c r="N149" i="8" s="1"/>
  <c r="N249" i="18"/>
  <c r="T15" i="18"/>
  <c r="L129" i="19"/>
  <c r="P129" i="19" s="1"/>
  <c r="L215" i="19"/>
  <c r="T134" i="18"/>
  <c r="R218" i="1"/>
  <c r="M184" i="8"/>
  <c r="N184" i="8" s="1"/>
  <c r="S2" i="18"/>
  <c r="T16" i="18"/>
  <c r="L329" i="19"/>
  <c r="P329" i="19" s="1"/>
  <c r="Y185" i="18"/>
  <c r="Y205" i="18"/>
  <c r="L330" i="19"/>
  <c r="P330" i="19" s="1"/>
  <c r="T215" i="18"/>
  <c r="Q156" i="3"/>
  <c r="R156" i="3" s="1"/>
  <c r="Q227" i="3"/>
  <c r="R227" i="3" s="1"/>
  <c r="J45" i="16"/>
  <c r="K45" i="16"/>
  <c r="L45" i="16" s="1"/>
  <c r="L150" i="19"/>
  <c r="T221" i="18"/>
  <c r="Q157" i="3"/>
  <c r="R157" i="3" s="1"/>
  <c r="K38" i="16"/>
  <c r="L38" i="16" s="1"/>
  <c r="J38" i="16"/>
  <c r="J91" i="16"/>
  <c r="K91" i="16"/>
  <c r="L91" i="16" s="1"/>
  <c r="Q278" i="3"/>
  <c r="R278" i="3"/>
  <c r="J239" i="16"/>
  <c r="K239" i="16"/>
  <c r="L239" i="16" s="1"/>
  <c r="J32" i="16"/>
  <c r="K32" i="16"/>
  <c r="L32" i="16" s="1"/>
  <c r="K94" i="16"/>
  <c r="L94" i="16" s="1"/>
  <c r="J94" i="16"/>
  <c r="L140" i="19"/>
  <c r="T219" i="18"/>
  <c r="E26" i="5"/>
  <c r="P229" i="1"/>
  <c r="R229" i="1"/>
  <c r="M143" i="8"/>
  <c r="N143" i="8" s="1"/>
  <c r="M176" i="8"/>
  <c r="N176" i="8" s="1"/>
  <c r="A186" i="5"/>
  <c r="C187" i="5" s="1"/>
  <c r="L126" i="19"/>
  <c r="P126" i="19" s="1"/>
  <c r="L203" i="19"/>
  <c r="T31" i="18"/>
  <c r="T38" i="18"/>
  <c r="L46" i="19"/>
  <c r="L169" i="19"/>
  <c r="P169" i="19" s="1"/>
  <c r="T22" i="18"/>
  <c r="L216" i="19"/>
  <c r="T130" i="18"/>
  <c r="K126" i="19"/>
  <c r="R6" i="18" s="1"/>
  <c r="S6" i="18" s="1"/>
  <c r="O249" i="18"/>
  <c r="Y137" i="18"/>
  <c r="S91" i="18"/>
  <c r="T91" i="18"/>
  <c r="L331" i="19"/>
  <c r="P331" i="19" s="1"/>
  <c r="T116" i="18"/>
  <c r="Y200" i="18"/>
  <c r="Y210" i="18"/>
  <c r="A123" i="20"/>
  <c r="C124" i="20" s="1"/>
  <c r="J77" i="16"/>
  <c r="K77" i="16"/>
  <c r="L77" i="16" s="1"/>
  <c r="K11" i="16"/>
  <c r="L11" i="16" s="1"/>
  <c r="J11" i="16"/>
  <c r="S228" i="18"/>
  <c r="T228" i="18"/>
  <c r="Y215" i="18"/>
  <c r="P275" i="3"/>
  <c r="Q160" i="3"/>
  <c r="R160" i="3" s="1"/>
  <c r="Q81" i="3"/>
  <c r="R81" i="3" s="1"/>
  <c r="R266" i="3"/>
  <c r="Q266" i="3"/>
  <c r="Q246" i="3"/>
  <c r="R246" i="3"/>
  <c r="Q251" i="3"/>
  <c r="R251" i="3" s="1"/>
  <c r="Q166" i="3"/>
  <c r="R166" i="3"/>
  <c r="R67" i="3"/>
  <c r="Q67" i="3"/>
  <c r="Q226" i="3"/>
  <c r="R226" i="3"/>
  <c r="J9" i="16"/>
  <c r="K9" i="16"/>
  <c r="L9" i="16" s="1"/>
  <c r="C23" i="23"/>
  <c r="F23" i="23"/>
  <c r="J247" i="16"/>
  <c r="K247" i="16"/>
  <c r="L247" i="16" s="1"/>
  <c r="K87" i="16"/>
  <c r="L87" i="16" s="1"/>
  <c r="J87" i="16"/>
  <c r="Q165" i="3"/>
  <c r="R165" i="3" s="1"/>
  <c r="J192" i="16"/>
  <c r="K192" i="16"/>
  <c r="L192" i="16" s="1"/>
  <c r="J52" i="16"/>
  <c r="K52" i="16"/>
  <c r="L52" i="16" s="1"/>
  <c r="P58" i="3"/>
  <c r="J208" i="16"/>
  <c r="K208" i="16"/>
  <c r="L208" i="16" s="1"/>
  <c r="T17" i="18"/>
  <c r="L170" i="19"/>
  <c r="P170" i="19" s="1"/>
  <c r="T177" i="18"/>
  <c r="L253" i="19"/>
  <c r="P253" i="19" s="1"/>
  <c r="Q256" i="3"/>
  <c r="R256" i="3"/>
  <c r="K198" i="16"/>
  <c r="L198" i="16" s="1"/>
  <c r="J198" i="16"/>
  <c r="P41" i="3"/>
  <c r="J60" i="16"/>
  <c r="K60" i="16"/>
  <c r="L60" i="16" s="1"/>
  <c r="E434" i="5"/>
  <c r="G434" i="5" s="1"/>
  <c r="C26" i="5"/>
  <c r="Q158" i="1"/>
  <c r="R158" i="1"/>
  <c r="S155" i="1"/>
  <c r="T155" i="1" s="1"/>
  <c r="P97" i="1"/>
  <c r="M140" i="8"/>
  <c r="N140" i="8" s="1"/>
  <c r="A223" i="5"/>
  <c r="C224" i="5" s="1"/>
  <c r="R194" i="1"/>
  <c r="P194" i="1"/>
  <c r="M166" i="8"/>
  <c r="N166" i="8" s="1"/>
  <c r="M72" i="8"/>
  <c r="N72" i="8" s="1"/>
  <c r="A70" i="5"/>
  <c r="C71" i="5" s="1"/>
  <c r="R24" i="1"/>
  <c r="M6" i="8"/>
  <c r="R79" i="1"/>
  <c r="M180" i="8"/>
  <c r="N180" i="8" s="1"/>
  <c r="L152" i="19"/>
  <c r="T10" i="18"/>
  <c r="R17" i="1"/>
  <c r="M171" i="8"/>
  <c r="N171" i="8" s="1"/>
  <c r="W249" i="18"/>
  <c r="R124" i="1"/>
  <c r="Q124" i="1"/>
  <c r="M168" i="8"/>
  <c r="N168" i="8" s="1"/>
  <c r="T49" i="18"/>
  <c r="L269" i="19"/>
  <c r="P62" i="1"/>
  <c r="R62" i="1" s="1"/>
  <c r="M114" i="8"/>
  <c r="N114" i="8" s="1"/>
  <c r="L255" i="19"/>
  <c r="P255" i="19" s="1"/>
  <c r="T199" i="18"/>
  <c r="I24" i="23"/>
  <c r="G24" i="23"/>
  <c r="H24" i="23"/>
  <c r="P18" i="1"/>
  <c r="R18" i="1" s="1"/>
  <c r="M139" i="8"/>
  <c r="N139" i="8" s="1"/>
  <c r="L95" i="19"/>
  <c r="P95" i="19" s="1"/>
  <c r="T32" i="18"/>
  <c r="R303" i="1"/>
  <c r="M80" i="8"/>
  <c r="N80" i="8" s="1"/>
  <c r="L283" i="19"/>
  <c r="P283" i="19" s="1"/>
  <c r="T84" i="18"/>
  <c r="R111" i="1"/>
  <c r="M7" i="8"/>
  <c r="N7" i="8" s="1"/>
  <c r="L155" i="19"/>
  <c r="P155" i="19" s="1"/>
  <c r="T63" i="18"/>
  <c r="N121" i="2"/>
  <c r="O121" i="2"/>
  <c r="K176" i="16"/>
  <c r="L176" i="16" s="1"/>
  <c r="J176" i="16"/>
  <c r="P131" i="1"/>
  <c r="R131" i="1" s="1"/>
  <c r="M85" i="8"/>
  <c r="N85" i="8" s="1"/>
  <c r="N17" i="2"/>
  <c r="O17" i="2"/>
  <c r="L109" i="19"/>
  <c r="P109" i="19" s="1"/>
  <c r="T98" i="18"/>
  <c r="L197" i="19"/>
  <c r="P197" i="19" s="1"/>
  <c r="T224" i="18"/>
  <c r="L68" i="19"/>
  <c r="T153" i="18"/>
  <c r="O54" i="2"/>
  <c r="N54" i="2"/>
  <c r="J93" i="16"/>
  <c r="K93" i="16"/>
  <c r="L93" i="16" s="1"/>
  <c r="M152" i="8"/>
  <c r="N152" i="8" s="1"/>
  <c r="P280" i="1"/>
  <c r="R280" i="1" s="1"/>
  <c r="T206" i="18"/>
  <c r="L98" i="19"/>
  <c r="J43" i="16"/>
  <c r="K43" i="16"/>
  <c r="L43" i="16" s="1"/>
  <c r="C25" i="23"/>
  <c r="F25" i="23"/>
  <c r="R279" i="3"/>
  <c r="Q279" i="3"/>
  <c r="Q155" i="3"/>
  <c r="R155" i="3"/>
  <c r="P85" i="3"/>
  <c r="J153" i="16"/>
  <c r="K153" i="16"/>
  <c r="L153" i="16" s="1"/>
  <c r="K4" i="16"/>
  <c r="J4" i="16"/>
  <c r="J229" i="16"/>
  <c r="K229" i="16"/>
  <c r="L229" i="16" s="1"/>
  <c r="Y113" i="18"/>
  <c r="Q111" i="3"/>
  <c r="R111" i="3" s="1"/>
  <c r="J184" i="16"/>
  <c r="K184" i="16"/>
  <c r="L184" i="16" s="1"/>
  <c r="C30" i="23"/>
  <c r="F30" i="23"/>
  <c r="C471" i="5"/>
  <c r="G471" i="5" s="1"/>
  <c r="G361" i="5"/>
  <c r="S154" i="1"/>
  <c r="T154" i="1" s="1"/>
  <c r="Q206" i="1"/>
  <c r="Q144" i="1"/>
  <c r="R202" i="1"/>
  <c r="P202" i="1"/>
  <c r="M134" i="8"/>
  <c r="N134" i="8" s="1"/>
  <c r="Q24" i="1"/>
  <c r="M144" i="8"/>
  <c r="N144" i="8" s="1"/>
  <c r="P187" i="1"/>
  <c r="Y12" i="18"/>
  <c r="M194" i="8"/>
  <c r="N194" i="8" s="1"/>
  <c r="R297" i="1"/>
  <c r="P192" i="1"/>
  <c r="M163" i="8"/>
  <c r="N163" i="8" s="1"/>
  <c r="R192" i="1"/>
  <c r="Y2" i="18"/>
  <c r="U249" i="18"/>
  <c r="L153" i="19"/>
  <c r="T9" i="18"/>
  <c r="R302" i="1"/>
  <c r="M15" i="8"/>
  <c r="N15" i="8" s="1"/>
  <c r="P56" i="1"/>
  <c r="R56" i="1" s="1"/>
  <c r="M133" i="8"/>
  <c r="N133" i="8" s="1"/>
  <c r="Y134" i="18"/>
  <c r="Y16" i="18"/>
  <c r="H18" i="23"/>
  <c r="I18" i="23"/>
  <c r="G18" i="23"/>
  <c r="L220" i="19"/>
  <c r="T119" i="18"/>
  <c r="Y129" i="18"/>
  <c r="L158" i="19"/>
  <c r="P158" i="19" s="1"/>
  <c r="T145" i="18"/>
  <c r="L198" i="19"/>
  <c r="P198" i="19" s="1"/>
  <c r="T174" i="18"/>
  <c r="Y36" i="18"/>
  <c r="L77" i="19"/>
  <c r="T207" i="18"/>
  <c r="T56" i="18"/>
  <c r="T60" i="18"/>
  <c r="L201" i="19"/>
  <c r="P201" i="19" s="1"/>
  <c r="Y148" i="18"/>
  <c r="N105" i="2"/>
  <c r="O105" i="2"/>
  <c r="N9" i="2"/>
  <c r="O9" i="2"/>
  <c r="L55" i="19"/>
  <c r="T93" i="18"/>
  <c r="O69" i="2"/>
  <c r="N69" i="2"/>
  <c r="N124" i="2"/>
  <c r="O124" i="2"/>
  <c r="Y240" i="18"/>
  <c r="Y138" i="18"/>
  <c r="Q128" i="1"/>
  <c r="Q218" i="1"/>
  <c r="Q196" i="1"/>
  <c r="R196" i="1"/>
  <c r="Q289" i="1"/>
  <c r="R289" i="1"/>
  <c r="R211" i="1"/>
  <c r="M79" i="8"/>
  <c r="N79" i="8" s="1"/>
  <c r="M111" i="8"/>
  <c r="N111" i="8" s="1"/>
  <c r="P180" i="1"/>
  <c r="M188" i="8"/>
  <c r="N188" i="8" s="1"/>
  <c r="R227" i="1"/>
  <c r="R157" i="1"/>
  <c r="P288" i="1"/>
  <c r="R288" i="1" s="1"/>
  <c r="M102" i="8"/>
  <c r="N102" i="8" s="1"/>
  <c r="R8" i="1"/>
  <c r="M182" i="8"/>
  <c r="N182" i="8" s="1"/>
  <c r="I337" i="1"/>
  <c r="P142" i="1"/>
  <c r="R142" i="1" s="1"/>
  <c r="M93" i="8"/>
  <c r="N93" i="8" s="1"/>
  <c r="A346" i="5"/>
  <c r="C347" i="5" s="1"/>
  <c r="P102" i="1"/>
  <c r="R102" i="1" s="1"/>
  <c r="M125" i="8"/>
  <c r="N125" i="8" s="1"/>
  <c r="R126" i="1"/>
  <c r="M170" i="8"/>
  <c r="N170" i="8" s="1"/>
  <c r="R134" i="1"/>
  <c r="M202" i="8"/>
  <c r="N202" i="8" s="1"/>
  <c r="M47" i="8"/>
  <c r="N47" i="8" s="1"/>
  <c r="P200" i="1"/>
  <c r="R200" i="1"/>
  <c r="M126" i="8"/>
  <c r="N126" i="8" s="1"/>
  <c r="A482" i="5"/>
  <c r="C483" i="5" s="1"/>
  <c r="P245" i="1"/>
  <c r="R245" i="1"/>
  <c r="M158" i="8"/>
  <c r="N158" i="8" s="1"/>
  <c r="R207" i="1"/>
  <c r="M190" i="8"/>
  <c r="N190" i="8" s="1"/>
  <c r="M84" i="8"/>
  <c r="N84" i="8" s="1"/>
  <c r="P298" i="1"/>
  <c r="R298" i="1" s="1"/>
  <c r="M151" i="8"/>
  <c r="N151" i="8" s="1"/>
  <c r="R334" i="1"/>
  <c r="M71" i="8"/>
  <c r="N71" i="8" s="1"/>
  <c r="L62" i="19"/>
  <c r="T34" i="18"/>
  <c r="P57" i="1"/>
  <c r="R57" i="1" s="1"/>
  <c r="M96" i="8"/>
  <c r="N96" i="8" s="1"/>
  <c r="Y6" i="18"/>
  <c r="L24" i="19"/>
  <c r="P24" i="19" s="1"/>
  <c r="T30" i="18"/>
  <c r="L70" i="19"/>
  <c r="T57" i="18"/>
  <c r="P269" i="1"/>
  <c r="M83" i="8"/>
  <c r="N83" i="8" s="1"/>
  <c r="T2" i="18"/>
  <c r="Y38" i="18"/>
  <c r="P272" i="1"/>
  <c r="R272" i="1" s="1"/>
  <c r="M100" i="8"/>
  <c r="N100" i="8" s="1"/>
  <c r="Y22" i="18"/>
  <c r="L59" i="19"/>
  <c r="T44" i="18"/>
  <c r="R74" i="1"/>
  <c r="M38" i="8"/>
  <c r="N38" i="8" s="1"/>
  <c r="R13" i="1"/>
  <c r="M179" i="8"/>
  <c r="N179" i="8" s="1"/>
  <c r="Y15" i="18"/>
  <c r="P81" i="1"/>
  <c r="R81" i="1" s="1"/>
  <c r="M119" i="8"/>
  <c r="N119" i="8" s="1"/>
  <c r="R132" i="1"/>
  <c r="M192" i="8"/>
  <c r="N192" i="8" s="1"/>
  <c r="A332" i="5"/>
  <c r="C333" i="5" s="1"/>
  <c r="M87" i="8"/>
  <c r="N87" i="8" s="1"/>
  <c r="P240" i="1"/>
  <c r="R240" i="1" s="1"/>
  <c r="T7" i="18"/>
  <c r="T77" i="18"/>
  <c r="L52" i="19"/>
  <c r="L241" i="19"/>
  <c r="T183" i="18"/>
  <c r="L205" i="19"/>
  <c r="P205" i="19" s="1"/>
  <c r="T94" i="18"/>
  <c r="Y167" i="18"/>
  <c r="Y187" i="18"/>
  <c r="Y84" i="18"/>
  <c r="Y145" i="18"/>
  <c r="Y178" i="18"/>
  <c r="T65" i="18"/>
  <c r="L270" i="19"/>
  <c r="T74" i="18"/>
  <c r="L291" i="19"/>
  <c r="P291" i="19" s="1"/>
  <c r="T105" i="18"/>
  <c r="Y156" i="18"/>
  <c r="J63" i="16"/>
  <c r="K63" i="16"/>
  <c r="L63" i="16" s="1"/>
  <c r="O97" i="2"/>
  <c r="N97" i="2"/>
  <c r="T192" i="18"/>
  <c r="Y153" i="18"/>
  <c r="L40" i="19"/>
  <c r="T161" i="18"/>
  <c r="O79" i="2"/>
  <c r="N79" i="2"/>
  <c r="S244" i="18"/>
  <c r="T244" i="18"/>
  <c r="G28" i="23"/>
  <c r="I28" i="23"/>
  <c r="H28" i="23"/>
  <c r="S236" i="18"/>
  <c r="T236" i="18"/>
  <c r="Q110" i="3"/>
  <c r="R110" i="3"/>
  <c r="Q153" i="3"/>
  <c r="R153" i="3"/>
  <c r="Q73" i="3"/>
  <c r="R73" i="3" s="1"/>
  <c r="Q233" i="3"/>
  <c r="R233" i="3" s="1"/>
  <c r="Q75" i="3"/>
  <c r="R75" i="3" s="1"/>
  <c r="P23" i="3"/>
  <c r="P231" i="3"/>
  <c r="Q158" i="3"/>
  <c r="R158" i="3" s="1"/>
  <c r="P33" i="3"/>
  <c r="R33" i="3" s="1"/>
  <c r="P225" i="3"/>
  <c r="P131" i="3"/>
  <c r="Y191" i="18"/>
  <c r="J128" i="16"/>
  <c r="K128" i="16"/>
  <c r="L128" i="16" s="1"/>
  <c r="R97" i="3"/>
  <c r="Q97" i="3"/>
  <c r="G22" i="23"/>
  <c r="I22" i="23"/>
  <c r="H22" i="23"/>
  <c r="Y237" i="18"/>
  <c r="J76" i="16"/>
  <c r="K76" i="16"/>
  <c r="L76" i="16" s="1"/>
  <c r="K112" i="16"/>
  <c r="L112" i="16" s="1"/>
  <c r="J112" i="16"/>
  <c r="Y146" i="18"/>
  <c r="S131" i="18"/>
  <c r="T131" i="18"/>
  <c r="K80" i="16"/>
  <c r="L80" i="16" s="1"/>
  <c r="J80" i="16"/>
  <c r="E537" i="5"/>
  <c r="G537" i="5" s="1"/>
  <c r="K136" i="16"/>
  <c r="L136" i="16" s="1"/>
  <c r="J136" i="16"/>
  <c r="J29" i="16"/>
  <c r="K29" i="16"/>
  <c r="L29" i="16" s="1"/>
  <c r="J188" i="16"/>
  <c r="K188" i="16"/>
  <c r="L188" i="16" s="1"/>
  <c r="J169" i="16"/>
  <c r="K169" i="16"/>
  <c r="L169" i="16" s="1"/>
  <c r="Y184" i="18"/>
  <c r="S209" i="18"/>
  <c r="T209" i="18"/>
  <c r="T66" i="18"/>
  <c r="G399" i="5"/>
  <c r="J164" i="1" s="1"/>
  <c r="N164" i="1" s="1"/>
  <c r="P181" i="1"/>
  <c r="M112" i="8"/>
  <c r="N112" i="8" s="1"/>
  <c r="J241" i="16"/>
  <c r="K241" i="16"/>
  <c r="L241" i="16" s="1"/>
  <c r="L168" i="19"/>
  <c r="P168" i="19" s="1"/>
  <c r="T146" i="18"/>
  <c r="J121" i="16"/>
  <c r="K121" i="16"/>
  <c r="L121" i="16" s="1"/>
  <c r="J243" i="16"/>
  <c r="K243" i="16"/>
  <c r="L243" i="16" s="1"/>
  <c r="C458" i="5"/>
  <c r="C577" i="5"/>
  <c r="E576" i="5"/>
  <c r="E577" i="5" s="1"/>
  <c r="G577" i="5" s="1"/>
  <c r="J277" i="1"/>
  <c r="N277" i="1" s="1"/>
  <c r="J278" i="1"/>
  <c r="N278" i="1" s="1"/>
  <c r="K261" i="3"/>
  <c r="N261" i="3" s="1"/>
  <c r="P261" i="3" s="1"/>
  <c r="K259" i="3"/>
  <c r="N259" i="3" s="1"/>
  <c r="P259" i="3" s="1"/>
  <c r="K258" i="3"/>
  <c r="N258" i="3" s="1"/>
  <c r="P258" i="3" s="1"/>
  <c r="K257" i="3"/>
  <c r="N257" i="3" s="1"/>
  <c r="P257" i="3" s="1"/>
  <c r="J421" i="2"/>
  <c r="L421" i="2" s="1"/>
  <c r="J417" i="2"/>
  <c r="L417" i="2" s="1"/>
  <c r="J419" i="2"/>
  <c r="L419" i="2" s="1"/>
  <c r="J423" i="2"/>
  <c r="L423" i="2" s="1"/>
  <c r="J422" i="2"/>
  <c r="L422" i="2" s="1"/>
  <c r="J418" i="2"/>
  <c r="L418" i="2" s="1"/>
  <c r="J424" i="2"/>
  <c r="L424" i="2" s="1"/>
  <c r="J420" i="2"/>
  <c r="L420" i="2" s="1"/>
  <c r="K260" i="3"/>
  <c r="N260" i="3" s="1"/>
  <c r="P260" i="3" s="1"/>
  <c r="Q111" i="1"/>
  <c r="P61" i="1"/>
  <c r="R61" i="1"/>
  <c r="M108" i="8"/>
  <c r="N108" i="8" s="1"/>
  <c r="M175" i="8"/>
  <c r="N175" i="8" s="1"/>
  <c r="R243" i="1"/>
  <c r="Y3" i="18"/>
  <c r="X249" i="18"/>
  <c r="M89" i="8"/>
  <c r="N89" i="8" s="1"/>
  <c r="P270" i="1"/>
  <c r="R203" i="1"/>
  <c r="M201" i="8"/>
  <c r="N201" i="8" s="1"/>
  <c r="R296" i="1"/>
  <c r="P296" i="1"/>
  <c r="M122" i="8"/>
  <c r="N122" i="8" s="1"/>
  <c r="P16" i="1"/>
  <c r="R16" i="1" s="1"/>
  <c r="M113" i="8"/>
  <c r="N113" i="8" s="1"/>
  <c r="R241" i="1"/>
  <c r="M177" i="8"/>
  <c r="N177" i="8" s="1"/>
  <c r="M196" i="8"/>
  <c r="N196" i="8" s="1"/>
  <c r="Y27" i="18"/>
  <c r="M55" i="8"/>
  <c r="N55" i="8" s="1"/>
  <c r="J175" i="16"/>
  <c r="K175" i="16"/>
  <c r="L175" i="16" s="1"/>
  <c r="R130" i="1"/>
  <c r="Q18" i="1"/>
  <c r="R325" i="1"/>
  <c r="R118" i="1"/>
  <c r="M195" i="8"/>
  <c r="N195" i="8" s="1"/>
  <c r="Y30" i="18"/>
  <c r="L36" i="19"/>
  <c r="P249" i="18"/>
  <c r="T4" i="18"/>
  <c r="M22" i="8"/>
  <c r="N22" i="8" s="1"/>
  <c r="A522" i="5"/>
  <c r="C524" i="5" s="1"/>
  <c r="P283" i="1"/>
  <c r="R283" i="1" s="1"/>
  <c r="M91" i="8"/>
  <c r="N91" i="8" s="1"/>
  <c r="L310" i="19"/>
  <c r="P310" i="19" s="1"/>
  <c r="T140" i="18"/>
  <c r="Y65" i="18"/>
  <c r="N81" i="2"/>
  <c r="O81" i="2"/>
  <c r="L69" i="19"/>
  <c r="A40" i="20" s="1"/>
  <c r="C41" i="20" s="1"/>
  <c r="T73" i="18"/>
  <c r="Y93" i="18"/>
  <c r="S136" i="18"/>
  <c r="T136" i="18"/>
  <c r="K96" i="16"/>
  <c r="L96" i="16" s="1"/>
  <c r="J96" i="16"/>
  <c r="J173" i="16"/>
  <c r="K173" i="16"/>
  <c r="L173" i="16" s="1"/>
  <c r="Q94" i="3"/>
  <c r="R94" i="3" s="1"/>
  <c r="P25" i="3"/>
  <c r="R25" i="3" s="1"/>
  <c r="J180" i="16"/>
  <c r="K180" i="16"/>
  <c r="L180" i="16" s="1"/>
  <c r="J33" i="16"/>
  <c r="K33" i="16"/>
  <c r="L33" i="16" s="1"/>
  <c r="Q164" i="3"/>
  <c r="R164" i="3" s="1"/>
  <c r="K110" i="16"/>
  <c r="L110" i="16" s="1"/>
  <c r="J110" i="16"/>
  <c r="J144" i="16"/>
  <c r="K144" i="16"/>
  <c r="L144" i="16" s="1"/>
  <c r="A269" i="5"/>
  <c r="C270" i="5" s="1"/>
  <c r="Y232" i="18"/>
  <c r="K27" i="16"/>
  <c r="L27" i="16" s="1"/>
  <c r="A373" i="5"/>
  <c r="C376" i="5" s="1"/>
  <c r="J27" i="16"/>
  <c r="J217" i="16"/>
  <c r="K217" i="16"/>
  <c r="L217" i="16" s="1"/>
  <c r="Q141" i="1"/>
  <c r="Q61" i="1"/>
  <c r="Q136" i="1"/>
  <c r="R136" i="1"/>
  <c r="R125" i="1"/>
  <c r="M169" i="8"/>
  <c r="N169" i="8" s="1"/>
  <c r="Q125" i="1"/>
  <c r="M191" i="8"/>
  <c r="N191" i="8" s="1"/>
  <c r="P128" i="1"/>
  <c r="R128" i="1"/>
  <c r="M105" i="8"/>
  <c r="N105" i="8" s="1"/>
  <c r="Q131" i="1"/>
  <c r="M205" i="8"/>
  <c r="N205" i="8" s="1"/>
  <c r="Q302" i="1"/>
  <c r="P139" i="1"/>
  <c r="R139" i="1" s="1"/>
  <c r="M129" i="8"/>
  <c r="N129" i="8" s="1"/>
  <c r="P175" i="1"/>
  <c r="M98" i="8"/>
  <c r="N98" i="8" s="1"/>
  <c r="P234" i="1"/>
  <c r="M103" i="8"/>
  <c r="N103" i="8" s="1"/>
  <c r="R234" i="1"/>
  <c r="P299" i="1"/>
  <c r="R299" i="1"/>
  <c r="M164" i="8"/>
  <c r="N164" i="8" s="1"/>
  <c r="T26" i="18"/>
  <c r="L312" i="19"/>
  <c r="P312" i="19" s="1"/>
  <c r="M147" i="8"/>
  <c r="N147" i="8" s="1"/>
  <c r="P287" i="1"/>
  <c r="R287" i="1"/>
  <c r="M48" i="8"/>
  <c r="N48" i="8" s="1"/>
  <c r="T50" i="18"/>
  <c r="L63" i="19"/>
  <c r="T35" i="18"/>
  <c r="L149" i="19"/>
  <c r="T185" i="18"/>
  <c r="L132" i="19"/>
  <c r="P132" i="19" s="1"/>
  <c r="T247" i="18"/>
  <c r="J143" i="16"/>
  <c r="K143" i="16"/>
  <c r="L143" i="16" s="1"/>
  <c r="J207" i="16"/>
  <c r="A144" i="5"/>
  <c r="C145" i="5" s="1"/>
  <c r="K207" i="16"/>
  <c r="L207" i="16" s="1"/>
  <c r="O73" i="2"/>
  <c r="N73" i="2"/>
  <c r="Y73" i="18"/>
  <c r="L162" i="19"/>
  <c r="P162" i="19" s="1"/>
  <c r="T110" i="18"/>
  <c r="T203" i="18"/>
  <c r="L243" i="19"/>
  <c r="C19" i="23"/>
  <c r="F19" i="23"/>
  <c r="N84" i="2"/>
  <c r="O84" i="2"/>
  <c r="Y173" i="18"/>
  <c r="Q207" i="3"/>
  <c r="R207" i="3" s="1"/>
  <c r="K55" i="16"/>
  <c r="L55" i="16" s="1"/>
  <c r="J55" i="16"/>
  <c r="S99" i="18"/>
  <c r="T99" i="18"/>
  <c r="T157" i="18"/>
  <c r="L146" i="19"/>
  <c r="T229" i="18"/>
  <c r="J123" i="16"/>
  <c r="K123" i="16"/>
  <c r="L123" i="16" s="1"/>
  <c r="S188" i="18"/>
  <c r="T188" i="18"/>
  <c r="L131" i="19"/>
  <c r="P131" i="19" s="1"/>
  <c r="T245" i="18"/>
  <c r="Q26" i="3"/>
  <c r="R26" i="3"/>
  <c r="Q92" i="3"/>
  <c r="R92" i="3" s="1"/>
  <c r="R212" i="3"/>
  <c r="Q212" i="3"/>
  <c r="Q6" i="3"/>
  <c r="R6" i="3" s="1"/>
  <c r="P95" i="3"/>
  <c r="Q236" i="3"/>
  <c r="R236" i="3" s="1"/>
  <c r="J212" i="16"/>
  <c r="K212" i="16"/>
  <c r="L212" i="16" s="1"/>
  <c r="L249" i="19"/>
  <c r="T191" i="18"/>
  <c r="J156" i="16"/>
  <c r="K156" i="16"/>
  <c r="L156" i="16" s="1"/>
  <c r="Q210" i="3"/>
  <c r="R210" i="3"/>
  <c r="K78" i="16"/>
  <c r="L78" i="16" s="1"/>
  <c r="J78" i="16"/>
  <c r="J245" i="16"/>
  <c r="K245" i="16"/>
  <c r="L245" i="16" s="1"/>
  <c r="A177" i="5"/>
  <c r="C178" i="5" s="1"/>
  <c r="K199" i="16"/>
  <c r="L199" i="16" s="1"/>
  <c r="J199" i="16"/>
  <c r="A408" i="5"/>
  <c r="C409" i="5" s="1"/>
  <c r="Y17" i="18"/>
  <c r="L82" i="19"/>
  <c r="P82" i="19" s="1"/>
  <c r="T113" i="18"/>
  <c r="Q68" i="3"/>
  <c r="R68" i="3"/>
  <c r="K230" i="16"/>
  <c r="L230" i="16" s="1"/>
  <c r="J230" i="16"/>
  <c r="J220" i="16"/>
  <c r="K220" i="16"/>
  <c r="L220" i="16" s="1"/>
  <c r="J219" i="16"/>
  <c r="K219" i="16"/>
  <c r="L219" i="16" s="1"/>
  <c r="T241" i="18"/>
  <c r="T232" i="18"/>
  <c r="L147" i="19"/>
  <c r="Y238" i="18"/>
  <c r="F17" i="23"/>
  <c r="D32" i="23"/>
  <c r="C17" i="23"/>
  <c r="J99" i="1"/>
  <c r="N99" i="1" s="1"/>
  <c r="J100" i="1"/>
  <c r="N100" i="1" s="1"/>
  <c r="J98" i="1"/>
  <c r="N98" i="1" s="1"/>
  <c r="K21" i="21"/>
  <c r="M21" i="21" s="1"/>
  <c r="N21" i="21" s="1"/>
  <c r="Q194" i="1"/>
  <c r="M197" i="8"/>
  <c r="N197" i="8" s="1"/>
  <c r="P214" i="1"/>
  <c r="R214" i="1"/>
  <c r="M146" i="8"/>
  <c r="N146" i="8" s="1"/>
  <c r="N20" i="2"/>
  <c r="O20" i="2"/>
  <c r="K155" i="16"/>
  <c r="L155" i="16" s="1"/>
  <c r="J155" i="16"/>
  <c r="Q113" i="3"/>
  <c r="R113" i="3"/>
  <c r="R91" i="3"/>
  <c r="Q91" i="3"/>
  <c r="K206" i="16"/>
  <c r="L206" i="16" s="1"/>
  <c r="J206" i="16"/>
  <c r="J28" i="1"/>
  <c r="N28" i="1" s="1"/>
  <c r="J36" i="1"/>
  <c r="N36" i="1" s="1"/>
  <c r="J26" i="1"/>
  <c r="N26" i="1" s="1"/>
  <c r="J29" i="1"/>
  <c r="N29" i="1" s="1"/>
  <c r="J37" i="1"/>
  <c r="N37" i="1" s="1"/>
  <c r="J30" i="1"/>
  <c r="N30" i="1" s="1"/>
  <c r="J34" i="1"/>
  <c r="N34" i="1" s="1"/>
  <c r="J31" i="1"/>
  <c r="N31" i="1" s="1"/>
  <c r="J32" i="1"/>
  <c r="N32" i="1" s="1"/>
  <c r="J33" i="1"/>
  <c r="N33" i="1" s="1"/>
  <c r="J38" i="1"/>
  <c r="N38" i="1" s="1"/>
  <c r="J39" i="1"/>
  <c r="N39" i="1" s="1"/>
  <c r="J41" i="1"/>
  <c r="N41" i="1" s="1"/>
  <c r="J35" i="1"/>
  <c r="N35" i="1" s="1"/>
  <c r="J27" i="1"/>
  <c r="N27" i="1" s="1"/>
  <c r="J42" i="1"/>
  <c r="N42" i="1" s="1"/>
  <c r="J40" i="1"/>
  <c r="N40" i="1" s="1"/>
  <c r="L239" i="19"/>
  <c r="T184" i="18"/>
  <c r="M189" i="8"/>
  <c r="N189" i="8" s="1"/>
  <c r="A166" i="5"/>
  <c r="C167" i="5" s="1"/>
  <c r="R67" i="1"/>
  <c r="P67" i="1"/>
  <c r="M145" i="8"/>
  <c r="N145" i="8" s="1"/>
  <c r="L192" i="19"/>
  <c r="P192" i="19" s="1"/>
  <c r="T12" i="18"/>
  <c r="M56" i="8"/>
  <c r="N56" i="8" s="1"/>
  <c r="L42" i="19"/>
  <c r="T36" i="18"/>
  <c r="L41" i="19"/>
  <c r="T164" i="18"/>
  <c r="Y69" i="18"/>
  <c r="Y207" i="18"/>
  <c r="L290" i="19"/>
  <c r="P290" i="19" s="1"/>
  <c r="T210" i="18"/>
  <c r="Q306" i="1"/>
  <c r="R306" i="1"/>
  <c r="P66" i="1"/>
  <c r="R66" i="1" s="1"/>
  <c r="M137" i="8"/>
  <c r="N137" i="8" s="1"/>
  <c r="P135" i="1"/>
  <c r="R135" i="1"/>
  <c r="M104" i="8"/>
  <c r="N104" i="8" s="1"/>
  <c r="P5" i="19"/>
  <c r="T230" i="18"/>
  <c r="L154" i="19"/>
  <c r="L134" i="19"/>
  <c r="P134" i="19" s="1"/>
  <c r="T246" i="18"/>
  <c r="Q115" i="3"/>
  <c r="R115" i="3"/>
  <c r="J5" i="16"/>
  <c r="K5" i="16"/>
  <c r="L5" i="16" s="1"/>
  <c r="C108" i="5"/>
  <c r="E107" i="5"/>
  <c r="E108" i="5" s="1"/>
  <c r="G108" i="5" s="1"/>
  <c r="J209" i="16"/>
  <c r="K209" i="16"/>
  <c r="L209" i="16" s="1"/>
  <c r="P226" i="1"/>
  <c r="R226" i="1" s="1"/>
  <c r="M124" i="8"/>
  <c r="N124" i="8" s="1"/>
  <c r="R301" i="1"/>
  <c r="M40" i="8"/>
  <c r="N40" i="8" s="1"/>
  <c r="P60" i="1"/>
  <c r="R60" i="1"/>
  <c r="M106" i="8"/>
  <c r="N106" i="8" s="1"/>
  <c r="M193" i="8"/>
  <c r="N193" i="8" s="1"/>
  <c r="A47" i="5"/>
  <c r="C48" i="5" s="1"/>
  <c r="R190" i="1"/>
  <c r="M160" i="8"/>
  <c r="N160" i="8" s="1"/>
  <c r="P190" i="1"/>
  <c r="L48" i="19"/>
  <c r="T33" i="18"/>
  <c r="L72" i="19"/>
  <c r="T118" i="18"/>
  <c r="Y133" i="18"/>
  <c r="L182" i="19"/>
  <c r="A112" i="20" s="1"/>
  <c r="C114" i="20" s="1"/>
  <c r="T71" i="18"/>
  <c r="Q139" i="1"/>
  <c r="P21" i="1"/>
  <c r="R21" i="1" s="1"/>
  <c r="M155" i="8"/>
  <c r="N155" i="8" s="1"/>
  <c r="R20" i="1"/>
  <c r="P20" i="1"/>
  <c r="M136" i="8"/>
  <c r="N136" i="8" s="1"/>
  <c r="Y26" i="18"/>
  <c r="M167" i="8"/>
  <c r="N167" i="8" s="1"/>
  <c r="R332" i="1"/>
  <c r="Y9" i="18"/>
  <c r="P212" i="1"/>
  <c r="R212" i="1" s="1"/>
  <c r="M132" i="8"/>
  <c r="N132" i="8" s="1"/>
  <c r="T68" i="18"/>
  <c r="L273" i="19"/>
  <c r="L217" i="19"/>
  <c r="T126" i="18"/>
  <c r="T111" i="18"/>
  <c r="T151" i="18"/>
  <c r="Y247" i="18"/>
  <c r="L221" i="19"/>
  <c r="T102" i="18"/>
  <c r="L139" i="19"/>
  <c r="T166" i="18"/>
  <c r="N137" i="2"/>
  <c r="O137" i="2"/>
  <c r="N65" i="2"/>
  <c r="O65" i="2"/>
  <c r="L67" i="19"/>
  <c r="T125" i="18"/>
  <c r="L314" i="19"/>
  <c r="P314" i="19" s="1"/>
  <c r="T218" i="18"/>
  <c r="Y110" i="18"/>
  <c r="L184" i="19"/>
  <c r="T81" i="18"/>
  <c r="L12" i="19"/>
  <c r="P12" i="19" s="1"/>
  <c r="T148" i="18"/>
  <c r="N15" i="2"/>
  <c r="O15" i="2"/>
  <c r="N94" i="2"/>
  <c r="O94" i="2"/>
  <c r="Y159" i="18"/>
  <c r="T214" i="18"/>
  <c r="Y201" i="18"/>
  <c r="L148" i="19"/>
  <c r="T234" i="18"/>
  <c r="T138" i="18"/>
  <c r="L157" i="19"/>
  <c r="P157" i="19" s="1"/>
  <c r="C21" i="23"/>
  <c r="F21" i="23"/>
  <c r="P201" i="3"/>
  <c r="P277" i="3"/>
  <c r="Q69" i="3"/>
  <c r="R69" i="3"/>
  <c r="Q161" i="3"/>
  <c r="R161" i="3"/>
  <c r="P9" i="3"/>
  <c r="Q230" i="3"/>
  <c r="R230" i="3"/>
  <c r="P285" i="3"/>
  <c r="P29" i="3"/>
  <c r="R29" i="3" s="1"/>
  <c r="J141" i="16"/>
  <c r="K141" i="16"/>
  <c r="L141" i="16" s="1"/>
  <c r="J64" i="16"/>
  <c r="K64" i="16"/>
  <c r="L64" i="16" s="1"/>
  <c r="F20" i="23"/>
  <c r="C20" i="23"/>
  <c r="P209" i="3"/>
  <c r="C26" i="23"/>
  <c r="F26" i="23"/>
  <c r="Q281" i="3"/>
  <c r="R281" i="3" s="1"/>
  <c r="J125" i="16"/>
  <c r="K125" i="16"/>
  <c r="L125" i="16" s="1"/>
  <c r="K215" i="16"/>
  <c r="L215" i="16" s="1"/>
  <c r="J215" i="16"/>
  <c r="Q213" i="3"/>
  <c r="R213" i="3" s="1"/>
  <c r="K23" i="16"/>
  <c r="L23" i="16" s="1"/>
  <c r="J23" i="16"/>
  <c r="I154" i="3"/>
  <c r="I287" i="3" s="1"/>
  <c r="G250" i="16"/>
  <c r="J13" i="16"/>
  <c r="K13" i="16"/>
  <c r="L13" i="16" s="1"/>
  <c r="J129" i="16"/>
  <c r="K129" i="16"/>
  <c r="L129" i="16" s="1"/>
  <c r="J157" i="16"/>
  <c r="K157" i="16"/>
  <c r="L157" i="16" s="1"/>
  <c r="K236" i="16"/>
  <c r="L236" i="16" s="1"/>
  <c r="J236" i="16"/>
  <c r="K203" i="16"/>
  <c r="L203" i="16" s="1"/>
  <c r="J203" i="16"/>
  <c r="K223" i="16"/>
  <c r="L223" i="16" s="1"/>
  <c r="J223" i="16"/>
  <c r="J88" i="16"/>
  <c r="K88" i="16"/>
  <c r="L88" i="16" s="1"/>
  <c r="J225" i="16"/>
  <c r="K225" i="16"/>
  <c r="L225" i="16" s="1"/>
  <c r="L125" i="19"/>
  <c r="P125" i="19" s="1"/>
  <c r="T238" i="18"/>
  <c r="E511" i="5"/>
  <c r="G511" i="5" s="1"/>
  <c r="R304" i="1"/>
  <c r="M45" i="8"/>
  <c r="N45" i="8" s="1"/>
  <c r="P268" i="1"/>
  <c r="M82" i="8"/>
  <c r="N82" i="8" s="1"/>
  <c r="M203" i="8"/>
  <c r="N203" i="8" s="1"/>
  <c r="T82" i="18"/>
  <c r="L279" i="19"/>
  <c r="L188" i="19"/>
  <c r="T167" i="18"/>
  <c r="T104" i="18"/>
  <c r="L218" i="19"/>
  <c r="T158" i="18"/>
  <c r="C29" i="23"/>
  <c r="F29" i="23"/>
  <c r="N33" i="2"/>
  <c r="O33" i="2"/>
  <c r="L79" i="19"/>
  <c r="T90" i="18"/>
  <c r="L190" i="19"/>
  <c r="T173" i="18"/>
  <c r="Q162" i="3"/>
  <c r="R162" i="3"/>
  <c r="J187" i="16"/>
  <c r="K187" i="16"/>
  <c r="L187" i="16" s="1"/>
  <c r="A590" i="5"/>
  <c r="C593" i="5" s="1"/>
  <c r="Q154" i="3"/>
  <c r="R154" i="3"/>
  <c r="L254" i="19"/>
  <c r="P254" i="19" s="1"/>
  <c r="T231" i="18"/>
  <c r="J216" i="16"/>
  <c r="K216" i="16"/>
  <c r="L216" i="16" s="1"/>
  <c r="Q74" i="3"/>
  <c r="R74" i="3" s="1"/>
  <c r="C27" i="23"/>
  <c r="F27" i="23"/>
  <c r="J160" i="16"/>
  <c r="K160" i="16"/>
  <c r="L160" i="16" s="1"/>
  <c r="R141" i="1"/>
  <c r="M70" i="8"/>
  <c r="N70" i="8" s="1"/>
  <c r="O113" i="2"/>
  <c r="N113" i="2"/>
  <c r="R242" i="1"/>
  <c r="M183" i="8"/>
  <c r="N183" i="8" s="1"/>
  <c r="P215" i="1"/>
  <c r="R215" i="1"/>
  <c r="M148" i="8"/>
  <c r="N148" i="8" s="1"/>
  <c r="L45" i="19"/>
  <c r="T40" i="18"/>
  <c r="L191" i="19"/>
  <c r="T179" i="18"/>
  <c r="Y60" i="18"/>
  <c r="J47" i="16"/>
  <c r="K47" i="16"/>
  <c r="L47" i="16" s="1"/>
  <c r="J211" i="16"/>
  <c r="K211" i="16"/>
  <c r="L211" i="16" s="1"/>
  <c r="J109" i="16"/>
  <c r="K109" i="16"/>
  <c r="L109" i="16" s="1"/>
  <c r="P93" i="3"/>
  <c r="Y189" i="18"/>
  <c r="T240" i="18"/>
  <c r="L105" i="19"/>
  <c r="K151" i="16"/>
  <c r="L151" i="16" s="1"/>
  <c r="J151" i="16"/>
  <c r="P229" i="3"/>
  <c r="J205" i="16"/>
  <c r="K205" i="16"/>
  <c r="L205" i="16" s="1"/>
  <c r="J287" i="3"/>
  <c r="K70" i="16"/>
  <c r="L70" i="16" s="1"/>
  <c r="J70" i="16"/>
  <c r="K174" i="16"/>
  <c r="L174" i="16" s="1"/>
  <c r="J174" i="16"/>
  <c r="J189" i="16"/>
  <c r="K189" i="16"/>
  <c r="L189" i="16" s="1"/>
  <c r="J172" i="16"/>
  <c r="K172" i="16"/>
  <c r="L172" i="16" s="1"/>
  <c r="K246" i="16"/>
  <c r="L246" i="16" s="1"/>
  <c r="J246" i="16"/>
  <c r="P284" i="1"/>
  <c r="R284" i="1" s="1"/>
  <c r="M92" i="8"/>
  <c r="N92" i="8" s="1"/>
  <c r="P94" i="1"/>
  <c r="R94" i="1" s="1"/>
  <c r="M159" i="8"/>
  <c r="N159" i="8" s="1"/>
  <c r="A209" i="5"/>
  <c r="C212" i="5" s="1"/>
  <c r="R274" i="1"/>
  <c r="M185" i="8"/>
  <c r="N185" i="8" s="1"/>
  <c r="R330" i="1"/>
  <c r="M173" i="8"/>
  <c r="N173" i="8" s="1"/>
  <c r="Q330" i="1"/>
  <c r="Q203" i="1"/>
  <c r="P285" i="1"/>
  <c r="R285" i="1"/>
  <c r="M97" i="8"/>
  <c r="N97" i="8" s="1"/>
  <c r="R191" i="1"/>
  <c r="M161" i="8"/>
  <c r="N161" i="8" s="1"/>
  <c r="P191" i="1"/>
  <c r="R123" i="1"/>
  <c r="P123" i="1"/>
  <c r="M88" i="8"/>
  <c r="N88" i="8" s="1"/>
  <c r="P104" i="1"/>
  <c r="R104" i="1"/>
  <c r="M123" i="8"/>
  <c r="N123" i="8" s="1"/>
  <c r="Q104" i="1"/>
  <c r="R133" i="1"/>
  <c r="M199" i="8"/>
  <c r="N199" i="8" s="1"/>
  <c r="Y40" i="18"/>
  <c r="Y101" i="18"/>
  <c r="Q17" i="1"/>
  <c r="Q276" i="1"/>
  <c r="R276" i="1"/>
  <c r="R161" i="1"/>
  <c r="Q243" i="1"/>
  <c r="Q224" i="1"/>
  <c r="R224" i="1"/>
  <c r="R220" i="1"/>
  <c r="Q191" i="1"/>
  <c r="Q79" i="1"/>
  <c r="P233" i="1"/>
  <c r="R233" i="1" s="1"/>
  <c r="M153" i="8"/>
  <c r="N153" i="8" s="1"/>
  <c r="Q233" i="1"/>
  <c r="M63" i="8"/>
  <c r="N63" i="8" s="1"/>
  <c r="P171" i="1"/>
  <c r="M141" i="8"/>
  <c r="N141" i="8" s="1"/>
  <c r="A419" i="5"/>
  <c r="C420" i="5" s="1"/>
  <c r="Q304" i="1"/>
  <c r="R117" i="1"/>
  <c r="Q117" i="1"/>
  <c r="M187" i="8"/>
  <c r="N187" i="8" s="1"/>
  <c r="A444" i="5"/>
  <c r="C445" i="5" s="1"/>
  <c r="L71" i="19"/>
  <c r="T28" i="18"/>
  <c r="Q283" i="1"/>
  <c r="P273" i="1"/>
  <c r="R273" i="1"/>
  <c r="M162" i="8"/>
  <c r="N162" i="8" s="1"/>
  <c r="T18" i="18"/>
  <c r="L303" i="19"/>
  <c r="P303" i="19" s="1"/>
  <c r="R153" i="1"/>
  <c r="P153" i="1"/>
  <c r="M128" i="8"/>
  <c r="N128" i="8" s="1"/>
  <c r="L47" i="19"/>
  <c r="T41" i="18"/>
  <c r="R166" i="1"/>
  <c r="M8" i="8"/>
  <c r="N8" i="8" s="1"/>
  <c r="R107" i="1"/>
  <c r="M181" i="8"/>
  <c r="N181" i="8" s="1"/>
  <c r="R282" i="1"/>
  <c r="L108" i="19"/>
  <c r="P108" i="19" s="1"/>
  <c r="T55" i="18"/>
  <c r="L327" i="19"/>
  <c r="P327" i="19" s="1"/>
  <c r="T76" i="18"/>
  <c r="R173" i="1"/>
  <c r="M28" i="8"/>
  <c r="N28" i="8" s="1"/>
  <c r="M12" i="8"/>
  <c r="N12" i="8" s="1"/>
  <c r="R279" i="1"/>
  <c r="Y118" i="18"/>
  <c r="R310" i="1"/>
  <c r="M39" i="8"/>
  <c r="N39" i="8" s="1"/>
  <c r="L13" i="19"/>
  <c r="P13" i="19" s="1"/>
  <c r="T142" i="18"/>
  <c r="R15" i="1"/>
  <c r="Q15" i="1"/>
  <c r="Q118" i="1"/>
  <c r="Q255" i="1"/>
  <c r="R255" i="1"/>
  <c r="Q60" i="1"/>
  <c r="Q323" i="1"/>
  <c r="R323" i="1"/>
  <c r="Q288" i="1"/>
  <c r="R208" i="1"/>
  <c r="Q192" i="1"/>
  <c r="M95" i="8"/>
  <c r="N95" i="8" s="1"/>
  <c r="P174" i="1"/>
  <c r="R165" i="1"/>
  <c r="M172" i="8"/>
  <c r="N172" i="8" s="1"/>
  <c r="R93" i="1"/>
  <c r="M204" i="8"/>
  <c r="N204" i="8" s="1"/>
  <c r="A196" i="5"/>
  <c r="C198" i="5" s="1"/>
  <c r="Q241" i="1"/>
  <c r="P204" i="1"/>
  <c r="R204" i="1"/>
  <c r="M86" i="8"/>
  <c r="N86" i="8" s="1"/>
  <c r="Q204" i="1"/>
  <c r="R293" i="1"/>
  <c r="P293" i="1"/>
  <c r="M118" i="8"/>
  <c r="N118" i="8" s="1"/>
  <c r="R92" i="1"/>
  <c r="M198" i="8"/>
  <c r="N198" i="8" s="1"/>
  <c r="Q292" i="1"/>
  <c r="P143" i="1"/>
  <c r="R143" i="1"/>
  <c r="M109" i="8"/>
  <c r="N109" i="8" s="1"/>
  <c r="R116" i="1"/>
  <c r="M186" i="8"/>
  <c r="N186" i="8" s="1"/>
  <c r="A281" i="5"/>
  <c r="C283" i="5" s="1"/>
  <c r="P179" i="1"/>
  <c r="M110" i="8"/>
  <c r="N110" i="8" s="1"/>
  <c r="P213" i="1"/>
  <c r="R213" i="1"/>
  <c r="M142" i="8"/>
  <c r="N142" i="8" s="1"/>
  <c r="R71" i="1"/>
  <c r="M174" i="8"/>
  <c r="N174" i="8" s="1"/>
  <c r="P300" i="1"/>
  <c r="M165" i="8"/>
  <c r="N165" i="8" s="1"/>
  <c r="R300" i="1"/>
  <c r="Y28" i="18"/>
  <c r="Q285" i="1"/>
  <c r="R149" i="1"/>
  <c r="M31" i="8"/>
  <c r="N31" i="8" s="1"/>
  <c r="P75" i="1"/>
  <c r="R75" i="1"/>
  <c r="Q75" i="1"/>
  <c r="M120" i="8"/>
  <c r="N120" i="8" s="1"/>
  <c r="Y18" i="18"/>
  <c r="P178" i="1"/>
  <c r="M107" i="8"/>
  <c r="N107" i="8" s="1"/>
  <c r="M135" i="8"/>
  <c r="N135" i="8" s="1"/>
  <c r="P228" i="1"/>
  <c r="R228" i="1" s="1"/>
  <c r="L130" i="19"/>
  <c r="P130" i="19" s="1"/>
  <c r="T14" i="18"/>
  <c r="Y41" i="18"/>
  <c r="R106" i="1"/>
  <c r="M178" i="8"/>
  <c r="N178" i="8" s="1"/>
  <c r="Q123" i="1"/>
  <c r="Q300" i="1"/>
  <c r="L265" i="19"/>
  <c r="T24" i="18"/>
  <c r="Y44" i="18"/>
  <c r="P219" i="1"/>
  <c r="M115" i="8"/>
  <c r="N115" i="8" s="1"/>
  <c r="R219" i="1"/>
  <c r="T20" i="18"/>
  <c r="L76" i="19"/>
  <c r="P76" i="19" s="1"/>
  <c r="Q303" i="1"/>
  <c r="M131" i="8"/>
  <c r="N131" i="8" s="1"/>
  <c r="P201" i="1"/>
  <c r="R201" i="1" s="1"/>
  <c r="T19" i="18"/>
  <c r="L90" i="19"/>
  <c r="P90" i="19" s="1"/>
  <c r="Q229" i="1"/>
  <c r="P176" i="1"/>
  <c r="M99" i="8"/>
  <c r="N99" i="8" s="1"/>
  <c r="Y142" i="18"/>
  <c r="J154" i="16"/>
  <c r="K154" i="16"/>
  <c r="L154" i="16" s="1"/>
  <c r="Y68" i="18"/>
  <c r="Y126" i="18"/>
  <c r="Y106" i="18"/>
  <c r="Y127" i="18"/>
  <c r="T101" i="18"/>
  <c r="L305" i="19"/>
  <c r="P305" i="19" s="1"/>
  <c r="L17" i="19"/>
  <c r="P17" i="19" s="1"/>
  <c r="T156" i="18"/>
  <c r="P59" i="1"/>
  <c r="R59" i="1"/>
  <c r="M101" i="8"/>
  <c r="N101" i="8" s="1"/>
  <c r="Y102" i="18"/>
  <c r="L11" i="19"/>
  <c r="P11" i="19" s="1"/>
  <c r="T137" i="18"/>
  <c r="L10" i="19"/>
  <c r="P10" i="19" s="1"/>
  <c r="T150" i="18"/>
  <c r="Y166" i="18"/>
  <c r="Y63" i="18"/>
  <c r="L142" i="19"/>
  <c r="T223" i="18"/>
  <c r="N129" i="2"/>
  <c r="O129" i="2"/>
  <c r="O57" i="2"/>
  <c r="N57" i="2"/>
  <c r="Y90" i="18"/>
  <c r="L237" i="19"/>
  <c r="T200" i="18"/>
  <c r="Y203" i="18"/>
  <c r="L235" i="19"/>
  <c r="T243" i="18"/>
  <c r="Y81" i="18"/>
  <c r="Y161" i="18"/>
  <c r="O109" i="2"/>
  <c r="N109" i="2"/>
  <c r="T86" i="18"/>
  <c r="L39" i="19"/>
  <c r="T159" i="18"/>
  <c r="L311" i="19"/>
  <c r="P311" i="19" s="1"/>
  <c r="T189" i="18"/>
  <c r="Y206" i="18"/>
  <c r="R9" i="1"/>
  <c r="M44" i="8"/>
  <c r="N44" i="8" s="1"/>
  <c r="Q247" i="3"/>
  <c r="R247" i="3" s="1"/>
  <c r="Q163" i="3"/>
  <c r="R163" i="3"/>
  <c r="P28" i="3"/>
  <c r="R28" i="3" s="1"/>
  <c r="Q280" i="3"/>
  <c r="R280" i="3"/>
  <c r="P31" i="3"/>
  <c r="R31" i="3" s="1"/>
  <c r="Q223" i="3"/>
  <c r="R223" i="3"/>
  <c r="P112" i="3"/>
  <c r="P249" i="3"/>
  <c r="P198" i="3"/>
  <c r="P32" i="3"/>
  <c r="R32" i="3" s="1"/>
  <c r="J16" i="16"/>
  <c r="K16" i="16"/>
  <c r="L16" i="16" s="1"/>
  <c r="P232" i="3"/>
  <c r="R232" i="3" s="1"/>
  <c r="K84" i="16"/>
  <c r="L84" i="16" s="1"/>
  <c r="J84" i="16"/>
  <c r="K171" i="16"/>
  <c r="L171" i="16" s="1"/>
  <c r="J171" i="16"/>
  <c r="L103" i="19"/>
  <c r="T237" i="18"/>
  <c r="K71" i="16"/>
  <c r="L71" i="16" s="1"/>
  <c r="J71" i="16"/>
  <c r="J20" i="16"/>
  <c r="K20" i="16"/>
  <c r="L20" i="16" s="1"/>
  <c r="Y177" i="18"/>
  <c r="H21" i="20"/>
  <c r="J286" i="3"/>
  <c r="J48" i="16"/>
  <c r="K48" i="16"/>
  <c r="L48" i="16" s="1"/>
  <c r="K182" i="16"/>
  <c r="L182" i="16" s="1"/>
  <c r="J182" i="16"/>
  <c r="T21" i="15"/>
  <c r="Y219" i="18"/>
  <c r="K185" i="16"/>
  <c r="L185" i="16" s="1"/>
  <c r="J185" i="16"/>
  <c r="C247" i="5"/>
  <c r="K41" i="16"/>
  <c r="L41" i="16" s="1"/>
  <c r="J41" i="16"/>
  <c r="E121" i="5"/>
  <c r="E122" i="5" s="1"/>
  <c r="C122" i="5"/>
  <c r="F114" i="20" l="1"/>
  <c r="F115" i="20" s="1"/>
  <c r="C115" i="20"/>
  <c r="J312" i="2"/>
  <c r="L312" i="2" s="1"/>
  <c r="J309" i="2"/>
  <c r="L309" i="2" s="1"/>
  <c r="J307" i="2"/>
  <c r="L307" i="2" s="1"/>
  <c r="J311" i="2"/>
  <c r="L311" i="2" s="1"/>
  <c r="J310" i="2"/>
  <c r="L310" i="2" s="1"/>
  <c r="J308" i="2"/>
  <c r="L308" i="2" s="1"/>
  <c r="F41" i="20"/>
  <c r="F42" i="20" s="1"/>
  <c r="C42" i="20"/>
  <c r="F78" i="20"/>
  <c r="F79" i="20" s="1"/>
  <c r="C79" i="20"/>
  <c r="S93" i="1"/>
  <c r="T93" i="1"/>
  <c r="E445" i="5"/>
  <c r="E446" i="5" s="1"/>
  <c r="G446" i="5" s="1"/>
  <c r="C446" i="5"/>
  <c r="C32" i="23"/>
  <c r="A145" i="20"/>
  <c r="C146" i="20" s="1"/>
  <c r="S165" i="1"/>
  <c r="T165" i="1" s="1"/>
  <c r="Q38" i="1"/>
  <c r="R38" i="1"/>
  <c r="Q26" i="1"/>
  <c r="R26" i="1"/>
  <c r="G19" i="23"/>
  <c r="M19" i="23" s="1"/>
  <c r="I19" i="23"/>
  <c r="H19" i="23"/>
  <c r="E270" i="5"/>
  <c r="E271" i="5" s="1"/>
  <c r="C271" i="5"/>
  <c r="O420" i="2"/>
  <c r="N420" i="2"/>
  <c r="S207" i="1"/>
  <c r="T207" i="1"/>
  <c r="A167" i="20"/>
  <c r="C168" i="20" s="1"/>
  <c r="E296" i="5"/>
  <c r="E297" i="5" s="1"/>
  <c r="C297" i="5"/>
  <c r="E593" i="5"/>
  <c r="E594" i="5" s="1"/>
  <c r="G594" i="5" s="1"/>
  <c r="C594" i="5"/>
  <c r="R225" i="3"/>
  <c r="Q225" i="3"/>
  <c r="S196" i="1"/>
  <c r="T196" i="1" s="1"/>
  <c r="J175" i="1"/>
  <c r="N175" i="1" s="1"/>
  <c r="J177" i="1"/>
  <c r="N177" i="1" s="1"/>
  <c r="J183" i="1"/>
  <c r="N183" i="1" s="1"/>
  <c r="J178" i="1"/>
  <c r="N178" i="1" s="1"/>
  <c r="J189" i="1"/>
  <c r="N189" i="1" s="1"/>
  <c r="J187" i="1"/>
  <c r="N187" i="1" s="1"/>
  <c r="J174" i="1"/>
  <c r="N174" i="1" s="1"/>
  <c r="J184" i="1"/>
  <c r="N184" i="1" s="1"/>
  <c r="J182" i="1"/>
  <c r="N182" i="1" s="1"/>
  <c r="J185" i="1"/>
  <c r="N185" i="1" s="1"/>
  <c r="J186" i="1"/>
  <c r="N186" i="1" s="1"/>
  <c r="J181" i="1"/>
  <c r="N181" i="1" s="1"/>
  <c r="J188" i="1"/>
  <c r="N188" i="1" s="1"/>
  <c r="J176" i="1"/>
  <c r="N176" i="1" s="1"/>
  <c r="J180" i="1"/>
  <c r="N180" i="1" s="1"/>
  <c r="J179" i="1"/>
  <c r="N179" i="1" s="1"/>
  <c r="J216" i="2"/>
  <c r="L216" i="2" s="1"/>
  <c r="J224" i="2"/>
  <c r="L224" i="2" s="1"/>
  <c r="J232" i="2"/>
  <c r="L232" i="2" s="1"/>
  <c r="J240" i="2"/>
  <c r="L240" i="2" s="1"/>
  <c r="J248" i="2"/>
  <c r="L248" i="2" s="1"/>
  <c r="J256" i="2"/>
  <c r="L256" i="2" s="1"/>
  <c r="J264" i="2"/>
  <c r="L264" i="2" s="1"/>
  <c r="J213" i="2"/>
  <c r="L213" i="2" s="1"/>
  <c r="J221" i="2"/>
  <c r="L221" i="2" s="1"/>
  <c r="J229" i="2"/>
  <c r="L229" i="2" s="1"/>
  <c r="J237" i="2"/>
  <c r="L237" i="2" s="1"/>
  <c r="J245" i="2"/>
  <c r="L245" i="2" s="1"/>
  <c r="J253" i="2"/>
  <c r="L253" i="2" s="1"/>
  <c r="J261" i="2"/>
  <c r="L261" i="2" s="1"/>
  <c r="J269" i="2"/>
  <c r="L269" i="2" s="1"/>
  <c r="J225" i="2"/>
  <c r="L225" i="2" s="1"/>
  <c r="J257" i="2"/>
  <c r="L257" i="2" s="1"/>
  <c r="J214" i="2"/>
  <c r="L214" i="2" s="1"/>
  <c r="J235" i="2"/>
  <c r="L235" i="2" s="1"/>
  <c r="J239" i="2"/>
  <c r="L239" i="2" s="1"/>
  <c r="J242" i="2"/>
  <c r="L242" i="2" s="1"/>
  <c r="J267" i="2"/>
  <c r="L267" i="2" s="1"/>
  <c r="J271" i="2"/>
  <c r="L271" i="2" s="1"/>
  <c r="J228" i="2"/>
  <c r="L228" i="2" s="1"/>
  <c r="J246" i="2"/>
  <c r="L246" i="2" s="1"/>
  <c r="J260" i="2"/>
  <c r="L260" i="2" s="1"/>
  <c r="J217" i="2"/>
  <c r="L217" i="2" s="1"/>
  <c r="J249" i="2"/>
  <c r="L249" i="2" s="1"/>
  <c r="J220" i="2"/>
  <c r="L220" i="2" s="1"/>
  <c r="J227" i="2"/>
  <c r="L227" i="2" s="1"/>
  <c r="J231" i="2"/>
  <c r="L231" i="2" s="1"/>
  <c r="J234" i="2"/>
  <c r="L234" i="2" s="1"/>
  <c r="J238" i="2"/>
  <c r="L238" i="2" s="1"/>
  <c r="J252" i="2"/>
  <c r="L252" i="2" s="1"/>
  <c r="J259" i="2"/>
  <c r="L259" i="2" s="1"/>
  <c r="J263" i="2"/>
  <c r="L263" i="2" s="1"/>
  <c r="J266" i="2"/>
  <c r="L266" i="2" s="1"/>
  <c r="J270" i="2"/>
  <c r="L270" i="2" s="1"/>
  <c r="J226" i="2"/>
  <c r="L226" i="2" s="1"/>
  <c r="J230" i="2"/>
  <c r="L230" i="2" s="1"/>
  <c r="J250" i="2"/>
  <c r="L250" i="2" s="1"/>
  <c r="J254" i="2"/>
  <c r="L254" i="2" s="1"/>
  <c r="J236" i="2"/>
  <c r="L236" i="2" s="1"/>
  <c r="J218" i="2"/>
  <c r="L218" i="2" s="1"/>
  <c r="J222" i="2"/>
  <c r="L222" i="2" s="1"/>
  <c r="J265" i="2"/>
  <c r="L265" i="2" s="1"/>
  <c r="J247" i="2"/>
  <c r="L247" i="2" s="1"/>
  <c r="J258" i="2"/>
  <c r="L258" i="2" s="1"/>
  <c r="J215" i="2"/>
  <c r="L215" i="2" s="1"/>
  <c r="J251" i="2"/>
  <c r="L251" i="2" s="1"/>
  <c r="J255" i="2"/>
  <c r="L255" i="2" s="1"/>
  <c r="J233" i="2"/>
  <c r="L233" i="2" s="1"/>
  <c r="J241" i="2"/>
  <c r="L241" i="2" s="1"/>
  <c r="J243" i="2"/>
  <c r="L243" i="2" s="1"/>
  <c r="J219" i="2"/>
  <c r="L219" i="2" s="1"/>
  <c r="J223" i="2"/>
  <c r="L223" i="2" s="1"/>
  <c r="J262" i="2"/>
  <c r="L262" i="2" s="1"/>
  <c r="J244" i="2"/>
  <c r="L244" i="2" s="1"/>
  <c r="J268" i="2"/>
  <c r="L268" i="2" s="1"/>
  <c r="F124" i="20"/>
  <c r="F125" i="20" s="1"/>
  <c r="C125" i="20"/>
  <c r="S249" i="18"/>
  <c r="J195" i="1"/>
  <c r="N195" i="1" s="1"/>
  <c r="J280" i="2"/>
  <c r="L280" i="2" s="1"/>
  <c r="J288" i="2"/>
  <c r="L288" i="2" s="1"/>
  <c r="J296" i="2"/>
  <c r="L296" i="2" s="1"/>
  <c r="J304" i="2"/>
  <c r="L304" i="2" s="1"/>
  <c r="J277" i="2"/>
  <c r="L277" i="2" s="1"/>
  <c r="J285" i="2"/>
  <c r="L285" i="2" s="1"/>
  <c r="J293" i="2"/>
  <c r="L293" i="2" s="1"/>
  <c r="J301" i="2"/>
  <c r="L301" i="2" s="1"/>
  <c r="J279" i="2"/>
  <c r="L279" i="2" s="1"/>
  <c r="J282" i="2"/>
  <c r="L282" i="2" s="1"/>
  <c r="J286" i="2"/>
  <c r="L286" i="2" s="1"/>
  <c r="J300" i="2"/>
  <c r="L300" i="2" s="1"/>
  <c r="J289" i="2"/>
  <c r="L289" i="2" s="1"/>
  <c r="J278" i="2"/>
  <c r="L278" i="2" s="1"/>
  <c r="J292" i="2"/>
  <c r="L292" i="2" s="1"/>
  <c r="J299" i="2"/>
  <c r="L299" i="2" s="1"/>
  <c r="J303" i="2"/>
  <c r="L303" i="2" s="1"/>
  <c r="J281" i="2"/>
  <c r="L281" i="2" s="1"/>
  <c r="J290" i="2"/>
  <c r="L290" i="2" s="1"/>
  <c r="J276" i="2"/>
  <c r="L276" i="2" s="1"/>
  <c r="J291" i="2"/>
  <c r="L291" i="2" s="1"/>
  <c r="J295" i="2"/>
  <c r="L295" i="2" s="1"/>
  <c r="J305" i="2"/>
  <c r="L305" i="2" s="1"/>
  <c r="J302" i="2"/>
  <c r="L302" i="2" s="1"/>
  <c r="J284" i="2"/>
  <c r="L284" i="2" s="1"/>
  <c r="J283" i="2"/>
  <c r="L283" i="2" s="1"/>
  <c r="J287" i="2"/>
  <c r="L287" i="2" s="1"/>
  <c r="J297" i="2"/>
  <c r="L297" i="2" s="1"/>
  <c r="J298" i="2"/>
  <c r="L298" i="2" s="1"/>
  <c r="J294" i="2"/>
  <c r="L294" i="2" s="1"/>
  <c r="M30" i="19"/>
  <c r="O30" i="19" s="1"/>
  <c r="P30" i="19" s="1"/>
  <c r="M34" i="19"/>
  <c r="O34" i="19" s="1"/>
  <c r="P34" i="19" s="1"/>
  <c r="M29" i="19"/>
  <c r="O29" i="19" s="1"/>
  <c r="P29" i="19" s="1"/>
  <c r="M31" i="19"/>
  <c r="O31" i="19" s="1"/>
  <c r="P31" i="19" s="1"/>
  <c r="M28" i="19"/>
  <c r="O28" i="19" s="1"/>
  <c r="P28" i="19" s="1"/>
  <c r="M27" i="19"/>
  <c r="O27" i="19" s="1"/>
  <c r="P27" i="19" s="1"/>
  <c r="M33" i="19"/>
  <c r="O33" i="19" s="1"/>
  <c r="P33" i="19" s="1"/>
  <c r="M32" i="19"/>
  <c r="O32" i="19" s="1"/>
  <c r="P32" i="19" s="1"/>
  <c r="A99" i="20"/>
  <c r="C101" i="20" s="1"/>
  <c r="Q40" i="1"/>
  <c r="R40" i="1"/>
  <c r="Q32" i="1"/>
  <c r="R32" i="1"/>
  <c r="Q28" i="1"/>
  <c r="R28" i="1"/>
  <c r="N418" i="2"/>
  <c r="O418" i="2"/>
  <c r="J269" i="1"/>
  <c r="N269" i="1" s="1"/>
  <c r="J268" i="1"/>
  <c r="N268" i="1" s="1"/>
  <c r="J270" i="1"/>
  <c r="N270" i="1" s="1"/>
  <c r="J405" i="2"/>
  <c r="L405" i="2" s="1"/>
  <c r="J407" i="2"/>
  <c r="L407" i="2" s="1"/>
  <c r="J406" i="2"/>
  <c r="L406" i="2" s="1"/>
  <c r="J402" i="2"/>
  <c r="L402" i="2" s="1"/>
  <c r="J408" i="2"/>
  <c r="L408" i="2" s="1"/>
  <c r="J404" i="2"/>
  <c r="L404" i="2" s="1"/>
  <c r="J403" i="2"/>
  <c r="L403" i="2" s="1"/>
  <c r="Q231" i="3"/>
  <c r="R231" i="3" s="1"/>
  <c r="M28" i="23"/>
  <c r="H23" i="23"/>
  <c r="I23" i="23"/>
  <c r="G23" i="23"/>
  <c r="M23" i="23" s="1"/>
  <c r="P203" i="19"/>
  <c r="A177" i="20"/>
  <c r="C178" i="20" s="1"/>
  <c r="Q76" i="1"/>
  <c r="R76" i="1"/>
  <c r="Q37" i="1"/>
  <c r="R37" i="1"/>
  <c r="R99" i="1"/>
  <c r="Q99" i="1"/>
  <c r="A133" i="20"/>
  <c r="C134" i="20" s="1"/>
  <c r="R39" i="1"/>
  <c r="Q39" i="1"/>
  <c r="R29" i="1"/>
  <c r="Q29" i="1"/>
  <c r="M22" i="23"/>
  <c r="E71" i="5"/>
  <c r="E72" i="5" s="1"/>
  <c r="C72" i="5"/>
  <c r="Q36" i="1"/>
  <c r="R36" i="1"/>
  <c r="N424" i="2"/>
  <c r="O424" i="2"/>
  <c r="T249" i="18"/>
  <c r="M24" i="23"/>
  <c r="K24" i="23"/>
  <c r="S117" i="1"/>
  <c r="T117" i="1"/>
  <c r="C284" i="5"/>
  <c r="E283" i="5"/>
  <c r="E284" i="5" s="1"/>
  <c r="R93" i="3"/>
  <c r="Q93" i="3"/>
  <c r="Q42" i="1"/>
  <c r="R42" i="1"/>
  <c r="R31" i="1"/>
  <c r="Q31" i="1"/>
  <c r="C146" i="5"/>
  <c r="E145" i="5"/>
  <c r="E146" i="5" s="1"/>
  <c r="G146" i="5" s="1"/>
  <c r="N422" i="2"/>
  <c r="O422" i="2"/>
  <c r="Q23" i="3"/>
  <c r="R23" i="3" s="1"/>
  <c r="G30" i="23"/>
  <c r="I30" i="23"/>
  <c r="H30" i="23"/>
  <c r="R77" i="1"/>
  <c r="Q77" i="1"/>
  <c r="R41" i="1"/>
  <c r="Q41" i="1"/>
  <c r="O417" i="2"/>
  <c r="N417" i="2"/>
  <c r="H29" i="23"/>
  <c r="I29" i="23"/>
  <c r="G29" i="23"/>
  <c r="M29" i="23" s="1"/>
  <c r="I26" i="23"/>
  <c r="G26" i="23"/>
  <c r="H26" i="23"/>
  <c r="R33" i="1"/>
  <c r="Q33" i="1"/>
  <c r="G17" i="23"/>
  <c r="I17" i="23"/>
  <c r="H17" i="23"/>
  <c r="E409" i="5"/>
  <c r="E410" i="5" s="1"/>
  <c r="C410" i="5"/>
  <c r="C348" i="5"/>
  <c r="E347" i="5"/>
  <c r="E348" i="5" s="1"/>
  <c r="G348" i="5" s="1"/>
  <c r="J164" i="2"/>
  <c r="L164" i="2" s="1"/>
  <c r="J172" i="2"/>
  <c r="L172" i="2" s="1"/>
  <c r="J166" i="2"/>
  <c r="L166" i="2" s="1"/>
  <c r="J171" i="2"/>
  <c r="L171" i="2" s="1"/>
  <c r="J160" i="2"/>
  <c r="L160" i="2" s="1"/>
  <c r="J170" i="2"/>
  <c r="L170" i="2" s="1"/>
  <c r="J175" i="2"/>
  <c r="L175" i="2" s="1"/>
  <c r="J159" i="2"/>
  <c r="L159" i="2" s="1"/>
  <c r="J174" i="2"/>
  <c r="L174" i="2" s="1"/>
  <c r="J161" i="2"/>
  <c r="L161" i="2" s="1"/>
  <c r="J168" i="2"/>
  <c r="L168" i="2" s="1"/>
  <c r="J163" i="2"/>
  <c r="L163" i="2" s="1"/>
  <c r="J173" i="2"/>
  <c r="L173" i="2" s="1"/>
  <c r="J158" i="2"/>
  <c r="L158" i="2" s="1"/>
  <c r="J167" i="2"/>
  <c r="L167" i="2" s="1"/>
  <c r="J165" i="2"/>
  <c r="L165" i="2" s="1"/>
  <c r="J169" i="2"/>
  <c r="L169" i="2" s="1"/>
  <c r="J176" i="2"/>
  <c r="L176" i="2" s="1"/>
  <c r="J162" i="2"/>
  <c r="L162" i="2" s="1"/>
  <c r="Q27" i="1"/>
  <c r="R27" i="1"/>
  <c r="Q34" i="1"/>
  <c r="R34" i="1"/>
  <c r="Q98" i="1"/>
  <c r="R98" i="1"/>
  <c r="C179" i="5"/>
  <c r="E178" i="5"/>
  <c r="E179" i="5" s="1"/>
  <c r="G179" i="5" s="1"/>
  <c r="A30" i="20"/>
  <c r="C31" i="20" s="1"/>
  <c r="O423" i="2"/>
  <c r="N423" i="2"/>
  <c r="Q278" i="1"/>
  <c r="R278" i="1"/>
  <c r="A156" i="20"/>
  <c r="C157" i="20" s="1"/>
  <c r="E483" i="5"/>
  <c r="E484" i="5" s="1"/>
  <c r="C484" i="5"/>
  <c r="A52" i="20"/>
  <c r="C54" i="20" s="1"/>
  <c r="Y249" i="18"/>
  <c r="A65" i="20"/>
  <c r="C67" i="20" s="1"/>
  <c r="J309" i="1"/>
  <c r="N309" i="1" s="1"/>
  <c r="J469" i="2"/>
  <c r="L469" i="2" s="1"/>
  <c r="J477" i="2"/>
  <c r="L477" i="2" s="1"/>
  <c r="J470" i="2"/>
  <c r="L470" i="2" s="1"/>
  <c r="J474" i="2"/>
  <c r="L474" i="2" s="1"/>
  <c r="J478" i="2"/>
  <c r="L478" i="2" s="1"/>
  <c r="J472" i="2"/>
  <c r="L472" i="2" s="1"/>
  <c r="J475" i="2"/>
  <c r="L475" i="2" s="1"/>
  <c r="J473" i="2"/>
  <c r="L473" i="2" s="1"/>
  <c r="J471" i="2"/>
  <c r="L471" i="2" s="1"/>
  <c r="J476" i="2"/>
  <c r="L476" i="2" s="1"/>
  <c r="E333" i="5"/>
  <c r="E334" i="5" s="1"/>
  <c r="C334" i="5"/>
  <c r="E524" i="5"/>
  <c r="E525" i="5" s="1"/>
  <c r="C525" i="5"/>
  <c r="S118" i="1"/>
  <c r="T118" i="1"/>
  <c r="N421" i="2"/>
  <c r="O421" i="2"/>
  <c r="E187" i="5"/>
  <c r="E188" i="5" s="1"/>
  <c r="C188" i="5"/>
  <c r="Q101" i="1"/>
  <c r="R101" i="1"/>
  <c r="E212" i="5"/>
  <c r="E213" i="5" s="1"/>
  <c r="C213" i="5"/>
  <c r="C199" i="5"/>
  <c r="E198" i="5"/>
  <c r="E199" i="5" s="1"/>
  <c r="G199" i="5" s="1"/>
  <c r="E420" i="5"/>
  <c r="E421" i="5" s="1"/>
  <c r="G421" i="5" s="1"/>
  <c r="C421" i="5"/>
  <c r="G27" i="23"/>
  <c r="I27" i="23"/>
  <c r="H27" i="23"/>
  <c r="G122" i="5"/>
  <c r="Q112" i="3"/>
  <c r="R112" i="3" s="1"/>
  <c r="T116" i="1"/>
  <c r="S116" i="1"/>
  <c r="Q229" i="3"/>
  <c r="R229" i="3"/>
  <c r="H20" i="23"/>
  <c r="G20" i="23"/>
  <c r="I20" i="23"/>
  <c r="G21" i="23"/>
  <c r="I21" i="23"/>
  <c r="H21" i="23"/>
  <c r="E48" i="5"/>
  <c r="E49" i="5" s="1"/>
  <c r="C49" i="5"/>
  <c r="L333" i="19"/>
  <c r="C168" i="5"/>
  <c r="E167" i="5"/>
  <c r="E168" i="5" s="1"/>
  <c r="G168" i="5" s="1"/>
  <c r="Q35" i="1"/>
  <c r="R35" i="1"/>
  <c r="Q30" i="1"/>
  <c r="R30" i="1"/>
  <c r="R100" i="1"/>
  <c r="Q100" i="1"/>
  <c r="Q95" i="3"/>
  <c r="R95" i="3" s="1"/>
  <c r="E376" i="5"/>
  <c r="E377" i="5" s="1"/>
  <c r="C377" i="5"/>
  <c r="N419" i="2"/>
  <c r="O419" i="2"/>
  <c r="Q277" i="1"/>
  <c r="R277" i="1"/>
  <c r="Q164" i="1"/>
  <c r="R164" i="1"/>
  <c r="M18" i="23"/>
  <c r="K250" i="16"/>
  <c r="L4" i="16"/>
  <c r="L250" i="16" s="1"/>
  <c r="I25" i="23"/>
  <c r="H25" i="23"/>
  <c r="G25" i="23"/>
  <c r="M206" i="8"/>
  <c r="N6" i="8"/>
  <c r="N206" i="8" s="1"/>
  <c r="C225" i="5"/>
  <c r="E224" i="5"/>
  <c r="E225" i="5" s="1"/>
  <c r="G225" i="5" s="1"/>
  <c r="J97" i="1" s="1"/>
  <c r="N97" i="1" s="1"/>
  <c r="T6" i="18"/>
  <c r="G26" i="5"/>
  <c r="R249" i="18"/>
  <c r="J171" i="1" l="1"/>
  <c r="N171" i="1" s="1"/>
  <c r="J208" i="2"/>
  <c r="L208" i="2" s="1"/>
  <c r="J209" i="2"/>
  <c r="L209" i="2" s="1"/>
  <c r="K72" i="3"/>
  <c r="N72" i="3" s="1"/>
  <c r="P72" i="3" s="1"/>
  <c r="K70" i="3"/>
  <c r="N70" i="3" s="1"/>
  <c r="P70" i="3" s="1"/>
  <c r="K71" i="3"/>
  <c r="N71" i="3" s="1"/>
  <c r="P71" i="3" s="1"/>
  <c r="O158" i="2"/>
  <c r="N158" i="2"/>
  <c r="O297" i="2"/>
  <c r="N297" i="2"/>
  <c r="N304" i="2"/>
  <c r="O304" i="2"/>
  <c r="O268" i="2"/>
  <c r="N268" i="2"/>
  <c r="N259" i="2"/>
  <c r="O259" i="2"/>
  <c r="O217" i="2"/>
  <c r="N217" i="2"/>
  <c r="O237" i="2"/>
  <c r="N237" i="2"/>
  <c r="R186" i="1"/>
  <c r="Q186" i="1"/>
  <c r="Q183" i="1"/>
  <c r="R183" i="1"/>
  <c r="F146" i="20"/>
  <c r="F147" i="20" s="1"/>
  <c r="H147" i="20" s="1"/>
  <c r="C147" i="20"/>
  <c r="N311" i="2"/>
  <c r="O311" i="2"/>
  <c r="K82" i="3"/>
  <c r="N82" i="3" s="1"/>
  <c r="P82" i="3" s="1"/>
  <c r="K83" i="3"/>
  <c r="N83" i="3" s="1"/>
  <c r="P83" i="3" s="1"/>
  <c r="K84" i="3"/>
  <c r="N84" i="3" s="1"/>
  <c r="P84" i="3" s="1"/>
  <c r="O160" i="2"/>
  <c r="N160" i="2"/>
  <c r="F178" i="20"/>
  <c r="F179" i="20" s="1"/>
  <c r="H179" i="20" s="1"/>
  <c r="C179" i="20"/>
  <c r="N287" i="2"/>
  <c r="O287" i="2"/>
  <c r="N296" i="2"/>
  <c r="O296" i="2"/>
  <c r="N251" i="2"/>
  <c r="O251" i="2"/>
  <c r="O260" i="2"/>
  <c r="N260" i="2"/>
  <c r="N229" i="2"/>
  <c r="O229" i="2"/>
  <c r="M25" i="23"/>
  <c r="K25" i="23"/>
  <c r="J70" i="1"/>
  <c r="N70" i="1" s="1"/>
  <c r="K61" i="3"/>
  <c r="N61" i="3" s="1"/>
  <c r="P61" i="3" s="1"/>
  <c r="K64" i="3"/>
  <c r="N64" i="3" s="1"/>
  <c r="P64" i="3" s="1"/>
  <c r="K62" i="3"/>
  <c r="N62" i="3" s="1"/>
  <c r="P62" i="3" s="1"/>
  <c r="K59" i="3"/>
  <c r="N59" i="3" s="1"/>
  <c r="P59" i="3" s="1"/>
  <c r="K60" i="3"/>
  <c r="N60" i="3" s="1"/>
  <c r="P60" i="3" s="1"/>
  <c r="K65" i="3"/>
  <c r="N65" i="3" s="1"/>
  <c r="P65" i="3" s="1"/>
  <c r="K63" i="3"/>
  <c r="N63" i="3" s="1"/>
  <c r="P63" i="3" s="1"/>
  <c r="O475" i="2"/>
  <c r="N475" i="2"/>
  <c r="C32" i="20"/>
  <c r="F31" i="20"/>
  <c r="F32" i="20" s="1"/>
  <c r="H32" i="20" s="1"/>
  <c r="N165" i="2"/>
  <c r="O165" i="2"/>
  <c r="N159" i="2"/>
  <c r="O159" i="2"/>
  <c r="O402" i="2"/>
  <c r="N402" i="2"/>
  <c r="N294" i="2"/>
  <c r="O294" i="2"/>
  <c r="O295" i="2"/>
  <c r="N295" i="2"/>
  <c r="N278" i="2"/>
  <c r="O278" i="2"/>
  <c r="N285" i="2"/>
  <c r="O285" i="2"/>
  <c r="O241" i="2"/>
  <c r="N241" i="2"/>
  <c r="N222" i="2"/>
  <c r="O222" i="2"/>
  <c r="O266" i="2"/>
  <c r="N266" i="2"/>
  <c r="O220" i="2"/>
  <c r="N220" i="2"/>
  <c r="N242" i="2"/>
  <c r="O242" i="2"/>
  <c r="N253" i="2"/>
  <c r="O253" i="2"/>
  <c r="N248" i="2"/>
  <c r="O248" i="2"/>
  <c r="Q188" i="1"/>
  <c r="R188" i="1"/>
  <c r="Q189" i="1"/>
  <c r="R189" i="1"/>
  <c r="O308" i="2"/>
  <c r="N308" i="2"/>
  <c r="M21" i="23"/>
  <c r="K21" i="23"/>
  <c r="K32" i="23" s="1"/>
  <c r="G525" i="5"/>
  <c r="N472" i="2"/>
  <c r="O472" i="2"/>
  <c r="F67" i="20"/>
  <c r="F68" i="20" s="1"/>
  <c r="C68" i="20"/>
  <c r="G484" i="5"/>
  <c r="N167" i="2"/>
  <c r="O167" i="2"/>
  <c r="N175" i="2"/>
  <c r="O175" i="2"/>
  <c r="G284" i="5"/>
  <c r="N406" i="2"/>
  <c r="O406" i="2"/>
  <c r="N298" i="2"/>
  <c r="O298" i="2"/>
  <c r="N291" i="2"/>
  <c r="O291" i="2"/>
  <c r="O289" i="2"/>
  <c r="N289" i="2"/>
  <c r="O277" i="2"/>
  <c r="N277" i="2"/>
  <c r="H125" i="20"/>
  <c r="O233" i="2"/>
  <c r="N233" i="2"/>
  <c r="N218" i="2"/>
  <c r="O218" i="2"/>
  <c r="O263" i="2"/>
  <c r="N263" i="2"/>
  <c r="O249" i="2"/>
  <c r="N249" i="2"/>
  <c r="N239" i="2"/>
  <c r="O239" i="2"/>
  <c r="O245" i="2"/>
  <c r="N245" i="2"/>
  <c r="N240" i="2"/>
  <c r="O240" i="2"/>
  <c r="Q181" i="1"/>
  <c r="R181" i="1"/>
  <c r="Q178" i="1"/>
  <c r="R178" i="1"/>
  <c r="N310" i="2"/>
  <c r="O310" i="2"/>
  <c r="J19" i="1"/>
  <c r="N19" i="1" s="1"/>
  <c r="J41" i="2"/>
  <c r="L41" i="2" s="1"/>
  <c r="J49" i="2"/>
  <c r="L49" i="2" s="1"/>
  <c r="J42" i="2"/>
  <c r="L42" i="2" s="1"/>
  <c r="J46" i="2"/>
  <c r="L46" i="2" s="1"/>
  <c r="J35" i="2"/>
  <c r="L35" i="2" s="1"/>
  <c r="J40" i="2"/>
  <c r="L40" i="2" s="1"/>
  <c r="J50" i="2"/>
  <c r="L50" i="2" s="1"/>
  <c r="J34" i="2"/>
  <c r="L34" i="2" s="1"/>
  <c r="J48" i="2"/>
  <c r="L48" i="2" s="1"/>
  <c r="J51" i="2"/>
  <c r="L51" i="2" s="1"/>
  <c r="J36" i="2"/>
  <c r="L36" i="2" s="1"/>
  <c r="J45" i="2"/>
  <c r="L45" i="2" s="1"/>
  <c r="J38" i="2"/>
  <c r="L38" i="2" s="1"/>
  <c r="J43" i="2"/>
  <c r="L43" i="2" s="1"/>
  <c r="J39" i="2"/>
  <c r="L39" i="2" s="1"/>
  <c r="J44" i="2"/>
  <c r="L44" i="2" s="1"/>
  <c r="J37" i="2"/>
  <c r="L37" i="2" s="1"/>
  <c r="J47" i="2"/>
  <c r="L47" i="2" s="1"/>
  <c r="O300" i="2"/>
  <c r="N300" i="2"/>
  <c r="O236" i="2"/>
  <c r="N236" i="2"/>
  <c r="N235" i="2"/>
  <c r="O235" i="2"/>
  <c r="J315" i="1"/>
  <c r="N315" i="1" s="1"/>
  <c r="J318" i="1"/>
  <c r="N318" i="1" s="1"/>
  <c r="J316" i="1"/>
  <c r="N316" i="1" s="1"/>
  <c r="J314" i="1"/>
  <c r="N314" i="1" s="1"/>
  <c r="J317" i="1"/>
  <c r="N317" i="1" s="1"/>
  <c r="J319" i="1"/>
  <c r="N319" i="1" s="1"/>
  <c r="J313" i="1"/>
  <c r="N313" i="1" s="1"/>
  <c r="K268" i="3"/>
  <c r="N268" i="3" s="1"/>
  <c r="P268" i="3" s="1"/>
  <c r="K271" i="3"/>
  <c r="N271" i="3" s="1"/>
  <c r="P271" i="3" s="1"/>
  <c r="K272" i="3"/>
  <c r="N272" i="3" s="1"/>
  <c r="P272" i="3" s="1"/>
  <c r="K267" i="3"/>
  <c r="N267" i="3" s="1"/>
  <c r="P267" i="3" s="1"/>
  <c r="K270" i="3"/>
  <c r="N270" i="3" s="1"/>
  <c r="P270" i="3" s="1"/>
  <c r="K269" i="3"/>
  <c r="N269" i="3" s="1"/>
  <c r="P269" i="3" s="1"/>
  <c r="J25" i="2"/>
  <c r="L25" i="2" s="1"/>
  <c r="J27" i="2"/>
  <c r="L27" i="2" s="1"/>
  <c r="J24" i="2"/>
  <c r="L24" i="2" s="1"/>
  <c r="J30" i="2"/>
  <c r="L30" i="2" s="1"/>
  <c r="J23" i="2"/>
  <c r="L23" i="2" s="1"/>
  <c r="J29" i="2"/>
  <c r="L29" i="2" s="1"/>
  <c r="J26" i="2"/>
  <c r="L26" i="2" s="1"/>
  <c r="J28" i="2"/>
  <c r="L28" i="2" s="1"/>
  <c r="O173" i="2"/>
  <c r="N173" i="2"/>
  <c r="N405" i="2"/>
  <c r="O405" i="2"/>
  <c r="N290" i="2"/>
  <c r="O290" i="2"/>
  <c r="O252" i="2"/>
  <c r="N252" i="2"/>
  <c r="Q177" i="1"/>
  <c r="R177" i="1"/>
  <c r="N307" i="2"/>
  <c r="O307" i="2"/>
  <c r="G72" i="5"/>
  <c r="N282" i="2"/>
  <c r="O282" i="2"/>
  <c r="N238" i="2"/>
  <c r="O238" i="2"/>
  <c r="R182" i="1"/>
  <c r="Q182" i="1"/>
  <c r="G377" i="5"/>
  <c r="N476" i="2"/>
  <c r="O476" i="2"/>
  <c r="O477" i="2"/>
  <c r="N477" i="2"/>
  <c r="N162" i="2"/>
  <c r="O162" i="2"/>
  <c r="O168" i="2"/>
  <c r="N168" i="2"/>
  <c r="O166" i="2"/>
  <c r="N166" i="2"/>
  <c r="I32" i="23"/>
  <c r="M30" i="23"/>
  <c r="J44" i="1"/>
  <c r="N44" i="1" s="1"/>
  <c r="J52" i="1"/>
  <c r="N52" i="1" s="1"/>
  <c r="J43" i="1"/>
  <c r="N43" i="1" s="1"/>
  <c r="J47" i="1"/>
  <c r="N47" i="1" s="1"/>
  <c r="J54" i="1"/>
  <c r="N54" i="1" s="1"/>
  <c r="J48" i="1"/>
  <c r="N48" i="1" s="1"/>
  <c r="J45" i="1"/>
  <c r="N45" i="1" s="1"/>
  <c r="J49" i="1"/>
  <c r="N49" i="1" s="1"/>
  <c r="J46" i="1"/>
  <c r="N46" i="1" s="1"/>
  <c r="J53" i="1"/>
  <c r="N53" i="1" s="1"/>
  <c r="J55" i="1"/>
  <c r="N55" i="1" s="1"/>
  <c r="J51" i="1"/>
  <c r="N51" i="1" s="1"/>
  <c r="J50" i="1"/>
  <c r="N50" i="1" s="1"/>
  <c r="K22" i="3"/>
  <c r="N22" i="3" s="1"/>
  <c r="P22" i="3" s="1"/>
  <c r="K21" i="3"/>
  <c r="N21" i="3" s="1"/>
  <c r="P21" i="3" s="1"/>
  <c r="K20" i="3"/>
  <c r="N20" i="3" s="1"/>
  <c r="P20" i="3" s="1"/>
  <c r="N403" i="2"/>
  <c r="O403" i="2"/>
  <c r="Q268" i="1"/>
  <c r="R268" i="1"/>
  <c r="O284" i="2"/>
  <c r="N284" i="2"/>
  <c r="O303" i="2"/>
  <c r="N303" i="2"/>
  <c r="N279" i="2"/>
  <c r="O279" i="2"/>
  <c r="N280" i="2"/>
  <c r="O280" i="2"/>
  <c r="O223" i="2"/>
  <c r="N223" i="2"/>
  <c r="O258" i="2"/>
  <c r="N258" i="2"/>
  <c r="O230" i="2"/>
  <c r="N230" i="2"/>
  <c r="N234" i="2"/>
  <c r="O234" i="2"/>
  <c r="O228" i="2"/>
  <c r="N228" i="2"/>
  <c r="O225" i="2"/>
  <c r="N225" i="2"/>
  <c r="O213" i="2"/>
  <c r="N213" i="2"/>
  <c r="Q179" i="1"/>
  <c r="R179" i="1"/>
  <c r="Q184" i="1"/>
  <c r="R184" i="1"/>
  <c r="F168" i="20"/>
  <c r="F169" i="20" s="1"/>
  <c r="H169" i="20" s="1"/>
  <c r="C169" i="20"/>
  <c r="G271" i="5"/>
  <c r="H79" i="20"/>
  <c r="N312" i="2"/>
  <c r="O312" i="2"/>
  <c r="N478" i="2"/>
  <c r="O478" i="2"/>
  <c r="F101" i="20"/>
  <c r="F102" i="20" s="1"/>
  <c r="H102" i="20" s="1"/>
  <c r="C102" i="20"/>
  <c r="O276" i="2"/>
  <c r="N276" i="2"/>
  <c r="N232" i="2"/>
  <c r="O232" i="2"/>
  <c r="M20" i="23"/>
  <c r="N474" i="2"/>
  <c r="O474" i="2"/>
  <c r="M26" i="23"/>
  <c r="N286" i="2"/>
  <c r="O286" i="2"/>
  <c r="O244" i="2"/>
  <c r="N244" i="2"/>
  <c r="N254" i="2"/>
  <c r="O254" i="2"/>
  <c r="N214" i="2"/>
  <c r="O214" i="2"/>
  <c r="N224" i="2"/>
  <c r="O224" i="2"/>
  <c r="Q97" i="1"/>
  <c r="R97" i="1"/>
  <c r="O470" i="2"/>
  <c r="N470" i="2"/>
  <c r="N171" i="2"/>
  <c r="O171" i="2"/>
  <c r="Q270" i="1"/>
  <c r="R270" i="1"/>
  <c r="N283" i="2"/>
  <c r="O283" i="2"/>
  <c r="N288" i="2"/>
  <c r="O288" i="2"/>
  <c r="N250" i="2"/>
  <c r="O250" i="2"/>
  <c r="O257" i="2"/>
  <c r="N257" i="2"/>
  <c r="N221" i="2"/>
  <c r="O221" i="2"/>
  <c r="Q175" i="1"/>
  <c r="R175" i="1"/>
  <c r="G49" i="5"/>
  <c r="G213" i="5"/>
  <c r="N471" i="2"/>
  <c r="O471" i="2"/>
  <c r="O469" i="2"/>
  <c r="N469" i="2"/>
  <c r="E54" i="20"/>
  <c r="E55" i="20" s="1"/>
  <c r="H55" i="20" s="1"/>
  <c r="C55" i="20"/>
  <c r="O176" i="2"/>
  <c r="N176" i="2"/>
  <c r="O161" i="2"/>
  <c r="N161" i="2"/>
  <c r="N172" i="2"/>
  <c r="O172" i="2"/>
  <c r="G32" i="23"/>
  <c r="M17" i="23"/>
  <c r="N404" i="2"/>
  <c r="O404" i="2"/>
  <c r="Q269" i="1"/>
  <c r="R269" i="1"/>
  <c r="N302" i="2"/>
  <c r="O302" i="2"/>
  <c r="N299" i="2"/>
  <c r="O299" i="2"/>
  <c r="N301" i="2"/>
  <c r="O301" i="2"/>
  <c r="Q195" i="1"/>
  <c r="R195" i="1"/>
  <c r="N219" i="2"/>
  <c r="O219" i="2"/>
  <c r="N247" i="2"/>
  <c r="O247" i="2"/>
  <c r="O226" i="2"/>
  <c r="N226" i="2"/>
  <c r="O231" i="2"/>
  <c r="N231" i="2"/>
  <c r="N271" i="2"/>
  <c r="O271" i="2"/>
  <c r="O269" i="2"/>
  <c r="N269" i="2"/>
  <c r="N264" i="2"/>
  <c r="O264" i="2"/>
  <c r="Q180" i="1"/>
  <c r="R180" i="1"/>
  <c r="Q174" i="1"/>
  <c r="R174" i="1"/>
  <c r="F157" i="20"/>
  <c r="F158" i="20" s="1"/>
  <c r="H158" i="20" s="1"/>
  <c r="C158" i="20"/>
  <c r="N170" i="2"/>
  <c r="O170" i="2"/>
  <c r="F134" i="20"/>
  <c r="F135" i="20" s="1"/>
  <c r="H135" i="20" s="1"/>
  <c r="C135" i="20"/>
  <c r="O407" i="2"/>
  <c r="N407" i="2"/>
  <c r="O255" i="2"/>
  <c r="N255" i="2"/>
  <c r="G188" i="5"/>
  <c r="G410" i="5"/>
  <c r="K202" i="3" s="1"/>
  <c r="N202" i="3" s="1"/>
  <c r="P202" i="3" s="1"/>
  <c r="Q185" i="1"/>
  <c r="R185" i="1"/>
  <c r="G334" i="5"/>
  <c r="N163" i="2"/>
  <c r="O163" i="2"/>
  <c r="H32" i="23"/>
  <c r="O281" i="2"/>
  <c r="N281" i="2"/>
  <c r="O262" i="2"/>
  <c r="N262" i="2"/>
  <c r="N215" i="2"/>
  <c r="O215" i="2"/>
  <c r="N246" i="2"/>
  <c r="O246" i="2"/>
  <c r="N216" i="2"/>
  <c r="O216" i="2"/>
  <c r="G297" i="5"/>
  <c r="O309" i="2"/>
  <c r="N309" i="2"/>
  <c r="M27" i="23"/>
  <c r="O473" i="2"/>
  <c r="N473" i="2"/>
  <c r="Q309" i="1"/>
  <c r="R309" i="1"/>
  <c r="N169" i="2"/>
  <c r="O169" i="2"/>
  <c r="O174" i="2"/>
  <c r="N174" i="2"/>
  <c r="N164" i="2"/>
  <c r="O164" i="2"/>
  <c r="N408" i="2"/>
  <c r="O408" i="2"/>
  <c r="O305" i="2"/>
  <c r="N305" i="2"/>
  <c r="O292" i="2"/>
  <c r="N292" i="2"/>
  <c r="N293" i="2"/>
  <c r="O293" i="2"/>
  <c r="N243" i="2"/>
  <c r="O243" i="2"/>
  <c r="O265" i="2"/>
  <c r="N265" i="2"/>
  <c r="N270" i="2"/>
  <c r="O270" i="2"/>
  <c r="N227" i="2"/>
  <c r="O227" i="2"/>
  <c r="N267" i="2"/>
  <c r="O267" i="2"/>
  <c r="N261" i="2"/>
  <c r="O261" i="2"/>
  <c r="N256" i="2"/>
  <c r="O256" i="2"/>
  <c r="Q176" i="1"/>
  <c r="R176" i="1"/>
  <c r="Q187" i="1"/>
  <c r="R187" i="1"/>
  <c r="H42" i="20"/>
  <c r="H115" i="20"/>
  <c r="M67" i="19" l="1"/>
  <c r="O67" i="19" s="1"/>
  <c r="P67" i="19" s="1"/>
  <c r="M71" i="19"/>
  <c r="O71" i="19" s="1"/>
  <c r="P71" i="19" s="1"/>
  <c r="M75" i="19"/>
  <c r="O75" i="19" s="1"/>
  <c r="P75" i="19" s="1"/>
  <c r="M66" i="19"/>
  <c r="O66" i="19" s="1"/>
  <c r="P66" i="19" s="1"/>
  <c r="M70" i="19"/>
  <c r="O70" i="19" s="1"/>
  <c r="P70" i="19" s="1"/>
  <c r="M74" i="19"/>
  <c r="O74" i="19" s="1"/>
  <c r="P74" i="19" s="1"/>
  <c r="M65" i="19"/>
  <c r="O65" i="19" s="1"/>
  <c r="P65" i="19" s="1"/>
  <c r="M69" i="19"/>
  <c r="O69" i="19" s="1"/>
  <c r="P69" i="19" s="1"/>
  <c r="M73" i="19"/>
  <c r="O73" i="19" s="1"/>
  <c r="P73" i="19" s="1"/>
  <c r="M68" i="19"/>
  <c r="O68" i="19" s="1"/>
  <c r="P68" i="19" s="1"/>
  <c r="M64" i="19"/>
  <c r="O64" i="19" s="1"/>
  <c r="P64" i="19" s="1"/>
  <c r="M72" i="19"/>
  <c r="O72" i="19" s="1"/>
  <c r="P72" i="19" s="1"/>
  <c r="J120" i="1"/>
  <c r="N120" i="1" s="1"/>
  <c r="J119" i="1"/>
  <c r="N119" i="1" s="1"/>
  <c r="K121" i="3"/>
  <c r="N121" i="3" s="1"/>
  <c r="P121" i="3" s="1"/>
  <c r="K117" i="3"/>
  <c r="N117" i="3" s="1"/>
  <c r="P117" i="3" s="1"/>
  <c r="K123" i="3"/>
  <c r="N123" i="3" s="1"/>
  <c r="P123" i="3" s="1"/>
  <c r="K116" i="3"/>
  <c r="N116" i="3" s="1"/>
  <c r="P116" i="3" s="1"/>
  <c r="K119" i="3"/>
  <c r="N119" i="3" s="1"/>
  <c r="P119" i="3" s="1"/>
  <c r="K120" i="3"/>
  <c r="N120" i="3" s="1"/>
  <c r="P120" i="3" s="1"/>
  <c r="K122" i="3"/>
  <c r="N122" i="3" s="1"/>
  <c r="P122" i="3" s="1"/>
  <c r="K118" i="3"/>
  <c r="N118" i="3" s="1"/>
  <c r="P118" i="3" s="1"/>
  <c r="K124" i="3"/>
  <c r="N124" i="3" s="1"/>
  <c r="P124" i="3" s="1"/>
  <c r="M236" i="19"/>
  <c r="O236" i="19" s="1"/>
  <c r="P236" i="19" s="1"/>
  <c r="M240" i="19"/>
  <c r="O240" i="19" s="1"/>
  <c r="P240" i="19" s="1"/>
  <c r="M235" i="19"/>
  <c r="O235" i="19" s="1"/>
  <c r="P235" i="19" s="1"/>
  <c r="M239" i="19"/>
  <c r="O239" i="19" s="1"/>
  <c r="P239" i="19" s="1"/>
  <c r="M243" i="19"/>
  <c r="O243" i="19" s="1"/>
  <c r="P243" i="19" s="1"/>
  <c r="M247" i="19"/>
  <c r="O247" i="19" s="1"/>
  <c r="P247" i="19" s="1"/>
  <c r="M234" i="19"/>
  <c r="O234" i="19" s="1"/>
  <c r="P234" i="19" s="1"/>
  <c r="M238" i="19"/>
  <c r="O238" i="19" s="1"/>
  <c r="P238" i="19" s="1"/>
  <c r="M242" i="19"/>
  <c r="O242" i="19" s="1"/>
  <c r="P242" i="19" s="1"/>
  <c r="M241" i="19"/>
  <c r="O241" i="19" s="1"/>
  <c r="P241" i="19" s="1"/>
  <c r="M244" i="19"/>
  <c r="O244" i="19" s="1"/>
  <c r="P244" i="19" s="1"/>
  <c r="M246" i="19"/>
  <c r="O246" i="19" s="1"/>
  <c r="P246" i="19" s="1"/>
  <c r="M248" i="19"/>
  <c r="O248" i="19" s="1"/>
  <c r="P248" i="19" s="1"/>
  <c r="M250" i="19"/>
  <c r="O250" i="19" s="1"/>
  <c r="P250" i="19" s="1"/>
  <c r="M237" i="19"/>
  <c r="O237" i="19" s="1"/>
  <c r="P237" i="19" s="1"/>
  <c r="M245" i="19"/>
  <c r="O245" i="19" s="1"/>
  <c r="P245" i="19" s="1"/>
  <c r="M249" i="19"/>
  <c r="O249" i="19" s="1"/>
  <c r="P249" i="19" s="1"/>
  <c r="M233" i="19"/>
  <c r="O233" i="19" s="1"/>
  <c r="P233" i="19" s="1"/>
  <c r="J113" i="1"/>
  <c r="N113" i="1" s="1"/>
  <c r="J114" i="1"/>
  <c r="N114" i="1" s="1"/>
  <c r="K104" i="3"/>
  <c r="N104" i="3" s="1"/>
  <c r="P104" i="3" s="1"/>
  <c r="K102" i="3"/>
  <c r="N102" i="3" s="1"/>
  <c r="P102" i="3" s="1"/>
  <c r="K105" i="3"/>
  <c r="N105" i="3" s="1"/>
  <c r="P105" i="3" s="1"/>
  <c r="K109" i="3"/>
  <c r="N109" i="3" s="1"/>
  <c r="P109" i="3" s="1"/>
  <c r="K101" i="3"/>
  <c r="N101" i="3" s="1"/>
  <c r="P101" i="3" s="1"/>
  <c r="K108" i="3"/>
  <c r="N108" i="3" s="1"/>
  <c r="P108" i="3" s="1"/>
  <c r="K103" i="3"/>
  <c r="N103" i="3" s="1"/>
  <c r="P103" i="3" s="1"/>
  <c r="K107" i="3"/>
  <c r="N107" i="3" s="1"/>
  <c r="P107" i="3" s="1"/>
  <c r="K100" i="3"/>
  <c r="N100" i="3" s="1"/>
  <c r="P100" i="3" s="1"/>
  <c r="K106" i="3"/>
  <c r="N106" i="3" s="1"/>
  <c r="P106" i="3" s="1"/>
  <c r="Q46" i="1"/>
  <c r="R46" i="1"/>
  <c r="Q44" i="1"/>
  <c r="R44" i="1"/>
  <c r="N25" i="2"/>
  <c r="O25" i="2"/>
  <c r="R319" i="1"/>
  <c r="Q319" i="1"/>
  <c r="N43" i="2"/>
  <c r="O43" i="2"/>
  <c r="O40" i="2"/>
  <c r="N40" i="2"/>
  <c r="J264" i="1"/>
  <c r="N264" i="1" s="1"/>
  <c r="J266" i="1"/>
  <c r="N266" i="1" s="1"/>
  <c r="J262" i="1"/>
  <c r="N262" i="1" s="1"/>
  <c r="J263" i="1"/>
  <c r="N263" i="1" s="1"/>
  <c r="J259" i="1"/>
  <c r="N259" i="1" s="1"/>
  <c r="J260" i="1"/>
  <c r="N260" i="1" s="1"/>
  <c r="J261" i="1"/>
  <c r="N261" i="1" s="1"/>
  <c r="J265" i="1"/>
  <c r="N265" i="1" s="1"/>
  <c r="Q70" i="1"/>
  <c r="R70" i="1"/>
  <c r="R202" i="3"/>
  <c r="Q202" i="3"/>
  <c r="Q49" i="1"/>
  <c r="R49" i="1"/>
  <c r="N28" i="2"/>
  <c r="O28" i="2"/>
  <c r="Q317" i="1"/>
  <c r="R317" i="1"/>
  <c r="N38" i="2"/>
  <c r="O38" i="2"/>
  <c r="N35" i="2"/>
  <c r="O35" i="2"/>
  <c r="R84" i="3"/>
  <c r="Q84" i="3"/>
  <c r="J90" i="1"/>
  <c r="N90" i="1" s="1"/>
  <c r="J87" i="1"/>
  <c r="N87" i="1" s="1"/>
  <c r="J88" i="1"/>
  <c r="N88" i="1" s="1"/>
  <c r="J89" i="1"/>
  <c r="N89" i="1" s="1"/>
  <c r="J91" i="1"/>
  <c r="N91" i="1" s="1"/>
  <c r="K32" i="21"/>
  <c r="M32" i="21" s="1"/>
  <c r="N32" i="21" s="1"/>
  <c r="K78" i="3"/>
  <c r="N78" i="3" s="1"/>
  <c r="P78" i="3" s="1"/>
  <c r="K77" i="3"/>
  <c r="N77" i="3" s="1"/>
  <c r="P77" i="3" s="1"/>
  <c r="K29" i="21"/>
  <c r="M29" i="21" s="1"/>
  <c r="N29" i="21" s="1"/>
  <c r="K27" i="21"/>
  <c r="M27" i="21" s="1"/>
  <c r="N27" i="21" s="1"/>
  <c r="K28" i="21"/>
  <c r="M28" i="21" s="1"/>
  <c r="N28" i="21" s="1"/>
  <c r="K30" i="21"/>
  <c r="M30" i="21" s="1"/>
  <c r="N30" i="21" s="1"/>
  <c r="K76" i="3"/>
  <c r="N76" i="3" s="1"/>
  <c r="P76" i="3" s="1"/>
  <c r="K31" i="21"/>
  <c r="M31" i="21" s="1"/>
  <c r="N31" i="21" s="1"/>
  <c r="M279" i="19"/>
  <c r="O279" i="19" s="1"/>
  <c r="P279" i="19" s="1"/>
  <c r="M277" i="19"/>
  <c r="O277" i="19" s="1"/>
  <c r="P277" i="19" s="1"/>
  <c r="M278" i="19"/>
  <c r="O278" i="19" s="1"/>
  <c r="P278" i="19" s="1"/>
  <c r="Q45" i="1"/>
  <c r="R45" i="1"/>
  <c r="O26" i="2"/>
  <c r="N26" i="2"/>
  <c r="Q314" i="1"/>
  <c r="R314" i="1"/>
  <c r="O45" i="2"/>
  <c r="N45" i="2"/>
  <c r="N46" i="2"/>
  <c r="O46" i="2"/>
  <c r="Q83" i="3"/>
  <c r="R83" i="3"/>
  <c r="M32" i="23"/>
  <c r="Q48" i="1"/>
  <c r="R48" i="1"/>
  <c r="O29" i="2"/>
  <c r="N29" i="2"/>
  <c r="Q316" i="1"/>
  <c r="R316" i="1"/>
  <c r="N36" i="2"/>
  <c r="O36" i="2"/>
  <c r="O42" i="2"/>
  <c r="N42" i="2"/>
  <c r="M213" i="19"/>
  <c r="O213" i="19" s="1"/>
  <c r="P213" i="19" s="1"/>
  <c r="M217" i="19"/>
  <c r="O217" i="19" s="1"/>
  <c r="P217" i="19" s="1"/>
  <c r="M221" i="19"/>
  <c r="O221" i="19" s="1"/>
  <c r="P221" i="19" s="1"/>
  <c r="M214" i="19"/>
  <c r="O214" i="19" s="1"/>
  <c r="P214" i="19" s="1"/>
  <c r="M215" i="19"/>
  <c r="O215" i="19" s="1"/>
  <c r="P215" i="19" s="1"/>
  <c r="M219" i="19"/>
  <c r="O219" i="19" s="1"/>
  <c r="P219" i="19" s="1"/>
  <c r="M220" i="19"/>
  <c r="O220" i="19" s="1"/>
  <c r="P220" i="19" s="1"/>
  <c r="M216" i="19"/>
  <c r="O216" i="19" s="1"/>
  <c r="P216" i="19" s="1"/>
  <c r="M218" i="19"/>
  <c r="O218" i="19" s="1"/>
  <c r="P218" i="19" s="1"/>
  <c r="M222" i="19"/>
  <c r="O222" i="19" s="1"/>
  <c r="P222" i="19" s="1"/>
  <c r="J320" i="2"/>
  <c r="L320" i="2" s="1"/>
  <c r="J317" i="2"/>
  <c r="L317" i="2" s="1"/>
  <c r="J318" i="2"/>
  <c r="L318" i="2" s="1"/>
  <c r="J321" i="2"/>
  <c r="L321" i="2" s="1"/>
  <c r="J323" i="2"/>
  <c r="L323" i="2" s="1"/>
  <c r="J322" i="2"/>
  <c r="L322" i="2" s="1"/>
  <c r="J315" i="2"/>
  <c r="L315" i="2" s="1"/>
  <c r="J319" i="2"/>
  <c r="L319" i="2" s="1"/>
  <c r="J316" i="2"/>
  <c r="L316" i="2" s="1"/>
  <c r="Q82" i="3"/>
  <c r="R82" i="3"/>
  <c r="M137" i="19"/>
  <c r="O137" i="19" s="1"/>
  <c r="P137" i="19" s="1"/>
  <c r="M141" i="19"/>
  <c r="O141" i="19" s="1"/>
  <c r="P141" i="19" s="1"/>
  <c r="M145" i="19"/>
  <c r="O145" i="19" s="1"/>
  <c r="P145" i="19" s="1"/>
  <c r="M149" i="19"/>
  <c r="O149" i="19" s="1"/>
  <c r="P149" i="19" s="1"/>
  <c r="M153" i="19"/>
  <c r="O153" i="19" s="1"/>
  <c r="P153" i="19" s="1"/>
  <c r="M140" i="19"/>
  <c r="O140" i="19" s="1"/>
  <c r="P140" i="19" s="1"/>
  <c r="M144" i="19"/>
  <c r="O144" i="19" s="1"/>
  <c r="P144" i="19" s="1"/>
  <c r="M148" i="19"/>
  <c r="O148" i="19" s="1"/>
  <c r="P148" i="19" s="1"/>
  <c r="M152" i="19"/>
  <c r="O152" i="19" s="1"/>
  <c r="P152" i="19" s="1"/>
  <c r="M139" i="19"/>
  <c r="O139" i="19" s="1"/>
  <c r="P139" i="19" s="1"/>
  <c r="M143" i="19"/>
  <c r="O143" i="19" s="1"/>
  <c r="P143" i="19" s="1"/>
  <c r="M147" i="19"/>
  <c r="O147" i="19" s="1"/>
  <c r="P147" i="19" s="1"/>
  <c r="M151" i="19"/>
  <c r="O151" i="19" s="1"/>
  <c r="P151" i="19" s="1"/>
  <c r="M142" i="19"/>
  <c r="O142" i="19" s="1"/>
  <c r="P142" i="19" s="1"/>
  <c r="M154" i="19"/>
  <c r="O154" i="19" s="1"/>
  <c r="P154" i="19" s="1"/>
  <c r="M138" i="19"/>
  <c r="O138" i="19" s="1"/>
  <c r="P138" i="19" s="1"/>
  <c r="M146" i="19"/>
  <c r="O146" i="19" s="1"/>
  <c r="P146" i="19" s="1"/>
  <c r="M150" i="19"/>
  <c r="O150" i="19" s="1"/>
  <c r="P150" i="19" s="1"/>
  <c r="N23" i="2"/>
  <c r="O23" i="2"/>
  <c r="O47" i="2"/>
  <c r="N47" i="2"/>
  <c r="Q51" i="1"/>
  <c r="R51" i="1"/>
  <c r="Q47" i="1"/>
  <c r="R47" i="1"/>
  <c r="K169" i="3"/>
  <c r="N169" i="3" s="1"/>
  <c r="P169" i="3" s="1"/>
  <c r="K170" i="3"/>
  <c r="N170" i="3" s="1"/>
  <c r="P170" i="3" s="1"/>
  <c r="K171" i="3"/>
  <c r="N171" i="3" s="1"/>
  <c r="P171" i="3" s="1"/>
  <c r="K172" i="3"/>
  <c r="N172" i="3" s="1"/>
  <c r="P172" i="3" s="1"/>
  <c r="K173" i="3"/>
  <c r="N173" i="3" s="1"/>
  <c r="P173" i="3" s="1"/>
  <c r="K174" i="3"/>
  <c r="N174" i="3" s="1"/>
  <c r="P174" i="3" s="1"/>
  <c r="K175" i="3"/>
  <c r="N175" i="3" s="1"/>
  <c r="P175" i="3" s="1"/>
  <c r="K176" i="3"/>
  <c r="N176" i="3" s="1"/>
  <c r="P176" i="3" s="1"/>
  <c r="K177" i="3"/>
  <c r="N177" i="3" s="1"/>
  <c r="P177" i="3" s="1"/>
  <c r="K178" i="3"/>
  <c r="N178" i="3" s="1"/>
  <c r="P178" i="3" s="1"/>
  <c r="K179" i="3"/>
  <c r="N179" i="3" s="1"/>
  <c r="P179" i="3" s="1"/>
  <c r="K180" i="3"/>
  <c r="N180" i="3" s="1"/>
  <c r="P180" i="3" s="1"/>
  <c r="K181" i="3"/>
  <c r="N181" i="3" s="1"/>
  <c r="P181" i="3" s="1"/>
  <c r="K182" i="3"/>
  <c r="N182" i="3" s="1"/>
  <c r="P182" i="3" s="1"/>
  <c r="K183" i="3"/>
  <c r="N183" i="3" s="1"/>
  <c r="P183" i="3" s="1"/>
  <c r="K184" i="3"/>
  <c r="N184" i="3" s="1"/>
  <c r="P184" i="3" s="1"/>
  <c r="K185" i="3"/>
  <c r="N185" i="3" s="1"/>
  <c r="P185" i="3" s="1"/>
  <c r="K186" i="3"/>
  <c r="N186" i="3" s="1"/>
  <c r="P186" i="3" s="1"/>
  <c r="K187" i="3"/>
  <c r="N187" i="3" s="1"/>
  <c r="P187" i="3" s="1"/>
  <c r="K188" i="3"/>
  <c r="N188" i="3" s="1"/>
  <c r="P188" i="3" s="1"/>
  <c r="K189" i="3"/>
  <c r="N189" i="3" s="1"/>
  <c r="P189" i="3" s="1"/>
  <c r="K190" i="3"/>
  <c r="N190" i="3" s="1"/>
  <c r="P190" i="3" s="1"/>
  <c r="K191" i="3"/>
  <c r="N191" i="3" s="1"/>
  <c r="P191" i="3" s="1"/>
  <c r="K192" i="3"/>
  <c r="N192" i="3" s="1"/>
  <c r="P192" i="3" s="1"/>
  <c r="K193" i="3"/>
  <c r="N193" i="3" s="1"/>
  <c r="P193" i="3" s="1"/>
  <c r="K194" i="3"/>
  <c r="N194" i="3" s="1"/>
  <c r="P194" i="3" s="1"/>
  <c r="K195" i="3"/>
  <c r="N195" i="3" s="1"/>
  <c r="P195" i="3" s="1"/>
  <c r="K196" i="3"/>
  <c r="N196" i="3" s="1"/>
  <c r="P196" i="3" s="1"/>
  <c r="K197" i="3"/>
  <c r="N197" i="3" s="1"/>
  <c r="P197" i="3" s="1"/>
  <c r="N30" i="2"/>
  <c r="O30" i="2"/>
  <c r="Q315" i="1"/>
  <c r="R315" i="1"/>
  <c r="O37" i="2"/>
  <c r="N37" i="2"/>
  <c r="N48" i="2"/>
  <c r="O48" i="2"/>
  <c r="O41" i="2"/>
  <c r="N41" i="2"/>
  <c r="H68" i="20"/>
  <c r="M79" i="19" s="1"/>
  <c r="O79" i="19" s="1"/>
  <c r="P79" i="19" s="1"/>
  <c r="M38" i="19"/>
  <c r="O38" i="19" s="1"/>
  <c r="P38" i="19" s="1"/>
  <c r="M42" i="19"/>
  <c r="O42" i="19" s="1"/>
  <c r="P42" i="19" s="1"/>
  <c r="M46" i="19"/>
  <c r="O46" i="19" s="1"/>
  <c r="P46" i="19" s="1"/>
  <c r="M50" i="19"/>
  <c r="O50" i="19" s="1"/>
  <c r="P50" i="19" s="1"/>
  <c r="M54" i="19"/>
  <c r="O54" i="19" s="1"/>
  <c r="P54" i="19" s="1"/>
  <c r="M58" i="19"/>
  <c r="O58" i="19" s="1"/>
  <c r="P58" i="19" s="1"/>
  <c r="M62" i="19"/>
  <c r="O62" i="19" s="1"/>
  <c r="P62" i="19" s="1"/>
  <c r="M57" i="19"/>
  <c r="O57" i="19" s="1"/>
  <c r="P57" i="19" s="1"/>
  <c r="M60" i="19"/>
  <c r="O60" i="19" s="1"/>
  <c r="P60" i="19" s="1"/>
  <c r="M39" i="19"/>
  <c r="O39" i="19" s="1"/>
  <c r="P39" i="19" s="1"/>
  <c r="M45" i="19"/>
  <c r="O45" i="19" s="1"/>
  <c r="P45" i="19" s="1"/>
  <c r="M48" i="19"/>
  <c r="O48" i="19" s="1"/>
  <c r="P48" i="19" s="1"/>
  <c r="M51" i="19"/>
  <c r="O51" i="19" s="1"/>
  <c r="P51" i="19" s="1"/>
  <c r="M63" i="19"/>
  <c r="O63" i="19" s="1"/>
  <c r="P63" i="19" s="1"/>
  <c r="M41" i="19"/>
  <c r="O41" i="19" s="1"/>
  <c r="P41" i="19" s="1"/>
  <c r="M44" i="19"/>
  <c r="O44" i="19" s="1"/>
  <c r="P44" i="19" s="1"/>
  <c r="M53" i="19"/>
  <c r="O53" i="19" s="1"/>
  <c r="P53" i="19" s="1"/>
  <c r="M56" i="19"/>
  <c r="O56" i="19" s="1"/>
  <c r="P56" i="19" s="1"/>
  <c r="M59" i="19"/>
  <c r="O59" i="19" s="1"/>
  <c r="P59" i="19" s="1"/>
  <c r="M35" i="19"/>
  <c r="O35" i="19" s="1"/>
  <c r="P35" i="19" s="1"/>
  <c r="M40" i="19"/>
  <c r="O40" i="19" s="1"/>
  <c r="P40" i="19" s="1"/>
  <c r="M52" i="19"/>
  <c r="O52" i="19" s="1"/>
  <c r="P52" i="19" s="1"/>
  <c r="M47" i="19"/>
  <c r="O47" i="19" s="1"/>
  <c r="P47" i="19" s="1"/>
  <c r="M36" i="19"/>
  <c r="O36" i="19" s="1"/>
  <c r="P36" i="19" s="1"/>
  <c r="M55" i="19"/>
  <c r="O55" i="19" s="1"/>
  <c r="P55" i="19" s="1"/>
  <c r="M37" i="19"/>
  <c r="O37" i="19" s="1"/>
  <c r="P37" i="19" s="1"/>
  <c r="M61" i="19"/>
  <c r="O61" i="19" s="1"/>
  <c r="P61" i="19" s="1"/>
  <c r="M49" i="19"/>
  <c r="O49" i="19" s="1"/>
  <c r="P49" i="19" s="1"/>
  <c r="M43" i="19"/>
  <c r="O43" i="19" s="1"/>
  <c r="P43" i="19" s="1"/>
  <c r="O209" i="2"/>
  <c r="N209" i="2"/>
  <c r="M78" i="19"/>
  <c r="O78" i="19" s="1"/>
  <c r="P78" i="19" s="1"/>
  <c r="M77" i="19"/>
  <c r="O77" i="19" s="1"/>
  <c r="P77" i="19" s="1"/>
  <c r="Q50" i="1"/>
  <c r="R50" i="1"/>
  <c r="J73" i="1"/>
  <c r="N73" i="1" s="1"/>
  <c r="J72" i="1"/>
  <c r="N72" i="1" s="1"/>
  <c r="N51" i="2"/>
  <c r="O51" i="2"/>
  <c r="Q55" i="1"/>
  <c r="R55" i="1"/>
  <c r="Q43" i="1"/>
  <c r="R43" i="1"/>
  <c r="N24" i="2"/>
  <c r="O24" i="2"/>
  <c r="N44" i="2"/>
  <c r="O44" i="2"/>
  <c r="O34" i="2"/>
  <c r="N34" i="2"/>
  <c r="Q19" i="1"/>
  <c r="R19" i="1"/>
  <c r="N208" i="2"/>
  <c r="O208" i="2"/>
  <c r="M271" i="19"/>
  <c r="O271" i="19" s="1"/>
  <c r="P271" i="19" s="1"/>
  <c r="M275" i="19"/>
  <c r="O275" i="19" s="1"/>
  <c r="P275" i="19" s="1"/>
  <c r="M272" i="19"/>
  <c r="O272" i="19" s="1"/>
  <c r="P272" i="19" s="1"/>
  <c r="M274" i="19"/>
  <c r="O274" i="19" s="1"/>
  <c r="P274" i="19" s="1"/>
  <c r="M276" i="19"/>
  <c r="O276" i="19" s="1"/>
  <c r="P276" i="19" s="1"/>
  <c r="M273" i="19"/>
  <c r="O273" i="19" s="1"/>
  <c r="P273" i="19" s="1"/>
  <c r="M270" i="19"/>
  <c r="O270" i="19" s="1"/>
  <c r="P270" i="19" s="1"/>
  <c r="Q54" i="1"/>
  <c r="R54" i="1"/>
  <c r="Q318" i="1"/>
  <c r="R318" i="1"/>
  <c r="O49" i="2"/>
  <c r="N49" i="2"/>
  <c r="M181" i="19"/>
  <c r="O181" i="19" s="1"/>
  <c r="P181" i="19" s="1"/>
  <c r="M185" i="19"/>
  <c r="O185" i="19" s="1"/>
  <c r="P185" i="19" s="1"/>
  <c r="M189" i="19"/>
  <c r="O189" i="19" s="1"/>
  <c r="P189" i="19" s="1"/>
  <c r="M188" i="19"/>
  <c r="O188" i="19" s="1"/>
  <c r="P188" i="19" s="1"/>
  <c r="M190" i="19"/>
  <c r="O190" i="19" s="1"/>
  <c r="P190" i="19" s="1"/>
  <c r="M184" i="19"/>
  <c r="O184" i="19" s="1"/>
  <c r="P184" i="19" s="1"/>
  <c r="M186" i="19"/>
  <c r="O186" i="19" s="1"/>
  <c r="P186" i="19" s="1"/>
  <c r="M187" i="19"/>
  <c r="O187" i="19" s="1"/>
  <c r="P187" i="19" s="1"/>
  <c r="M182" i="19"/>
  <c r="O182" i="19" s="1"/>
  <c r="P182" i="19" s="1"/>
  <c r="M180" i="19"/>
  <c r="O180" i="19" s="1"/>
  <c r="P180" i="19" s="1"/>
  <c r="M183" i="19"/>
  <c r="O183" i="19" s="1"/>
  <c r="P183" i="19" s="1"/>
  <c r="M191" i="19"/>
  <c r="O191" i="19" s="1"/>
  <c r="P191" i="19" s="1"/>
  <c r="M99" i="19"/>
  <c r="O99" i="19" s="1"/>
  <c r="P99" i="19" s="1"/>
  <c r="M103" i="19"/>
  <c r="O103" i="19" s="1"/>
  <c r="P103" i="19" s="1"/>
  <c r="M98" i="19"/>
  <c r="O98" i="19" s="1"/>
  <c r="P98" i="19" s="1"/>
  <c r="M102" i="19"/>
  <c r="O102" i="19" s="1"/>
  <c r="P102" i="19" s="1"/>
  <c r="M106" i="19"/>
  <c r="O106" i="19" s="1"/>
  <c r="P106" i="19" s="1"/>
  <c r="M97" i="19"/>
  <c r="O97" i="19" s="1"/>
  <c r="P97" i="19" s="1"/>
  <c r="M101" i="19"/>
  <c r="O101" i="19" s="1"/>
  <c r="P101" i="19" s="1"/>
  <c r="M105" i="19"/>
  <c r="O105" i="19" s="1"/>
  <c r="P105" i="19" s="1"/>
  <c r="M104" i="19"/>
  <c r="O104" i="19" s="1"/>
  <c r="P104" i="19" s="1"/>
  <c r="M100" i="19"/>
  <c r="O100" i="19" s="1"/>
  <c r="P100" i="19" s="1"/>
  <c r="M96" i="19"/>
  <c r="O96" i="19" s="1"/>
  <c r="P96" i="19" s="1"/>
  <c r="Q53" i="1"/>
  <c r="R53" i="1"/>
  <c r="Q52" i="1"/>
  <c r="R52" i="1"/>
  <c r="O27" i="2"/>
  <c r="N27" i="2"/>
  <c r="Q313" i="1"/>
  <c r="R313" i="1"/>
  <c r="O39" i="2"/>
  <c r="N39" i="2"/>
  <c r="N50" i="2"/>
  <c r="O50" i="2"/>
  <c r="M267" i="19"/>
  <c r="O267" i="19" s="1"/>
  <c r="P267" i="19" s="1"/>
  <c r="M269" i="19"/>
  <c r="O269" i="19" s="1"/>
  <c r="P269" i="19" s="1"/>
  <c r="M265" i="19"/>
  <c r="O265" i="19" s="1"/>
  <c r="P265" i="19" s="1"/>
  <c r="M268" i="19"/>
  <c r="O268" i="19" s="1"/>
  <c r="P268" i="19" s="1"/>
  <c r="M266" i="19"/>
  <c r="O266" i="19" s="1"/>
  <c r="P266" i="19" s="1"/>
  <c r="R171" i="1"/>
  <c r="Q171" i="1"/>
  <c r="Q190" i="3" l="1"/>
  <c r="R190" i="3" s="1"/>
  <c r="Q91" i="1"/>
  <c r="R91" i="1"/>
  <c r="Q192" i="3"/>
  <c r="R192" i="3" s="1"/>
  <c r="Q184" i="3"/>
  <c r="R184" i="3"/>
  <c r="Q176" i="3"/>
  <c r="R176" i="3" s="1"/>
  <c r="N323" i="2"/>
  <c r="O323" i="2"/>
  <c r="Q261" i="1"/>
  <c r="R261" i="1"/>
  <c r="Q101" i="3"/>
  <c r="R101" i="3"/>
  <c r="R191" i="3"/>
  <c r="Q191" i="3"/>
  <c r="R183" i="3"/>
  <c r="Q183" i="3"/>
  <c r="R175" i="3"/>
  <c r="Q175" i="3"/>
  <c r="O321" i="2"/>
  <c r="N321" i="2"/>
  <c r="Q260" i="1"/>
  <c r="R260" i="1"/>
  <c r="R109" i="3"/>
  <c r="Q109" i="3"/>
  <c r="Q72" i="1"/>
  <c r="R72" i="1"/>
  <c r="Q197" i="3"/>
  <c r="R197" i="3"/>
  <c r="R189" i="3"/>
  <c r="Q189" i="3"/>
  <c r="Q181" i="3"/>
  <c r="R181" i="3" s="1"/>
  <c r="Q173" i="3"/>
  <c r="R173" i="3" s="1"/>
  <c r="N317" i="2"/>
  <c r="O317" i="2"/>
  <c r="Q89" i="1"/>
  <c r="R89" i="1"/>
  <c r="Q263" i="1"/>
  <c r="R263" i="1"/>
  <c r="Q106" i="3"/>
  <c r="R106" i="3" s="1"/>
  <c r="Q102" i="3"/>
  <c r="R102" i="3"/>
  <c r="Q120" i="1"/>
  <c r="R120" i="1"/>
  <c r="Q188" i="3"/>
  <c r="R188" i="3" s="1"/>
  <c r="R195" i="3"/>
  <c r="Q195" i="3"/>
  <c r="Q187" i="3"/>
  <c r="R187" i="3"/>
  <c r="Q179" i="3"/>
  <c r="R179" i="3" s="1"/>
  <c r="R171" i="3"/>
  <c r="Q171" i="3"/>
  <c r="N319" i="2"/>
  <c r="O319" i="2"/>
  <c r="Q87" i="1"/>
  <c r="R87" i="1"/>
  <c r="Q266" i="1"/>
  <c r="R266" i="1"/>
  <c r="Q107" i="3"/>
  <c r="R107" i="3" s="1"/>
  <c r="Q114" i="1"/>
  <c r="R114" i="1"/>
  <c r="Q182" i="3"/>
  <c r="R182" i="3"/>
  <c r="Q105" i="3"/>
  <c r="R105" i="3" s="1"/>
  <c r="Q119" i="1"/>
  <c r="R119" i="1"/>
  <c r="Q73" i="1"/>
  <c r="R73" i="1"/>
  <c r="Q196" i="3"/>
  <c r="R196" i="3"/>
  <c r="R172" i="3"/>
  <c r="Q172" i="3"/>
  <c r="O316" i="2"/>
  <c r="N316" i="2"/>
  <c r="Q262" i="1"/>
  <c r="R262" i="1"/>
  <c r="Q104" i="3"/>
  <c r="R104" i="3" s="1"/>
  <c r="R194" i="3"/>
  <c r="Q194" i="3"/>
  <c r="Q186" i="3"/>
  <c r="R186" i="3" s="1"/>
  <c r="R178" i="3"/>
  <c r="Q178" i="3"/>
  <c r="Q170" i="3"/>
  <c r="R170" i="3" s="1"/>
  <c r="N315" i="2"/>
  <c r="O315" i="2"/>
  <c r="Q90" i="1"/>
  <c r="R90" i="1"/>
  <c r="Q264" i="1"/>
  <c r="R264" i="1"/>
  <c r="Q103" i="3"/>
  <c r="R103" i="3" s="1"/>
  <c r="Q113" i="1"/>
  <c r="R113" i="1"/>
  <c r="Q174" i="3"/>
  <c r="R174" i="3" s="1"/>
  <c r="N318" i="2"/>
  <c r="O318" i="2"/>
  <c r="Q259" i="1"/>
  <c r="R259" i="1"/>
  <c r="Q180" i="3"/>
  <c r="R180" i="3" s="1"/>
  <c r="N320" i="2"/>
  <c r="O320" i="2"/>
  <c r="Q88" i="1"/>
  <c r="R88" i="1"/>
  <c r="Q100" i="3"/>
  <c r="R100" i="3" s="1"/>
  <c r="Q193" i="3"/>
  <c r="R193" i="3" s="1"/>
  <c r="R185" i="3"/>
  <c r="Q185" i="3"/>
  <c r="R177" i="3"/>
  <c r="Q177" i="3"/>
  <c r="Q169" i="3"/>
  <c r="R169" i="3"/>
  <c r="N322" i="2"/>
  <c r="O322" i="2"/>
  <c r="Q265" i="1"/>
  <c r="R265" i="1"/>
  <c r="R108" i="3"/>
  <c r="Q108" i="3"/>
  <c r="S114" i="1" l="1"/>
  <c r="T114" i="1" s="1"/>
  <c r="T113" i="1"/>
  <c r="S113" i="1"/>
</calcChain>
</file>

<file path=xl/comments1.xml><?xml version="1.0" encoding="utf-8"?>
<comments xmlns="http://schemas.openxmlformats.org/spreadsheetml/2006/main">
  <authors>
    <author>Wade Price</author>
    <author>chantelle james</author>
  </authors>
  <commentList>
    <comment ref="M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.06 confrimed by Terry Franklin on service contract #539  11/16/01</t>
        </r>
      </text>
    </comment>
    <comment ref="C9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Cotiga wants ECT to pay Markwest for processing
</t>
        </r>
      </text>
    </comment>
    <comment ref="L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U11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17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 eff 3/99 that charge will be credited and we are to give it to producer.</t>
        </r>
      </text>
    </comment>
    <comment ref="U216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  <comment ref="L21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Cgas no longer charging a gath fee.  Previous charges will be credited fr 9809 and we are to give it to producer.</t>
        </r>
      </text>
    </comment>
  </commentList>
</comments>
</file>

<file path=xl/comments2.xml><?xml version="1.0" encoding="utf-8"?>
<comments xmlns="http://schemas.openxmlformats.org/spreadsheetml/2006/main">
  <authors>
    <author>Wade Price</author>
  </authors>
  <commentList>
    <comment ref="M15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5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7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8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69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0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1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2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3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4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5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  <comment ref="M176" authorId="0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to get rate, divide OOGEEP total from J Singer's invoice by total Dth
</t>
        </r>
      </text>
    </comment>
  </commentList>
</comments>
</file>

<file path=xl/comments3.xml><?xml version="1.0" encoding="utf-8"?>
<comments xmlns="http://schemas.openxmlformats.org/spreadsheetml/2006/main">
  <authors>
    <author>chantelle james</author>
    <author>Wade Price</author>
  </authors>
  <commentList>
    <comment ref="M7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M78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is a compression fee agreed upon by producer per Heidi 4/23/99</t>
        </r>
      </text>
    </comment>
    <comment ref="L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6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7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8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19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0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1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2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3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L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gathering
</t>
        </r>
      </text>
    </comment>
    <comment ref="O124" authorId="1" shapeId="0">
      <text>
        <r>
          <rPr>
            <b/>
            <sz val="8"/>
            <color indexed="81"/>
            <rFont val="Tahoma"/>
          </rPr>
          <t>Wade Price:</t>
        </r>
        <r>
          <rPr>
            <sz val="8"/>
            <color indexed="81"/>
            <rFont val="Tahoma"/>
          </rPr>
          <t xml:space="preserve">
Evans pays own meter fees
</t>
        </r>
      </text>
    </comment>
    <comment ref="O167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Interstate pays meter fee direct to cnr. Also, Enron does not pay cnr, but we enter in transport on cgas#37147 and purchase sytems.</t>
        </r>
      </text>
    </comment>
  </commentList>
</comments>
</file>

<file path=xl/comments4.xml><?xml version="1.0" encoding="utf-8"?>
<comments xmlns="http://schemas.openxmlformats.org/spreadsheetml/2006/main">
  <authors>
    <author>plee</author>
    <author>chantelle james</author>
  </authors>
  <commentList>
    <comment ref="D20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Lesser of -6,443.45 through December 01 production</t>
        </r>
      </text>
    </comment>
    <comment ref="D77" authorId="0" shapeId="0">
      <text>
        <r>
          <rPr>
            <b/>
            <sz val="10"/>
            <color indexed="81"/>
            <rFont val="Tahoma"/>
          </rPr>
          <t>plee:</t>
        </r>
        <r>
          <rPr>
            <sz val="10"/>
            <color indexed="81"/>
            <rFont val="Tahoma"/>
          </rPr>
          <t xml:space="preserve">
Pay the lesser of subtract enough to leave producer with 3,000.00</t>
        </r>
      </text>
    </comment>
    <comment ref="D19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19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0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Private sold to Long eff 5/99 prod see letter dated 6/10/99 from pres. of Private.</t>
        </r>
      </text>
    </comment>
    <comment ref="D25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D255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per Wade change of ownership eff 3/99</t>
        </r>
      </text>
    </comment>
    <comment ref="I308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09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0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1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2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  <comment ref="I313" authorId="1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Iferc even per Heidi beginning 8/98 prod</t>
        </r>
      </text>
    </comment>
  </commentList>
</comments>
</file>

<file path=xl/comments5.xml><?xml version="1.0" encoding="utf-8"?>
<comments xmlns="http://schemas.openxmlformats.org/spreadsheetml/2006/main">
  <authors>
    <author>chantelle james</author>
  </authors>
  <commentList>
    <comment ref="L44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.26 charged by East and .02 charged by cng for extraction.</t>
        </r>
      </text>
    </comment>
    <comment ref="L46" authorId="0" shapeId="0">
      <text>
        <r>
          <rPr>
            <b/>
            <sz val="8"/>
            <color indexed="81"/>
            <rFont val="Tahoma"/>
          </rPr>
          <t>chantelle james:</t>
        </r>
        <r>
          <rPr>
            <sz val="8"/>
            <color indexed="81"/>
            <rFont val="Tahoma"/>
          </rPr>
          <t xml:space="preserve">
.16 charged by East</t>
        </r>
      </text>
    </comment>
  </commentList>
</comments>
</file>

<file path=xl/sharedStrings.xml><?xml version="1.0" encoding="utf-8"?>
<sst xmlns="http://schemas.openxmlformats.org/spreadsheetml/2006/main" count="10430" uniqueCount="2330">
  <si>
    <t>5000/month</t>
  </si>
  <si>
    <t>Tiered 2.70/2.73</t>
  </si>
  <si>
    <t>Ronald L. Logan dba R&amp;M Oil &amp; Gas</t>
  </si>
  <si>
    <t>C. Fred Shewey</t>
  </si>
  <si>
    <t>Christine A Shewey</t>
  </si>
  <si>
    <t>Ruth SCHNEIDER</t>
  </si>
  <si>
    <t>Evan Energy</t>
  </si>
  <si>
    <t>Cabot</t>
  </si>
  <si>
    <t>Leonard Hall</t>
  </si>
  <si>
    <t>Devonian Resources</t>
  </si>
  <si>
    <t>Noble Petroleum</t>
  </si>
  <si>
    <t>Pine Mountain Oil &amp; Gas</t>
  </si>
  <si>
    <t>Morgan Drilling Company Inc</t>
  </si>
  <si>
    <t>John L. Crawford</t>
  </si>
  <si>
    <t>W H Taylor, Agent</t>
  </si>
  <si>
    <t>Herald Oil</t>
  </si>
  <si>
    <t>Pool Id</t>
  </si>
  <si>
    <t>Acct Id</t>
  </si>
  <si>
    <t>Mid</t>
  </si>
  <si>
    <t>Producer Name</t>
  </si>
  <si>
    <t>Mcf</t>
  </si>
  <si>
    <t>T106HGW</t>
  </si>
  <si>
    <t>AT1055201</t>
  </si>
  <si>
    <t>KILLBUCK</t>
  </si>
  <si>
    <t>ROY MILLER</t>
  </si>
  <si>
    <t>BRAXTON OIL &amp; GAS CORP</t>
  </si>
  <si>
    <t>AT1058501</t>
  </si>
  <si>
    <t>AT1059901</t>
  </si>
  <si>
    <t>AT1063501</t>
  </si>
  <si>
    <t>RPH207102</t>
  </si>
  <si>
    <t>PARDEE GAS COMPANY</t>
  </si>
  <si>
    <t>AT1077501</t>
  </si>
  <si>
    <t>T106CGD</t>
  </si>
  <si>
    <t>AT2096101</t>
  </si>
  <si>
    <t>CLASSIC OIL &amp; GAS RES INC</t>
  </si>
  <si>
    <t>RP1518901</t>
  </si>
  <si>
    <t>GILCO GAS INC</t>
  </si>
  <si>
    <t>RP1182701</t>
  </si>
  <si>
    <t>RP1114252</t>
  </si>
  <si>
    <t>RP1618401</t>
  </si>
  <si>
    <t>T230HGW</t>
  </si>
  <si>
    <t>RP1053202</t>
  </si>
  <si>
    <t>COLUMBIA GAS TRANS CORP</t>
  </si>
  <si>
    <t>T106HTW</t>
  </si>
  <si>
    <t>RP1114226</t>
  </si>
  <si>
    <t>RP3023201W326</t>
  </si>
  <si>
    <t>RP3023401</t>
  </si>
  <si>
    <t>RP1114202</t>
  </si>
  <si>
    <t>RP1114203</t>
  </si>
  <si>
    <t>RP1114215</t>
  </si>
  <si>
    <t>RP1114208</t>
  </si>
  <si>
    <t>RP1114218</t>
  </si>
  <si>
    <t>RP1114229</t>
  </si>
  <si>
    <t>RP1114228</t>
  </si>
  <si>
    <t>RP1136402</t>
  </si>
  <si>
    <t>RP1114238</t>
  </si>
  <si>
    <t>RP1114248</t>
  </si>
  <si>
    <t>RP1114253</t>
  </si>
  <si>
    <t>RP1114255</t>
  </si>
  <si>
    <t>RP1187301</t>
  </si>
  <si>
    <t>MEGAN OIL &amp; GAS CO INC</t>
  </si>
  <si>
    <t>RP1130101</t>
  </si>
  <si>
    <t>MCKOWN &amp; SON INC C I</t>
  </si>
  <si>
    <t>AT3130501</t>
  </si>
  <si>
    <t>RP1053201</t>
  </si>
  <si>
    <t>RP1121401</t>
  </si>
  <si>
    <t>AT3153201</t>
  </si>
  <si>
    <t>HD WELLS OIL &amp; GAS EXPL &amp; DEV</t>
  </si>
  <si>
    <t>RP1114246</t>
  </si>
  <si>
    <t>RP1130001</t>
  </si>
  <si>
    <t>SENECA GAS LIMITED</t>
  </si>
  <si>
    <t>RP1136414</t>
  </si>
  <si>
    <t>RP1136415</t>
  </si>
  <si>
    <t>ABARTA OIL &amp; GAS</t>
  </si>
  <si>
    <t>RP1114251</t>
  </si>
  <si>
    <t>AT3421301</t>
  </si>
  <si>
    <t>RP1800405</t>
  </si>
  <si>
    <t>AT3425201</t>
  </si>
  <si>
    <t>RP1800406</t>
  </si>
  <si>
    <t>RP1800401</t>
  </si>
  <si>
    <t>AT3472501</t>
  </si>
  <si>
    <t>RP1800402</t>
  </si>
  <si>
    <t>AT3505301</t>
  </si>
  <si>
    <t>AURORA SERVICES</t>
  </si>
  <si>
    <t>GAS ENTERPRISE</t>
  </si>
  <si>
    <t>remainder @ index - .03</t>
  </si>
  <si>
    <t>per Terry Franklin</t>
  </si>
  <si>
    <t>RP1183001</t>
  </si>
  <si>
    <t>RP1703102</t>
  </si>
  <si>
    <t>RP1703115</t>
  </si>
  <si>
    <t>RP1703109</t>
  </si>
  <si>
    <t>RP1703110</t>
  </si>
  <si>
    <t>RP1703111</t>
  </si>
  <si>
    <t>RP1703106</t>
  </si>
  <si>
    <t>RP1703112</t>
  </si>
  <si>
    <t>RP1684905</t>
  </si>
  <si>
    <t>RP1703114</t>
  </si>
  <si>
    <t>AT3539901W335</t>
  </si>
  <si>
    <t>AT3540501</t>
  </si>
  <si>
    <t>RP1703113</t>
  </si>
  <si>
    <t>RP1700201</t>
  </si>
  <si>
    <t>KENNEDY BILLY N</t>
  </si>
  <si>
    <t>AT3549701</t>
  </si>
  <si>
    <t>AT3552201</t>
  </si>
  <si>
    <t>AT3557101</t>
  </si>
  <si>
    <t>AT3559801</t>
  </si>
  <si>
    <t>PETRO-GO INC</t>
  </si>
  <si>
    <t>AT3562701</t>
  </si>
  <si>
    <t>BOGGS NATURAL GAS CO</t>
  </si>
  <si>
    <t>RP1135407</t>
  </si>
  <si>
    <t>PENTEX ENERGY INC</t>
  </si>
  <si>
    <t>RP1197348</t>
  </si>
  <si>
    <t>RP1135406</t>
  </si>
  <si>
    <t>RP1135404</t>
  </si>
  <si>
    <t>RP1206910</t>
  </si>
  <si>
    <t>RP1206904</t>
  </si>
  <si>
    <t>RP1135412</t>
  </si>
  <si>
    <t>RP1135413</t>
  </si>
  <si>
    <t>APPALACHIAN ENERGY INC</t>
  </si>
  <si>
    <t>RP1135422</t>
  </si>
  <si>
    <t>RP1135419</t>
  </si>
  <si>
    <t>RP1135414</t>
  </si>
  <si>
    <t>T230BGW</t>
  </si>
  <si>
    <t>RP1011501</t>
  </si>
  <si>
    <t>RP1135401</t>
  </si>
  <si>
    <t>AT4099201</t>
  </si>
  <si>
    <t>RP1135402</t>
  </si>
  <si>
    <t>RP1135403</t>
  </si>
  <si>
    <t>RP1135405</t>
  </si>
  <si>
    <t>RP1135409</t>
  </si>
  <si>
    <t>RP1135411</t>
  </si>
  <si>
    <t>WM/DECATUR WESTVACO</t>
  </si>
  <si>
    <t>WM OIL &amp; GAS INC.</t>
  </si>
  <si>
    <t>K.C. PROD./J.R.K. SUPPLY</t>
  </si>
  <si>
    <t>Exp</t>
  </si>
  <si>
    <t>R.A. MILLER ENERGY</t>
  </si>
  <si>
    <t>Tired 3.25 Bal IF</t>
  </si>
  <si>
    <t>99% iferc</t>
  </si>
  <si>
    <t>RP1206915</t>
  </si>
  <si>
    <t>AT4333601</t>
  </si>
  <si>
    <t>AT4335601</t>
  </si>
  <si>
    <t>AT4336401</t>
  </si>
  <si>
    <t>AT4338501</t>
  </si>
  <si>
    <t>AT4339701</t>
  </si>
  <si>
    <t>Form Shafer, David</t>
  </si>
  <si>
    <t>Landmark 2 LLC</t>
  </si>
  <si>
    <t>BOWIE</t>
  </si>
  <si>
    <t>T106FGD</t>
  </si>
  <si>
    <t>RP2109406</t>
  </si>
  <si>
    <t>DEVONIAN RESOURCES</t>
  </si>
  <si>
    <t>AT5105901</t>
  </si>
  <si>
    <t>AT5118301</t>
  </si>
  <si>
    <t>AT5156201W744</t>
  </si>
  <si>
    <t>AT5171101</t>
  </si>
  <si>
    <t>T106FTD</t>
  </si>
  <si>
    <t>AT106DB</t>
  </si>
  <si>
    <t>QA106DB</t>
  </si>
  <si>
    <t>COLUMBIA ENERGY SERVICES</t>
  </si>
  <si>
    <t>AT106MA</t>
  </si>
  <si>
    <t>QA106MA</t>
  </si>
  <si>
    <t>CNG-POOL</t>
  </si>
  <si>
    <t>Deal#</t>
  </si>
  <si>
    <t>CPID</t>
  </si>
  <si>
    <t>Pricing</t>
  </si>
  <si>
    <t>DTH</t>
  </si>
  <si>
    <t>RATE</t>
  </si>
  <si>
    <t>TRNSPT</t>
  </si>
  <si>
    <t xml:space="preserve">Ext. Price </t>
  </si>
  <si>
    <t>100% IF</t>
  </si>
  <si>
    <t>BNG Producing &amp; Drilling</t>
  </si>
  <si>
    <t>Tier $3.086</t>
  </si>
  <si>
    <t>C.I. MCKOWN &amp; SON INC C I</t>
  </si>
  <si>
    <t>KY</t>
  </si>
  <si>
    <t>Less Tax</t>
  </si>
  <si>
    <t>200110</t>
  </si>
  <si>
    <t>B &amp; J GAS &amp; OIL</t>
  </si>
  <si>
    <t>COLUMBIA NATURAL RESOURCES</t>
  </si>
  <si>
    <t>04/1/01 to 10/31/01</t>
  </si>
  <si>
    <t>4/1/2001-10/31/2001</t>
  </si>
  <si>
    <t>101% IFERC</t>
  </si>
  <si>
    <r>
      <t>COASTAL CORP</t>
    </r>
    <r>
      <rPr>
        <b/>
        <sz val="10"/>
        <rFont val="Arial"/>
        <family val="2"/>
      </rPr>
      <t xml:space="preserve"> (PARDEE)</t>
    </r>
  </si>
  <si>
    <t>Tiered $3.03 Bal IF</t>
  </si>
  <si>
    <t>98% IFCNG</t>
  </si>
  <si>
    <t>100% IF + .00</t>
  </si>
  <si>
    <t>CNG Name</t>
  </si>
  <si>
    <t>remaining price at index + S or W</t>
  </si>
  <si>
    <t>Total</t>
  </si>
  <si>
    <t xml:space="preserve">remaining price at index </t>
  </si>
  <si>
    <t>1/1/00 to 8/31/00</t>
  </si>
  <si>
    <t>Equitrans</t>
  </si>
  <si>
    <t>SHAFFER HOWILER</t>
  </si>
  <si>
    <t>FLEEMAN MCCAULEY</t>
  </si>
  <si>
    <t>10/1/00 to 9/30/01</t>
  </si>
  <si>
    <t>remaining price at index</t>
  </si>
  <si>
    <t>OLD</t>
  </si>
  <si>
    <t>FOX &amp; WELLS</t>
  </si>
  <si>
    <t>FOX, WALTER/JAMES R. WELLS</t>
  </si>
  <si>
    <t>BOYD-DEAN</t>
  </si>
  <si>
    <t>NOLL, JAMES P.</t>
  </si>
  <si>
    <t>RONALD W. BABCOCK</t>
  </si>
  <si>
    <t>ILA POWELL AGENT</t>
  </si>
  <si>
    <t>CGAS</t>
  </si>
  <si>
    <t>CNG</t>
  </si>
  <si>
    <t>Ritchie GAS</t>
  </si>
  <si>
    <t>4/1/00 to 03/31/01</t>
  </si>
  <si>
    <t>Tier 3000 @ 3.16</t>
  </si>
  <si>
    <t>Brooklyn Union Sht-Thompson #2</t>
  </si>
  <si>
    <t>LP&amp;P Berea O&amp;G Corp. #3</t>
  </si>
  <si>
    <t>MARY ANN JOINT VENTURE</t>
  </si>
  <si>
    <t>BUCKEYE OIL PRODUCING COMPANY</t>
  </si>
  <si>
    <t>JONSU - THOMAS</t>
  </si>
  <si>
    <t>QUADRANT-HARRIS</t>
  </si>
  <si>
    <t>SANDHILL LAWRENCE</t>
  </si>
  <si>
    <t>STATES OIL DOAN</t>
  </si>
  <si>
    <t>BANDS HAYES</t>
  </si>
  <si>
    <t>REPUBLIC BEDFORD</t>
  </si>
  <si>
    <t>CLASSIC</t>
  </si>
  <si>
    <t>TRIAD ENERGY CORP OF WV</t>
  </si>
  <si>
    <t>NOLL - HENDERSON</t>
  </si>
  <si>
    <t>BANDS CHRISTMAN</t>
  </si>
  <si>
    <t>STEWART LAMPMAN</t>
  </si>
  <si>
    <t>LEW BATES</t>
  </si>
  <si>
    <t>JR Petroleum</t>
  </si>
  <si>
    <t>FREDERICK PABST</t>
  </si>
  <si>
    <t>EASTERN KAUFMAN</t>
  </si>
  <si>
    <t>BENATTY CORP.</t>
  </si>
  <si>
    <t>N &amp; N WAUGH</t>
  </si>
  <si>
    <t>RAWHIDE SMITH</t>
  </si>
  <si>
    <t>APPALACHIAN - LINCOLN</t>
  </si>
  <si>
    <t>NORTHWOOD ENERGY CORP.</t>
  </si>
  <si>
    <t>BARTLO - HOLLY</t>
  </si>
  <si>
    <t>BENATTY MAXWELL</t>
  </si>
  <si>
    <t>LUCILLE G. MAXWELL</t>
  </si>
  <si>
    <t>ROYAL - MILLER #1</t>
  </si>
  <si>
    <t>SIEGLINDE MILLER</t>
  </si>
  <si>
    <t>BARONE #1</t>
  </si>
  <si>
    <t>MFC-A.N. WOGAN</t>
  </si>
  <si>
    <t>ALPINE/JOHNSON</t>
  </si>
  <si>
    <t>VIKING - DEPUE</t>
  </si>
  <si>
    <t>Tier 2.72 Bal IF</t>
  </si>
  <si>
    <t>VIKING-BATTIG #1</t>
  </si>
  <si>
    <t>EVERFLOW EASTERN INC.</t>
  </si>
  <si>
    <t>ECO-HUFFMAN</t>
  </si>
  <si>
    <t>BT ENERGY - BERNE</t>
  </si>
  <si>
    <t>GD</t>
  </si>
  <si>
    <t>GW</t>
  </si>
  <si>
    <t>TD</t>
  </si>
  <si>
    <t>AT3564701</t>
  </si>
  <si>
    <t>ALLIED NATURAL GAS PROD LTD</t>
  </si>
  <si>
    <t>AT3564801</t>
  </si>
  <si>
    <t>RP1114206</t>
  </si>
  <si>
    <t>RP1114250</t>
  </si>
  <si>
    <t>TW</t>
  </si>
  <si>
    <t>12/1/00 to 03/31/01</t>
  </si>
  <si>
    <t>G &amp; M #1</t>
  </si>
  <si>
    <t>AT2159601</t>
  </si>
  <si>
    <t>Dixon Oil and Gas Co</t>
  </si>
  <si>
    <t>A. Miller (formerly Killbuck)</t>
  </si>
  <si>
    <t>016-61053-01-001</t>
  </si>
  <si>
    <t>IFERC - $.08</t>
  </si>
  <si>
    <t>ALLIANCE RESOURCES</t>
  </si>
  <si>
    <t>01786</t>
  </si>
  <si>
    <t>016-01786-01-001</t>
  </si>
  <si>
    <t>Angus Energy, Inc. (formerly Miranda)</t>
  </si>
  <si>
    <t>016-61224-01-001</t>
  </si>
  <si>
    <t>IFERC-.05</t>
  </si>
  <si>
    <r>
      <t xml:space="preserve">ASHAU - </t>
    </r>
    <r>
      <rPr>
        <sz val="10"/>
        <color indexed="10"/>
        <rFont val="Arial"/>
        <family val="2"/>
      </rPr>
      <t>3 MO. READ</t>
    </r>
  </si>
  <si>
    <t>04309</t>
  </si>
  <si>
    <t>016-04309-01-001</t>
  </si>
  <si>
    <t>IFERC-.03</t>
  </si>
  <si>
    <t>BAIDEN GAS</t>
  </si>
  <si>
    <t>04990</t>
  </si>
  <si>
    <t>016-04990-01-001</t>
  </si>
  <si>
    <t>95% NGI</t>
  </si>
  <si>
    <t>BAKERWELL INC</t>
  </si>
  <si>
    <t>05360</t>
  </si>
  <si>
    <t>016-05360-01-001</t>
  </si>
  <si>
    <t>remainder @ index +.01(W)</t>
  </si>
  <si>
    <t>remainder @ index +.01 W</t>
  </si>
  <si>
    <t>11/1/00 to 10/31/01</t>
  </si>
  <si>
    <t>confirmed</t>
  </si>
  <si>
    <t>C.I. McKOWN &amp; Sons</t>
  </si>
  <si>
    <t>Tier 3.07 Bal IF</t>
  </si>
  <si>
    <t>C.I.McKOWN &amp; Sons</t>
  </si>
  <si>
    <t>04/1/00 to  3/31/01</t>
  </si>
  <si>
    <t>Tier 3.11 Bal IF</t>
  </si>
  <si>
    <t>T Date</t>
  </si>
  <si>
    <t>12/103/01</t>
  </si>
  <si>
    <t>remainder @ index *.97</t>
  </si>
  <si>
    <t>05552</t>
  </si>
  <si>
    <t>016-05552-01-003</t>
  </si>
  <si>
    <t xml:space="preserve">(W)IFERC+.01 (S)100% IFERC </t>
  </si>
  <si>
    <t>BASE PETROLEUM  (glover)</t>
  </si>
  <si>
    <t>06491</t>
  </si>
  <si>
    <t>016-06491-01-001</t>
  </si>
  <si>
    <t>IFERC-.02</t>
  </si>
  <si>
    <t>BRONCO B</t>
  </si>
  <si>
    <t>Lake Region</t>
  </si>
  <si>
    <t>expired - use index</t>
  </si>
  <si>
    <t>confirmed 12/00 prod</t>
  </si>
  <si>
    <t>6/1/00 to 05/31/01</t>
  </si>
  <si>
    <t>11270</t>
  </si>
  <si>
    <t>016-11270-01-001</t>
  </si>
  <si>
    <t>IFERC+2(W)  100%(S)</t>
  </si>
  <si>
    <t>016-14385-01-002</t>
  </si>
  <si>
    <t>CARROLL RESOURCES</t>
  </si>
  <si>
    <t>14486</t>
  </si>
  <si>
    <t>016-14486-01-001</t>
  </si>
  <si>
    <t>IFERC - .08</t>
  </si>
  <si>
    <t>CENTRAL PACIFIC GRP</t>
  </si>
  <si>
    <t>15062</t>
  </si>
  <si>
    <t>016-15062-01-001</t>
  </si>
  <si>
    <t>CLINTON OIL CO</t>
  </si>
  <si>
    <t>18070</t>
  </si>
  <si>
    <t>016-18070-01-001</t>
  </si>
  <si>
    <t>IFERC-01(S)+01(W)</t>
  </si>
  <si>
    <t>CLINTON OIL CO.</t>
  </si>
  <si>
    <t>Commonwealth</t>
  </si>
  <si>
    <t>016-19471-01-001</t>
  </si>
  <si>
    <t>COTIGA DEVELOPMENT CO</t>
  </si>
  <si>
    <t>20714</t>
  </si>
  <si>
    <t>016-20714-01-001</t>
  </si>
  <si>
    <t>99% Iferc</t>
  </si>
  <si>
    <t>DOLPHIN(formerly G. Stalnaker)</t>
  </si>
  <si>
    <t>23235</t>
  </si>
  <si>
    <t>016-23235-01-001</t>
  </si>
  <si>
    <t>G&amp;O Resources (JRD Energy Co.)</t>
  </si>
  <si>
    <t>016-30953-01-001</t>
  </si>
  <si>
    <t>FERC-$.03</t>
  </si>
  <si>
    <t>GOEHLER, EDWARD</t>
  </si>
  <si>
    <t>33560</t>
  </si>
  <si>
    <t>016-33560-01-001</t>
  </si>
  <si>
    <t>IFERC - $.10</t>
  </si>
  <si>
    <t>H &amp;H Oil (Formerly Lightlizer, Charles)</t>
  </si>
  <si>
    <t>016-52849-01-002</t>
  </si>
  <si>
    <t>POCONO ENERGY</t>
  </si>
  <si>
    <t>BERNHARDT</t>
  </si>
  <si>
    <t>SHAFER-ALLARD</t>
  </si>
  <si>
    <t>BAUMAN DEROLPH (COOPERRIDER)</t>
  </si>
  <si>
    <t>MFC - COASTAL BAU</t>
  </si>
  <si>
    <t>VIKING - BATTIG #6</t>
  </si>
  <si>
    <t>H. Scott Spencer (formly kilbarger)</t>
  </si>
  <si>
    <t>016-49044-01-001</t>
  </si>
  <si>
    <t>W(FERC  + .01)EVEN(S)</t>
  </si>
  <si>
    <t>HILL, DAVID R</t>
  </si>
  <si>
    <t>39916</t>
  </si>
  <si>
    <t>016-39916-01-001</t>
  </si>
  <si>
    <t>IFGM - $.01 (CC)</t>
  </si>
  <si>
    <t>HILL, DAVID R.</t>
  </si>
  <si>
    <t>HORNER NATURAL GAS</t>
  </si>
  <si>
    <t>016-41301-01-001</t>
  </si>
  <si>
    <t>HUBBARD OIL CORP</t>
  </si>
  <si>
    <t>42103</t>
  </si>
  <si>
    <t>016-42103-01-001</t>
  </si>
  <si>
    <t>IFGM -$.08</t>
  </si>
  <si>
    <t>J.O.B. INC.</t>
  </si>
  <si>
    <t>016-44778-01-001</t>
  </si>
  <si>
    <t>IFERC +.01</t>
  </si>
  <si>
    <t>JCR PETROLEUM</t>
  </si>
  <si>
    <t>44782</t>
  </si>
  <si>
    <t>016-44782-01-003</t>
  </si>
  <si>
    <t>IFGM-.05</t>
  </si>
  <si>
    <t>KAPLAN INTERESTS</t>
  </si>
  <si>
    <t>47902</t>
  </si>
  <si>
    <t>12/01/2000-10/31/2001</t>
  </si>
  <si>
    <t>016-47902-01-002</t>
  </si>
  <si>
    <t>LONESTAR PETROLEUM</t>
  </si>
  <si>
    <t>53874</t>
  </si>
  <si>
    <t>016-53874-01-001</t>
  </si>
  <si>
    <t>99% IFGM</t>
  </si>
  <si>
    <t>M&amp;A Well Service (formerly HANEY, D G)</t>
  </si>
  <si>
    <t>016-37148-01-001</t>
  </si>
  <si>
    <t>100% Iferc</t>
  </si>
  <si>
    <t>MEDINA FUELS, INC.</t>
  </si>
  <si>
    <t>59990</t>
  </si>
  <si>
    <t>016-59990-01-001</t>
  </si>
  <si>
    <t>iferc +.01 (w) 100% (s)</t>
  </si>
  <si>
    <t>MENG, CHARLES</t>
  </si>
  <si>
    <t>59622</t>
  </si>
  <si>
    <t>016-59622-01-004</t>
  </si>
  <si>
    <t>Tiered 5.60/5.12</t>
  </si>
  <si>
    <t>Per John Singer</t>
  </si>
  <si>
    <t>IFGM-.01(S)100% IFGM(W)</t>
  </si>
  <si>
    <t>Mesh, LTD</t>
  </si>
  <si>
    <t>61398</t>
  </si>
  <si>
    <t>016-61398-01-001</t>
  </si>
  <si>
    <t>ENERGY SEARCH</t>
  </si>
  <si>
    <t>IFGM + $.02</t>
  </si>
  <si>
    <t>N &amp; N OIL CO</t>
  </si>
  <si>
    <t>64356</t>
  </si>
  <si>
    <t>016-64356-01-001</t>
  </si>
  <si>
    <t>NORTHWOOD</t>
  </si>
  <si>
    <t>65740</t>
  </si>
  <si>
    <t>016-65740-01-001</t>
  </si>
  <si>
    <t>IFGM - $.03</t>
  </si>
  <si>
    <t>NORTHWOOD ENERGY</t>
  </si>
  <si>
    <t>O'BRIEN, NANCY</t>
  </si>
  <si>
    <t>65863</t>
  </si>
  <si>
    <t>016-65863-01-001</t>
  </si>
  <si>
    <t>IFGM - $.08</t>
  </si>
  <si>
    <t>PATTEN, W H DRILL</t>
  </si>
  <si>
    <t>67865</t>
  </si>
  <si>
    <t>016-67865-01-001</t>
  </si>
  <si>
    <t>PC O &amp; G</t>
  </si>
  <si>
    <t>66919</t>
  </si>
  <si>
    <t>016-66919-01-001</t>
  </si>
  <si>
    <t>Partial</t>
  </si>
  <si>
    <t>To Be Made</t>
  </si>
  <si>
    <t>See John</t>
  </si>
  <si>
    <t>Singer File</t>
  </si>
  <si>
    <t>PETRO QUEST INC</t>
  </si>
  <si>
    <t>69249</t>
  </si>
  <si>
    <t>12/1/00 to 11/30/02</t>
  </si>
  <si>
    <r>
      <t xml:space="preserve">12/1/00 to </t>
    </r>
    <r>
      <rPr>
        <b/>
        <sz val="10"/>
        <color indexed="10"/>
        <rFont val="Arial"/>
        <family val="2"/>
      </rPr>
      <t>11/30/01</t>
    </r>
  </si>
  <si>
    <t>Jay Bee Oil &amp; Gas</t>
  </si>
  <si>
    <t>016-69249-01-001</t>
  </si>
  <si>
    <t xml:space="preserve"> 99% NGI </t>
  </si>
  <si>
    <t>PETRO QUEST INC (8/1/95)</t>
  </si>
  <si>
    <t>POLING, C &amp; J (get from Gray paper)</t>
  </si>
  <si>
    <t>70341</t>
  </si>
  <si>
    <t>016-70341-01-001</t>
  </si>
  <si>
    <t>96% IFERC</t>
  </si>
  <si>
    <t>PPG Oil Company</t>
  </si>
  <si>
    <t>016-67001-01-002</t>
  </si>
  <si>
    <t>IFERC -.05</t>
  </si>
  <si>
    <t>PRIVATE STOCK</t>
  </si>
  <si>
    <t>016-71375-01-001</t>
  </si>
  <si>
    <t>99.5% IFERC</t>
  </si>
  <si>
    <t>CHECK 100% IFERC</t>
  </si>
  <si>
    <t>R &amp; B PETROLEUM, INC.</t>
  </si>
  <si>
    <t>71737</t>
  </si>
  <si>
    <t>016-71737-01-001</t>
  </si>
  <si>
    <t>T.R.Gas</t>
  </si>
  <si>
    <t>TERRY L RAPP</t>
  </si>
  <si>
    <t>IFGM - $.01</t>
  </si>
  <si>
    <t>RANGE ENERGY SERVICES</t>
  </si>
  <si>
    <t>016-72145-01-001</t>
  </si>
  <si>
    <t>100% IFGM (S) +.02(w)</t>
  </si>
  <si>
    <t>SHAFER, BERMAN</t>
  </si>
  <si>
    <t>79571</t>
  </si>
  <si>
    <t>016-79571-01-001</t>
  </si>
  <si>
    <t>98.5% IFGM</t>
  </si>
  <si>
    <t>SOUTHERN TRIANGLE</t>
  </si>
  <si>
    <t>82500</t>
  </si>
  <si>
    <t>016-82500-01-001</t>
  </si>
  <si>
    <t>100% IFERC EFF 3/1/96</t>
  </si>
  <si>
    <t>STOCKER &amp; SITLER</t>
  </si>
  <si>
    <t>84218</t>
  </si>
  <si>
    <t>See John Singer File</t>
  </si>
  <si>
    <t>COLLAR 4.50 to 4.80 - Index if between</t>
  </si>
  <si>
    <t>500 per day</t>
  </si>
  <si>
    <t>per john singer</t>
  </si>
  <si>
    <t>Changes month to month</t>
  </si>
  <si>
    <t>016-84218-01-001</t>
  </si>
  <si>
    <t>IFERC + .015 (W) 100%(S)</t>
  </si>
  <si>
    <t>91923</t>
  </si>
  <si>
    <t>016-91923-01-001</t>
  </si>
  <si>
    <t xml:space="preserve"> IFERC+.01 (w)  100% (s)</t>
  </si>
  <si>
    <t>WOLFE, B &amp; F K</t>
  </si>
  <si>
    <t>97589</t>
  </si>
  <si>
    <t>016-97589-01-001</t>
  </si>
  <si>
    <t>W G SHANER</t>
  </si>
  <si>
    <t>NEW</t>
  </si>
  <si>
    <t>ALPINE ENERGY</t>
  </si>
  <si>
    <t>98.5% IFERC</t>
  </si>
  <si>
    <t>AMERCIAN PETROEL</t>
  </si>
  <si>
    <t>APPALACHIAN ENERGY</t>
  </si>
  <si>
    <t>99%IFERC</t>
  </si>
  <si>
    <t>GC003</t>
  </si>
  <si>
    <t>ASHAU</t>
  </si>
  <si>
    <t>IFGM-.03</t>
  </si>
  <si>
    <t>B&amp;B PETROLEUM</t>
  </si>
  <si>
    <t>BABCOCK, RONALD</t>
  </si>
  <si>
    <t>IFERC-.08</t>
  </si>
  <si>
    <t>BAKERWELL INC.</t>
  </si>
  <si>
    <t>BATES, LEW</t>
  </si>
  <si>
    <t>BIG SKY, Robert W. Barr</t>
  </si>
  <si>
    <t>IFERC -.02 (S) -.01 (W)</t>
  </si>
  <si>
    <t>BRADCO</t>
  </si>
  <si>
    <t>IFERC-.01</t>
  </si>
  <si>
    <t>CLINTON OIL COMPANY</t>
  </si>
  <si>
    <t>IFERC -.01 (S) +.01 (W)</t>
  </si>
  <si>
    <t>COOK KIPPER &amp; KRINA HAY</t>
  </si>
  <si>
    <t>99%NGI</t>
  </si>
  <si>
    <t>DAVID R HILL</t>
  </si>
  <si>
    <t>Dean, John</t>
  </si>
  <si>
    <t>DUSTY DRILLING &amp; PROD.</t>
  </si>
  <si>
    <t>IFERC-.02 (S)   -1 (W)</t>
  </si>
  <si>
    <t>Fox, Walter &amp; James</t>
  </si>
  <si>
    <t>G&amp;O RESOURCES</t>
  </si>
  <si>
    <t>G&amp;O RESOURCES(jrd energy)</t>
  </si>
  <si>
    <t>GC001</t>
  </si>
  <si>
    <t>GAS &amp; OIL PIPE (Special)</t>
  </si>
  <si>
    <t>016-11749-01-001</t>
  </si>
  <si>
    <t>BILL KENNEDY</t>
  </si>
  <si>
    <t>HANEY D G INC</t>
  </si>
  <si>
    <t>NO DEDUCTIONS AS OF JAN 01 PRODUCTION</t>
  </si>
  <si>
    <t>IFERC+.01 (W) 100% (S)</t>
  </si>
  <si>
    <t>GAS ENTERPRISES</t>
  </si>
  <si>
    <t>HARRISON ENERGY(formerly Triad)</t>
  </si>
  <si>
    <t>37823</t>
  </si>
  <si>
    <t>GC004</t>
  </si>
  <si>
    <t>HOPEWELL OIL &amp; GAS</t>
  </si>
  <si>
    <t>95%IFERC</t>
  </si>
  <si>
    <t>JAMES R SMAIL</t>
  </si>
  <si>
    <t>97%IFERC</t>
  </si>
  <si>
    <t>JOHN LANG</t>
  </si>
  <si>
    <t>98% NGI</t>
  </si>
  <si>
    <t>JONSU OIL CORP</t>
  </si>
  <si>
    <t>KAPLAN INTEREST INC.</t>
  </si>
  <si>
    <t>BRADCO ENERGY</t>
  </si>
  <si>
    <t>Dean, John Walter</t>
  </si>
  <si>
    <t>KEHL, DAVID L.</t>
  </si>
  <si>
    <t>KILBUCK OIL</t>
  </si>
  <si>
    <t>LARRY MARTIN OIL &amp; GAS</t>
  </si>
  <si>
    <t xml:space="preserve">IFERC-.03(S) -.02(W) </t>
  </si>
  <si>
    <t>LJ HARDEN</t>
  </si>
  <si>
    <t>Maxwell, HR</t>
  </si>
  <si>
    <t>MESH, LTD</t>
  </si>
  <si>
    <t>MFC DRILLING - MEDINA</t>
  </si>
  <si>
    <t>Miller, Sieglinde</t>
  </si>
  <si>
    <t>N&amp;N OIL COMPANY</t>
  </si>
  <si>
    <t>Nelson, Helen Shaffer</t>
  </si>
  <si>
    <t>Northwood Energy</t>
  </si>
  <si>
    <t>IFERC -.03</t>
  </si>
  <si>
    <t>P D Valentine Oil &amp; Gas</t>
  </si>
  <si>
    <t>PETROQUEST</t>
  </si>
  <si>
    <t>99% NGI</t>
  </si>
  <si>
    <t>PP&amp;G OIL</t>
  </si>
  <si>
    <t>Private Stock Corp</t>
  </si>
  <si>
    <t>99.5%IFERC</t>
  </si>
  <si>
    <t>Producers Gas Trans. (Devon)</t>
  </si>
  <si>
    <t>Range Energy Services</t>
  </si>
  <si>
    <t>IFERC+.02(W) 100% (S)</t>
  </si>
  <si>
    <t>ROBERT ARMSTRONG</t>
  </si>
  <si>
    <t>Robert Hunter</t>
  </si>
  <si>
    <t>Sandbar Oil &amp; Gas</t>
  </si>
  <si>
    <t>Shafer, David</t>
  </si>
  <si>
    <t>97% IF Tco</t>
  </si>
  <si>
    <t>Tier 3.075 Bal IF</t>
  </si>
  <si>
    <t>100%IFERC</t>
  </si>
  <si>
    <t>TILTON formally C. Cosgri…</t>
  </si>
  <si>
    <t>UNIGAS, INC</t>
  </si>
  <si>
    <t>VIKING RESOURCES CORP</t>
  </si>
  <si>
    <t>WEISS DRILLING</t>
  </si>
  <si>
    <t>WITT INDUSTRIES</t>
  </si>
  <si>
    <t>WOLF PEN OIL</t>
  </si>
  <si>
    <t>CNR06</t>
  </si>
  <si>
    <t>00146</t>
  </si>
  <si>
    <t>COMMONWEALTH ENERGY INC</t>
  </si>
  <si>
    <t>AT4371101</t>
  </si>
  <si>
    <t>AT4373001</t>
  </si>
  <si>
    <t>Alliance Resources</t>
  </si>
  <si>
    <t>CNR07</t>
  </si>
  <si>
    <t>00036</t>
  </si>
  <si>
    <t>Bill &amp; Jessie Inc.</t>
  </si>
  <si>
    <t>016-08241-01-001</t>
  </si>
  <si>
    <t>CNR04</t>
  </si>
  <si>
    <t>00136</t>
  </si>
  <si>
    <t>Brewer Natural Gas</t>
  </si>
  <si>
    <t>016-11116-01-001</t>
  </si>
  <si>
    <t>016-11114-01-001</t>
  </si>
  <si>
    <t>CNR18</t>
  </si>
  <si>
    <t>00517</t>
  </si>
  <si>
    <t>CNR01</t>
  </si>
  <si>
    <t>00089</t>
  </si>
  <si>
    <t>016-81779-01-001</t>
  </si>
  <si>
    <t>95% ngi</t>
  </si>
  <si>
    <t>00601</t>
  </si>
  <si>
    <t>00173</t>
  </si>
  <si>
    <t>Cotiga</t>
  </si>
  <si>
    <t>00054</t>
  </si>
  <si>
    <t>Cove Gas Company</t>
  </si>
  <si>
    <t>016-20747-01-001</t>
  </si>
  <si>
    <t>95% iferc</t>
  </si>
  <si>
    <t>00058</t>
  </si>
  <si>
    <t>D.G. Haney, Inc.</t>
  </si>
  <si>
    <t>00062</t>
  </si>
  <si>
    <t>East KY Energy</t>
  </si>
  <si>
    <t>016-25611-01-002</t>
  </si>
  <si>
    <t>98% ngi</t>
  </si>
  <si>
    <t>00068</t>
  </si>
  <si>
    <t>Elkins Gas Co.</t>
  </si>
  <si>
    <t>016-26720-01-001</t>
  </si>
  <si>
    <t>CNR 02</t>
  </si>
  <si>
    <t>00024</t>
  </si>
  <si>
    <t>Interstate Natural Gas Co.</t>
  </si>
  <si>
    <t>016-44361-01-001</t>
  </si>
  <si>
    <t>iferc +.02</t>
  </si>
  <si>
    <t>00529</t>
  </si>
  <si>
    <t>00073</t>
  </si>
  <si>
    <t>Meabon, GL</t>
  </si>
  <si>
    <t>016-59179-01-001</t>
  </si>
  <si>
    <t>00048</t>
  </si>
  <si>
    <t>Meng, Charlie</t>
  </si>
  <si>
    <t>016-59622-01-005</t>
  </si>
  <si>
    <t>Kristopher &amp; Diane Johnson</t>
  </si>
  <si>
    <t>fmr Alpine</t>
  </si>
  <si>
    <t>iferc -.01(s)  - 100% (w)</t>
  </si>
  <si>
    <t>iferc-.01(s) -100% (w)</t>
  </si>
  <si>
    <t>00104</t>
  </si>
  <si>
    <t>Nine Mile Oil &amp; Gas</t>
  </si>
  <si>
    <t>016-65229-01-001</t>
  </si>
  <si>
    <t>00083</t>
  </si>
  <si>
    <t>Payne Gas Company</t>
  </si>
  <si>
    <t>016-67883-01-001</t>
  </si>
  <si>
    <t>iferc -.08</t>
  </si>
  <si>
    <t>KNOX/HARDESTY</t>
  </si>
  <si>
    <t>BRONCO B LEASING</t>
  </si>
  <si>
    <t>J C BAKER #1</t>
  </si>
  <si>
    <t>J C BAKER WERLEY</t>
  </si>
  <si>
    <t>00156</t>
  </si>
  <si>
    <t>Waters, Victor</t>
  </si>
  <si>
    <t>Donald E. Wood</t>
  </si>
  <si>
    <t>016-93501-01-001</t>
  </si>
  <si>
    <t>98%iferc</t>
  </si>
  <si>
    <t>Tax</t>
  </si>
  <si>
    <t>Commonwealth Energy, Inc</t>
  </si>
  <si>
    <t>Geoex Spec Prc Expired</t>
  </si>
  <si>
    <t>Rubin Resources</t>
  </si>
  <si>
    <t>Stonebridge</t>
  </si>
  <si>
    <t>Norse</t>
  </si>
  <si>
    <t>Spec</t>
  </si>
  <si>
    <t>CENTRAL PACIFIC</t>
  </si>
  <si>
    <t xml:space="preserve">JOHN L. TUSTIN </t>
  </si>
  <si>
    <t>Total $w/OE</t>
  </si>
  <si>
    <t>JANET DETLING</t>
  </si>
  <si>
    <t>GATHERING RATE FOR  CNR  CHANGED TO  $.32  EFFECTIVE  2/00</t>
  </si>
  <si>
    <t>Envirogas Recovery Inc</t>
  </si>
  <si>
    <t>Tri County Oil &amp; Gas, Inc</t>
  </si>
  <si>
    <t>Eastern States Exploration</t>
  </si>
  <si>
    <t>Bill N Kennedy</t>
  </si>
  <si>
    <t>KAY D BARNHART</t>
  </si>
  <si>
    <t>BORTZ CORPORATION</t>
  </si>
  <si>
    <t>ROY BERN CRA</t>
  </si>
  <si>
    <t>CONNELLEY, RUSSELL</t>
  </si>
  <si>
    <t>T J HOLLOBAU</t>
  </si>
  <si>
    <t>GREENE CO</t>
  </si>
  <si>
    <t>HOWARD MARCUS T</t>
  </si>
  <si>
    <t>RHEA OIL</t>
  </si>
  <si>
    <t>W.G. SHANER POLLIARD</t>
  </si>
  <si>
    <t>WM SHANER COPE</t>
  </si>
  <si>
    <t>WM SHANER</t>
  </si>
  <si>
    <t>J LAVELLE TEAGA</t>
  </si>
  <si>
    <t>BARRON &amp; KIDD 01</t>
  </si>
  <si>
    <t>TURNER</t>
  </si>
  <si>
    <t>CARL E MCCALL - GOURLEY</t>
  </si>
  <si>
    <t>BONNET'S PRODUCTION</t>
  </si>
  <si>
    <t>G &amp; G GAS INVESTMENTS</t>
  </si>
  <si>
    <t>CARPENTER</t>
  </si>
  <si>
    <t>WILMOUTH INTEREST INC</t>
  </si>
  <si>
    <t>RHEA OIL &amp; GAS CO. LTD</t>
  </si>
  <si>
    <t>ARLINGTON EXPLORATION CO INC</t>
  </si>
  <si>
    <t>TRIO PETROLEUM CORP</t>
  </si>
  <si>
    <t>ENVIROGAS RECOVERY INC</t>
  </si>
  <si>
    <t>MIKE ROSS INC</t>
  </si>
  <si>
    <t>MARY JANE ENERGY INC</t>
  </si>
  <si>
    <t>REDBANK VALLEY HS</t>
  </si>
  <si>
    <t>KING DRILLING COMPANY</t>
  </si>
  <si>
    <t>FIELDS-MCCURDY</t>
  </si>
  <si>
    <t>CLYMER KILE (LO</t>
  </si>
  <si>
    <t>GREEN GAS COMPANY</t>
  </si>
  <si>
    <t>LIGHTHIZER MIL</t>
  </si>
  <si>
    <t>JOHN WILLIAMSON</t>
  </si>
  <si>
    <t>DUPKE MASTER</t>
  </si>
  <si>
    <t>BUCKEYE #11</t>
  </si>
  <si>
    <t>CG&amp;E AMERICAN E</t>
  </si>
  <si>
    <t>BARTLO-WELLS</t>
  </si>
  <si>
    <t>DISCOVERY SWART</t>
  </si>
  <si>
    <t>CITATION ENERGY CO</t>
  </si>
  <si>
    <t>KILLBUCK OIL</t>
  </si>
  <si>
    <t>DICKINSON O &amp; G</t>
  </si>
  <si>
    <t>CUYAHOGA HENDERSON</t>
  </si>
  <si>
    <t>MFC DRILLING INC</t>
  </si>
  <si>
    <t>PAUL S FLEEM</t>
  </si>
  <si>
    <t>VIKING #2</t>
  </si>
  <si>
    <t>BIJOE DEVELOPMENT INC</t>
  </si>
  <si>
    <t>VIKING JOY NORT</t>
  </si>
  <si>
    <t>HOLDERBAUM #1 (CROFT)</t>
  </si>
  <si>
    <t>H SCOTT SPENCER/KILBARGER</t>
  </si>
  <si>
    <t>EOC - ML</t>
  </si>
  <si>
    <t>COBRA OIL &amp; GAS CORP</t>
  </si>
  <si>
    <t>CUTTER OIL CO</t>
  </si>
  <si>
    <t>KILBARGER CONSTRUCTION CO</t>
  </si>
  <si>
    <t>OXFORD OIL CO</t>
  </si>
  <si>
    <t>COOPERS CK. D.P.</t>
  </si>
  <si>
    <t>JENKINS &amp; ARCHER</t>
  </si>
  <si>
    <t>WG BAILEY AG</t>
  </si>
  <si>
    <t>JOSPEH E PAUL</t>
  </si>
  <si>
    <t>AURORA</t>
  </si>
  <si>
    <t>HUNT - PICKLESI</t>
  </si>
  <si>
    <t>R&amp;M OIL &amp; GAS</t>
  </si>
  <si>
    <t>EPI, INC</t>
  </si>
  <si>
    <t>NANAKI GAS COMPANY</t>
  </si>
  <si>
    <t>BLACK BURN ENERGY</t>
  </si>
  <si>
    <t>CI MCKOWN A</t>
  </si>
  <si>
    <t>BLACK BURN E</t>
  </si>
  <si>
    <t>GOODMAN</t>
  </si>
  <si>
    <t>EXXON RESOURCES</t>
  </si>
  <si>
    <t>TEDIK TRACK</t>
  </si>
  <si>
    <t>HALL, LEONARD</t>
  </si>
  <si>
    <t>CUT THROUGH HYDROCARBON</t>
  </si>
  <si>
    <t>BARNHARTKAYDAW</t>
  </si>
  <si>
    <t>BORTZCOR</t>
  </si>
  <si>
    <t>ELMSBROCOM</t>
  </si>
  <si>
    <t>CRAWFORDJOHL</t>
  </si>
  <si>
    <t>DEITZDONW</t>
  </si>
  <si>
    <t>SHUMAKERVERL</t>
  </si>
  <si>
    <t>WASHINGTONENECO</t>
  </si>
  <si>
    <t>CONNELLERUSAND</t>
  </si>
  <si>
    <t>JOSEPHLDUN</t>
  </si>
  <si>
    <t>MAPLEGROENT</t>
  </si>
  <si>
    <t>HOLLOBAUTHOJ</t>
  </si>
  <si>
    <t>KAIBKAI</t>
  </si>
  <si>
    <t>PULTORAKRICCAR</t>
  </si>
  <si>
    <t>CESRB</t>
  </si>
  <si>
    <t>RBROB</t>
  </si>
  <si>
    <t>WOLBOYFLO</t>
  </si>
  <si>
    <t>SHANERWALG</t>
  </si>
  <si>
    <t>FARRINGTHEPGAS</t>
  </si>
  <si>
    <t>CESCHASCO</t>
  </si>
  <si>
    <t>HORNERSOIL&amp;GAS</t>
  </si>
  <si>
    <t>CARNINALNATFUE</t>
  </si>
  <si>
    <t>COMMONWEENE</t>
  </si>
  <si>
    <t>RHODESCARA</t>
  </si>
  <si>
    <t>TRIOPETCOR</t>
  </si>
  <si>
    <t>TCENT</t>
  </si>
  <si>
    <t>GGGAS</t>
  </si>
  <si>
    <t>BRAXTONOILGAS</t>
  </si>
  <si>
    <t>ALPHAWEL</t>
  </si>
  <si>
    <t>LEEPERTHOA</t>
  </si>
  <si>
    <t>BONNETTSPRO</t>
  </si>
  <si>
    <t>OCHSBRO</t>
  </si>
  <si>
    <t>WILMOTHINT</t>
  </si>
  <si>
    <t>ARLINGTOSTOCOR</t>
  </si>
  <si>
    <t>DICKSWEL</t>
  </si>
  <si>
    <t>GREENEENELLC</t>
  </si>
  <si>
    <t>ROSSMIK</t>
  </si>
  <si>
    <t>MARYJANENE</t>
  </si>
  <si>
    <t>TRGAS</t>
  </si>
  <si>
    <t>KINGDRICOM</t>
  </si>
  <si>
    <t>GASOILPIP</t>
  </si>
  <si>
    <t>BUCKEYEOILPRO</t>
  </si>
  <si>
    <t>LONSTAPET</t>
  </si>
  <si>
    <t>PATDRILCO</t>
  </si>
  <si>
    <t>DRAKEFLOF</t>
  </si>
  <si>
    <t>SOUTHERNTRIOILC</t>
  </si>
  <si>
    <t>GREENGASCOM</t>
  </si>
  <si>
    <t>HHENE</t>
  </si>
  <si>
    <t>OILFIELDSER</t>
  </si>
  <si>
    <t>ROGERCDUP</t>
  </si>
  <si>
    <t>GOEHLERED</t>
  </si>
  <si>
    <t>GORES</t>
  </si>
  <si>
    <t>BANDSCOMINC</t>
  </si>
  <si>
    <t>MESHLTD</t>
  </si>
  <si>
    <t>PRODGASTRAN</t>
  </si>
  <si>
    <t>CITATIONENECOM</t>
  </si>
  <si>
    <t>CARROLLDAVDBA</t>
  </si>
  <si>
    <t>MILLERROY</t>
  </si>
  <si>
    <t>DONALDEWOO</t>
  </si>
  <si>
    <t>MURPHYOILCO</t>
  </si>
  <si>
    <t>N&amp;NOILCO</t>
  </si>
  <si>
    <t>DICKINSOOILGAS</t>
  </si>
  <si>
    <t>HUBBARDOIL</t>
  </si>
  <si>
    <t>MADDENVEN</t>
  </si>
  <si>
    <t>MEDINAFUELCO</t>
  </si>
  <si>
    <t>LAKEREGOIL</t>
  </si>
  <si>
    <t>NOBLEPET</t>
  </si>
  <si>
    <t>BLUNTRUNGAS</t>
  </si>
  <si>
    <t>VIKINGRESCOR</t>
  </si>
  <si>
    <t>BIJOEDEV</t>
  </si>
  <si>
    <t>DEEROILGAS</t>
  </si>
  <si>
    <t>KAPLANINT</t>
  </si>
  <si>
    <t>STOCKER&amp;SITLER</t>
  </si>
  <si>
    <t>SPENCERSCOTTH</t>
  </si>
  <si>
    <t>SCIONENE</t>
  </si>
  <si>
    <t>PETROEVASER</t>
  </si>
  <si>
    <t>CUTTEROILCOM</t>
  </si>
  <si>
    <t>KILBARGECON</t>
  </si>
  <si>
    <t>OXFORDOILCOM</t>
  </si>
  <si>
    <t>BASEPET</t>
  </si>
  <si>
    <t>JENKINSARC</t>
  </si>
  <si>
    <t>BAILEYWG</t>
  </si>
  <si>
    <t>CAMPBELLCREGAS</t>
  </si>
  <si>
    <t>PCOILGAS</t>
  </si>
  <si>
    <t>PAULEYJOS</t>
  </si>
  <si>
    <t>DRIOPECO</t>
  </si>
  <si>
    <t>AURORASER</t>
  </si>
  <si>
    <t>CENPACIFICGROUP</t>
  </si>
  <si>
    <t>ALLIANCERES</t>
  </si>
  <si>
    <t>MENGCHARLES</t>
  </si>
  <si>
    <t>LOGANRONL</t>
  </si>
  <si>
    <t>EPI</t>
  </si>
  <si>
    <t>NANAKIGASCOM</t>
  </si>
  <si>
    <t>TUGFORDEV</t>
  </si>
  <si>
    <t>CIMCK</t>
  </si>
  <si>
    <t>MAGHART</t>
  </si>
  <si>
    <t>EVANENECOM</t>
  </si>
  <si>
    <t>ENERGYGRO</t>
  </si>
  <si>
    <t>COTIGADEVLIMPAR</t>
  </si>
  <si>
    <t>LEONARDHAL</t>
  </si>
  <si>
    <t>CUTTHRHYD</t>
  </si>
  <si>
    <t>A26</t>
  </si>
  <si>
    <t>M01</t>
  </si>
  <si>
    <t>A40</t>
  </si>
  <si>
    <t>QTY Change - Prior Per Qids</t>
  </si>
  <si>
    <t>FlorenceSmalleyHochberg, Agent</t>
  </si>
  <si>
    <t>IFERC - .05</t>
  </si>
  <si>
    <t>The McIntosh</t>
  </si>
  <si>
    <t>10,000/mo @</t>
  </si>
  <si>
    <t xml:space="preserve">4/1/00  to 3/31/01 </t>
  </si>
  <si>
    <t>TRIAD Energy WVa</t>
  </si>
  <si>
    <t>016-89903-01-001</t>
  </si>
  <si>
    <t>BUCKEYE OIL</t>
  </si>
  <si>
    <t>IFERC+.02 (W) 100% (S)</t>
  </si>
  <si>
    <t>GR Mcf</t>
  </si>
  <si>
    <t>Net Mcf</t>
  </si>
  <si>
    <t>MeterFee</t>
  </si>
  <si>
    <t>11749</t>
  </si>
  <si>
    <t>Roger C Dupke (Sp Exp)</t>
  </si>
  <si>
    <t>016-74202-01-001</t>
  </si>
  <si>
    <t>OCT - INDEX</t>
  </si>
  <si>
    <t>NOV 30000 @ 3.00</t>
  </si>
  <si>
    <t>PER TERRY FRANKLIN 11/16/01</t>
  </si>
  <si>
    <t>016-76053-01-001</t>
  </si>
  <si>
    <t>IFERC+.02 (W) EVEN (S)</t>
  </si>
  <si>
    <t>Scion Energy/EXP/Enney Oil</t>
  </si>
  <si>
    <t>016-78624-01-001</t>
  </si>
  <si>
    <t>Private Stock</t>
  </si>
  <si>
    <t>016-00129-01-001</t>
  </si>
  <si>
    <t>016-02414-01-001</t>
  </si>
  <si>
    <t>na</t>
  </si>
  <si>
    <t>RP1191002</t>
  </si>
  <si>
    <t>BIG BUCK ENERGY OIL &amp; GAS</t>
  </si>
  <si>
    <t>016-08249-01-001</t>
  </si>
  <si>
    <t>Commonwealth Energy Inc</t>
  </si>
  <si>
    <t>IFERC LESS $.08</t>
  </si>
  <si>
    <t>016-10486-01-001</t>
  </si>
  <si>
    <t>IFERC --$.01(S)+.01 (W)</t>
  </si>
  <si>
    <t>AT4341101</t>
  </si>
  <si>
    <t>BOWIE INC FOR GLEN LOCKARD</t>
  </si>
  <si>
    <t>016-13884-01-001</t>
  </si>
  <si>
    <t>IFERC LESS $.02</t>
  </si>
  <si>
    <t>016-14599-01-001</t>
  </si>
  <si>
    <t>CENTRAL PACIFIC GROUP INC</t>
  </si>
  <si>
    <t>016-76198-01-001</t>
  </si>
  <si>
    <t>CRESTON WELL SERVICE INC</t>
  </si>
  <si>
    <t>016-20934-01-001</t>
  </si>
  <si>
    <t>CRESTON WELL SERVICES</t>
  </si>
  <si>
    <t>AT5038701W568</t>
  </si>
  <si>
    <t>DANNIC ENERGY CORP</t>
  </si>
  <si>
    <t>016-21579-01-001</t>
  </si>
  <si>
    <t>AT5059801W569</t>
  </si>
  <si>
    <t>DENVER SISSON</t>
  </si>
  <si>
    <t>016-84822-01-001</t>
  </si>
  <si>
    <t>99% IFERC/CPSP</t>
  </si>
  <si>
    <t>RP2109303</t>
  </si>
  <si>
    <t>CONSOLIDATED COAL</t>
  </si>
  <si>
    <t>RP2110706</t>
  </si>
  <si>
    <t>016-23124-01-001</t>
  </si>
  <si>
    <t>016-26784-01-001</t>
  </si>
  <si>
    <t>AT001WH</t>
  </si>
  <si>
    <t>ENRON CAPITAL &amp; TRADE</t>
  </si>
  <si>
    <t>AT1092101</t>
  </si>
  <si>
    <t>EXCEL ENERGY INC</t>
  </si>
  <si>
    <t>016-27274-01-001</t>
  </si>
  <si>
    <t>S(100%IFERC)W(IFERC +.02)</t>
  </si>
  <si>
    <t>AT4366501</t>
  </si>
  <si>
    <t>EXPLORATION PARTNERS</t>
  </si>
  <si>
    <t>016-27292-01-001</t>
  </si>
  <si>
    <t>016-31420-01-001</t>
  </si>
  <si>
    <t>100% IFERC (s)  +.01 (w)</t>
  </si>
  <si>
    <t>016-32469-01-001</t>
  </si>
  <si>
    <t>016-35823-01-001</t>
  </si>
  <si>
    <t>$2.00 PER MMBTU</t>
  </si>
  <si>
    <t>H. E. Acker c/o Bowie Inc.</t>
  </si>
  <si>
    <t>HOEY - WEBSTER</t>
  </si>
  <si>
    <t>PAULUS HEFT</t>
  </si>
  <si>
    <t>016-38334-01-001</t>
  </si>
  <si>
    <t>IFERC LESS $.05</t>
  </si>
  <si>
    <t>RP1632501</t>
  </si>
  <si>
    <t>HUNTLEY A D</t>
  </si>
  <si>
    <t>016-43001-01-001</t>
  </si>
  <si>
    <t>RP1684201</t>
  </si>
  <si>
    <t>JAY-BEE OIL &amp; GAS</t>
  </si>
  <si>
    <t>016-48809-01-001</t>
  </si>
  <si>
    <t>Geronimo Energy (Kenny Roberts)</t>
  </si>
  <si>
    <t>P.P.G. OIL</t>
  </si>
  <si>
    <t>Geoex</t>
  </si>
  <si>
    <t>NA</t>
  </si>
  <si>
    <t>Smith, Lawrence &amp; Ethel</t>
  </si>
  <si>
    <t>016-44782-01-001</t>
  </si>
  <si>
    <t>AT3556101</t>
  </si>
  <si>
    <t>KRISCOTT INC</t>
  </si>
  <si>
    <t>016-50329-01-001</t>
  </si>
  <si>
    <t>100% NGI</t>
  </si>
  <si>
    <t>AT3564401</t>
  </si>
  <si>
    <t>AT4347201</t>
  </si>
  <si>
    <t>AT4347801</t>
  </si>
  <si>
    <t>LIPPIZAN PETROLEUM</t>
  </si>
  <si>
    <t>016-52911-01-001</t>
  </si>
  <si>
    <t>LONG RIDGE FARM ENERGY</t>
  </si>
  <si>
    <t>016-58860-01-001</t>
  </si>
  <si>
    <t>RP1024303</t>
  </si>
  <si>
    <t>OIL PRODUCERS INC</t>
  </si>
  <si>
    <t>016-65929-01-001</t>
  </si>
  <si>
    <t>96% OF IFERC</t>
  </si>
  <si>
    <t>RP1024304</t>
  </si>
  <si>
    <t>P &amp; C OIL AND GAS INC.</t>
  </si>
  <si>
    <t>95% OF IFERC</t>
  </si>
  <si>
    <t>AT4370801</t>
  </si>
  <si>
    <t>AT4370901</t>
  </si>
  <si>
    <t>P&amp;M OIL CO., INC., AGENT</t>
  </si>
  <si>
    <t>016-67002-01-001</t>
  </si>
  <si>
    <t>95%  OF IFERC</t>
  </si>
  <si>
    <t>Charity Gas</t>
  </si>
  <si>
    <t>fmr Ritchie Petroleum</t>
  </si>
  <si>
    <t>B &amp; J Gas &amp; Oil</t>
  </si>
  <si>
    <t>016-67032-01-001</t>
  </si>
  <si>
    <t>PACIFIC ATLANTIC RESOURCES</t>
  </si>
  <si>
    <t>AT3571701</t>
  </si>
  <si>
    <t>016-68783-01-001</t>
  </si>
  <si>
    <t>Perry Gains (formerly Bowie)</t>
  </si>
  <si>
    <t>AT3015201</t>
  </si>
  <si>
    <t>PINNACLE OIL &amp; GAS CORP</t>
  </si>
  <si>
    <t>016-70062-01-001</t>
  </si>
  <si>
    <t>98% OF NGI</t>
  </si>
  <si>
    <t>AT3548001</t>
  </si>
  <si>
    <t>AT3548301</t>
  </si>
  <si>
    <t>RP1204002</t>
  </si>
  <si>
    <t>RP1204003</t>
  </si>
  <si>
    <t>RP1204005</t>
  </si>
  <si>
    <t>RP1204011</t>
  </si>
  <si>
    <t>RP1204012</t>
  </si>
  <si>
    <t>RP1204013</t>
  </si>
  <si>
    <t>PMJ</t>
  </si>
  <si>
    <t>POCONO ENERGY (BLAZER ENERGY)</t>
  </si>
  <si>
    <t>016-70303-01-001</t>
  </si>
  <si>
    <t>(W) IFERC + .01 (S) 100% IFERC</t>
  </si>
  <si>
    <t>016-70649-01-001</t>
  </si>
  <si>
    <t>RP1800604</t>
  </si>
  <si>
    <t>fmr STONEBRIDGE OPERATING CO.</t>
  </si>
  <si>
    <t>The Offenberger Group</t>
  </si>
  <si>
    <t>Tiered 4.07 Bal 100% iferc</t>
  </si>
  <si>
    <t>Justice Land Surveying &amp; Engr</t>
  </si>
  <si>
    <t>7/1/00 to 6/30/01</t>
  </si>
  <si>
    <t>Per Terry Franklin</t>
  </si>
  <si>
    <t>AT4371701</t>
  </si>
  <si>
    <t>AT3585801</t>
  </si>
  <si>
    <t>DICK'S WELL SERVICE</t>
  </si>
  <si>
    <t>fmr R B ROBERTSON</t>
  </si>
  <si>
    <t>Tiered 4.95 Bal IF</t>
  </si>
  <si>
    <t>PRIVATE STOCK CORPORATION</t>
  </si>
  <si>
    <t>016-73629-01-001</t>
  </si>
  <si>
    <t>Ritchie Petro(Oil &amp; Gas Dispersing)</t>
  </si>
  <si>
    <t>016-66549-01-001</t>
  </si>
  <si>
    <t>RITCHIE PETROLEUM</t>
  </si>
  <si>
    <t>016-74123-01-001</t>
  </si>
  <si>
    <t>AT3543701</t>
  </si>
  <si>
    <t>RUBIN RESOURCES</t>
  </si>
  <si>
    <t xml:space="preserve">IFERC -EVEN (S) INDEX +$.02 (W)   </t>
  </si>
  <si>
    <t>AT3548901</t>
  </si>
  <si>
    <t>AT3556301</t>
  </si>
  <si>
    <t>AT3556401</t>
  </si>
  <si>
    <t>AT3558401</t>
  </si>
  <si>
    <t>AT3563301</t>
  </si>
  <si>
    <t>AT3563401</t>
  </si>
  <si>
    <t>AT3571001</t>
  </si>
  <si>
    <t>AT4367401</t>
  </si>
  <si>
    <t>RUBIN RESOURCES ******(See notes)</t>
  </si>
  <si>
    <t>016-77665-01-001</t>
  </si>
  <si>
    <t>85% OF IFERC</t>
  </si>
  <si>
    <t>SHELDON 95-1</t>
  </si>
  <si>
    <t>016-64327-01-001</t>
  </si>
  <si>
    <t>100% IFERC (S) +.02 (W)</t>
  </si>
  <si>
    <t>RP1047811</t>
  </si>
  <si>
    <t>IFERC EVEN</t>
  </si>
  <si>
    <t>016-83231-01-001</t>
  </si>
  <si>
    <t>RP1095902</t>
  </si>
  <si>
    <t>STEPHEN GAS CO</t>
  </si>
  <si>
    <t>016-83849-01-001</t>
  </si>
  <si>
    <t xml:space="preserve">98% IFERC </t>
  </si>
  <si>
    <t>RP1119101</t>
  </si>
  <si>
    <t>STEPHEN GAS CO &amp; CHAS ENGEL</t>
  </si>
  <si>
    <t>RP1300001</t>
  </si>
  <si>
    <t>STEPHEN GAS COMPANY</t>
  </si>
  <si>
    <t>RP1300002</t>
  </si>
  <si>
    <t>IFERC Even(s)+.01(w)</t>
  </si>
  <si>
    <t>AT5131001</t>
  </si>
  <si>
    <t>AT5168201</t>
  </si>
  <si>
    <t>Change to 20000 @ 9.85 for Feb-01</t>
  </si>
  <si>
    <t>AT5168301</t>
  </si>
  <si>
    <t>AT5167701</t>
  </si>
  <si>
    <t>5/1/00 to 03/31/01</t>
  </si>
  <si>
    <t>15000 @ 2.96  11/01/99 to 10/31/00</t>
  </si>
  <si>
    <t xml:space="preserve">8000 @ 2.86 03/01/00 to 02/28/01  </t>
  </si>
  <si>
    <t>Bowie</t>
  </si>
  <si>
    <t>Apr-oct</t>
  </si>
  <si>
    <t>Nov-Mar</t>
  </si>
  <si>
    <t>AT5167801</t>
  </si>
  <si>
    <t>016-91921-01-001</t>
  </si>
  <si>
    <t>016-91919-01-003</t>
  </si>
  <si>
    <t>016-92796-01-001</t>
  </si>
  <si>
    <t>cgas</t>
  </si>
  <si>
    <t>016-03604-01-001</t>
  </si>
  <si>
    <t>EasternAm</t>
  </si>
  <si>
    <t>BUCKEYE OIL (Franklin)</t>
  </si>
  <si>
    <t>SPEC- IFERC+2(W)  100%(S)</t>
  </si>
  <si>
    <t>DEER OIL &amp; GAS SpecExpired</t>
  </si>
  <si>
    <t>016-22428-01-001</t>
  </si>
  <si>
    <t>GAS AND OIL PIPE SUPPLY</t>
  </si>
  <si>
    <t>016-31418-01-001</t>
  </si>
  <si>
    <t>remainder @ 95% IF-CGAS</t>
  </si>
  <si>
    <t>BLAUSER WELL SERVICE, INC.</t>
  </si>
  <si>
    <t>GEORGETOWN WELL NO 3</t>
  </si>
  <si>
    <t>1250 @ 4.50 Bal IFERC</t>
  </si>
  <si>
    <t>Blauser Well</t>
  </si>
  <si>
    <t>09/1/00 to 08/31/01</t>
  </si>
  <si>
    <t>100% IFERC (S) +.01 (W)</t>
  </si>
  <si>
    <t>32403</t>
  </si>
  <si>
    <t>016-32403-01-002</t>
  </si>
  <si>
    <t>74202</t>
  </si>
  <si>
    <t>76053</t>
  </si>
  <si>
    <t>IFGM EVEN (S) +.02 (W)</t>
  </si>
  <si>
    <t>IFERC +.01 (w)  100% (s)</t>
  </si>
  <si>
    <t>Buckeye Oil -TCO</t>
  </si>
  <si>
    <r>
      <t>6000/ month @</t>
    </r>
    <r>
      <rPr>
        <b/>
        <sz val="10"/>
        <rFont val="Arial"/>
        <family val="2"/>
      </rPr>
      <t xml:space="preserve"> </t>
    </r>
  </si>
  <si>
    <t>6/1/99 to 05/31/00</t>
  </si>
  <si>
    <t>Buckeye Oil -TCO -Franklin</t>
  </si>
  <si>
    <r>
      <t>4200/ month @</t>
    </r>
    <r>
      <rPr>
        <b/>
        <sz val="10"/>
        <rFont val="Arial"/>
        <family val="2"/>
      </rPr>
      <t xml:space="preserve"> </t>
    </r>
  </si>
  <si>
    <t>11/1/99 to 03/31/00</t>
  </si>
  <si>
    <t>Beck- TCO</t>
  </si>
  <si>
    <t>7500/mo @</t>
  </si>
  <si>
    <t>6/1/00 to 5/31/01</t>
  </si>
  <si>
    <t>4/1/00 to 3/31/01</t>
  </si>
  <si>
    <t>Gas &amp; Oil Pipe Supply</t>
  </si>
  <si>
    <t>900/month</t>
  </si>
  <si>
    <t>GEOEX -TCO</t>
  </si>
  <si>
    <t xml:space="preserve">1000/day </t>
  </si>
  <si>
    <t>$2.00 floor</t>
  </si>
  <si>
    <t>5/1/99 to 10/31/99</t>
  </si>
  <si>
    <t>EXPIRED</t>
  </si>
  <si>
    <t>$2.45 cap</t>
  </si>
  <si>
    <t>Days</t>
  </si>
  <si>
    <t>H &amp; H Energy of Ohio</t>
  </si>
  <si>
    <r>
      <t>2500/month  @ 3.07 5</t>
    </r>
    <r>
      <rPr>
        <b/>
        <sz val="10"/>
        <rFont val="Arial"/>
        <family val="2"/>
      </rPr>
      <t>/1/00 to 10/31/00</t>
    </r>
  </si>
  <si>
    <t>Rubin Resources -TCO</t>
  </si>
  <si>
    <t>IFERC +.02 (W) EVEN (S)</t>
  </si>
  <si>
    <t>remainder @ index + .02 Winter</t>
  </si>
  <si>
    <t>CE-DIGMAN</t>
  </si>
  <si>
    <t>BERRESFORD ENTE</t>
  </si>
  <si>
    <t>Contract ends 1-31-02, Megan not renewing</t>
  </si>
  <si>
    <t>MURPHY-STEBELTON PROSPECT</t>
  </si>
  <si>
    <t>CE-HARPOLD</t>
  </si>
  <si>
    <t>Scion Energy TCO</t>
  </si>
  <si>
    <r>
      <t xml:space="preserve">15000/month @ 2.47 </t>
    </r>
    <r>
      <rPr>
        <b/>
        <sz val="10"/>
        <rFont val="Arial"/>
        <family val="2"/>
      </rPr>
      <t xml:space="preserve">6/1/99 to 10/31/99 </t>
    </r>
  </si>
  <si>
    <t>Triad Energy -TCO</t>
  </si>
  <si>
    <t>1/1/00 to 03/31/01</t>
  </si>
  <si>
    <t>Exploration Partners</t>
  </si>
  <si>
    <t>Pacific-Atlantic</t>
  </si>
  <si>
    <t>4/1/00 to 10/31/00</t>
  </si>
  <si>
    <t>remaining price at index *.99</t>
  </si>
  <si>
    <t>Pocono-cng</t>
  </si>
  <si>
    <t>7000/mo @</t>
  </si>
  <si>
    <t>4/0/00 to 3/31/01</t>
  </si>
  <si>
    <t>remaining price at index +0 S or +.01 W</t>
  </si>
  <si>
    <t>9/1/99 to 08/31/00</t>
  </si>
  <si>
    <t>Somerset</t>
  </si>
  <si>
    <t>Devonian Rersources</t>
  </si>
  <si>
    <t>Tier $2.77</t>
  </si>
  <si>
    <t>Base Petroleum</t>
  </si>
  <si>
    <t>Oxford Oil</t>
  </si>
  <si>
    <t xml:space="preserve">15000 @ 3.16 11/01/00 to 03/31/01  </t>
  </si>
  <si>
    <t>NOT BOYD &amp; SHRIVER</t>
  </si>
  <si>
    <t>PARROT INC.</t>
  </si>
  <si>
    <t>T001BGD</t>
  </si>
  <si>
    <t>AT3557501</t>
  </si>
  <si>
    <t>AT4315601W711</t>
  </si>
  <si>
    <t>RUBIN RESOURCES CO</t>
  </si>
  <si>
    <t>AT4348401</t>
  </si>
  <si>
    <t>RP1083501</t>
  </si>
  <si>
    <t>CARDINAL NATURAL FUEL</t>
  </si>
  <si>
    <t>RP1696101</t>
  </si>
  <si>
    <t>RITCHIE PETROLEUM CORP</t>
  </si>
  <si>
    <t>T001BGW</t>
  </si>
  <si>
    <t>RP1529501</t>
  </si>
  <si>
    <t>T001CGD</t>
  </si>
  <si>
    <t>RP1512401</t>
  </si>
  <si>
    <t>WALKER GAS COMPANY</t>
  </si>
  <si>
    <t>RP1520101</t>
  </si>
  <si>
    <t>GUYAN GAS PRODUCERS</t>
  </si>
  <si>
    <t>RP1651907</t>
  </si>
  <si>
    <t>D G HANEY INC</t>
  </si>
  <si>
    <t>RP1676101</t>
  </si>
  <si>
    <t>COOK-RUSH GAS COMPANY</t>
  </si>
  <si>
    <t>T001CTD</t>
  </si>
  <si>
    <t>AT001ON</t>
  </si>
  <si>
    <t>QA001ON</t>
  </si>
  <si>
    <t>11/1/00 to  3/31/01</t>
  </si>
  <si>
    <t>remaining price at index +.01(W) -.01(S)</t>
  </si>
  <si>
    <t>ENRON ACCESS CORP</t>
  </si>
  <si>
    <t>T001FGD</t>
  </si>
  <si>
    <t>RP2108901</t>
  </si>
  <si>
    <t>T001HGW</t>
  </si>
  <si>
    <t>AT2150501</t>
  </si>
  <si>
    <t>CAMERON OIL &amp; GAS COMPANY</t>
  </si>
  <si>
    <t>AT2152501</t>
  </si>
  <si>
    <t>AT3130401</t>
  </si>
  <si>
    <t>PRIVATE STOCK CORP</t>
  </si>
  <si>
    <t>AT3225601</t>
  </si>
  <si>
    <t>RITCHIE GAS COMPANY</t>
  </si>
  <si>
    <t>AT3330401</t>
  </si>
  <si>
    <t>AT3423501</t>
  </si>
  <si>
    <t>CENTRAL PACIFIC GROUP</t>
  </si>
  <si>
    <t>AT3423601</t>
  </si>
  <si>
    <t>AT3423701</t>
  </si>
  <si>
    <t>AT3423801</t>
  </si>
  <si>
    <t>AT3428401</t>
  </si>
  <si>
    <t>AT3429001</t>
  </si>
  <si>
    <t>AT3429601</t>
  </si>
  <si>
    <t>AT3502801</t>
  </si>
  <si>
    <t>AT3507801</t>
  </si>
  <si>
    <t>HAYS &amp; CO</t>
  </si>
  <si>
    <t>AT3507901</t>
  </si>
  <si>
    <t>AT3508401</t>
  </si>
  <si>
    <t>AT3545501</t>
  </si>
  <si>
    <t>BOWIE INC</t>
  </si>
  <si>
    <t>AT3549301</t>
  </si>
  <si>
    <t>PACIFIC ATLANTIC RES INC</t>
  </si>
  <si>
    <t>AT3552801</t>
  </si>
  <si>
    <t>00003</t>
  </si>
  <si>
    <t>00081</t>
  </si>
  <si>
    <t xml:space="preserve">PAYNE GAS COMPANY                  </t>
  </si>
  <si>
    <t>00115</t>
  </si>
  <si>
    <t>00130</t>
  </si>
  <si>
    <t>00164</t>
  </si>
  <si>
    <t>00506</t>
  </si>
  <si>
    <t>00523</t>
  </si>
  <si>
    <t>00552</t>
  </si>
  <si>
    <t>00612</t>
  </si>
  <si>
    <t>00618</t>
  </si>
  <si>
    <t>00621</t>
  </si>
  <si>
    <t xml:space="preserve">ELTON ENERGY                       </t>
  </si>
  <si>
    <t>EXPLORATION PARTNERS LLC</t>
  </si>
  <si>
    <t>AT3553701</t>
  </si>
  <si>
    <t>AT3558301</t>
  </si>
  <si>
    <t>AT3564601</t>
  </si>
  <si>
    <t>P &amp; C OIL AND GAS INC</t>
  </si>
  <si>
    <t>AT3565301</t>
  </si>
  <si>
    <t>AT3565501</t>
  </si>
  <si>
    <t>JAYBEE PRODUCTION CO</t>
  </si>
  <si>
    <t>WILSON GAS COMPANY</t>
  </si>
  <si>
    <t>TECHNOLOGY DEVELOPMENT - FIELDS</t>
  </si>
  <si>
    <t>FROM</t>
  </si>
  <si>
    <t>GREAT LAKES ENE</t>
  </si>
  <si>
    <t>GERONIMO ENERGY</t>
  </si>
  <si>
    <t>Wilson</t>
  </si>
  <si>
    <t>AT3573701</t>
  </si>
  <si>
    <t>AT4333501</t>
  </si>
  <si>
    <t>AT4336901</t>
  </si>
  <si>
    <t>AT4341201</t>
  </si>
  <si>
    <t>Matthew R Stevens and James C Mitchell</t>
  </si>
  <si>
    <t>Not Kaplan</t>
  </si>
  <si>
    <t>AT4342301</t>
  </si>
  <si>
    <t>LIPPIZAN PETROLEUM INC</t>
  </si>
  <si>
    <t>AT4343301</t>
  </si>
  <si>
    <t>AT4345701</t>
  </si>
  <si>
    <t>AT4345801</t>
  </si>
  <si>
    <t>AT4349401</t>
  </si>
  <si>
    <t>AT4357101</t>
  </si>
  <si>
    <t>AT4362001</t>
  </si>
  <si>
    <t>AT4362701</t>
  </si>
  <si>
    <t>AT4362801</t>
  </si>
  <si>
    <t>AT4362901</t>
  </si>
  <si>
    <t>AT4364001</t>
  </si>
  <si>
    <t>AT4366601</t>
  </si>
  <si>
    <t>AT4366901</t>
  </si>
  <si>
    <t>SHELDON &amp; SHELDON</t>
  </si>
  <si>
    <t>ATQ60047</t>
  </si>
  <si>
    <t>Q60047</t>
  </si>
  <si>
    <t>RE1802701</t>
  </si>
  <si>
    <t>WILMA BURKHART</t>
  </si>
  <si>
    <t>GERONIMO ENTERPRISES INC</t>
  </si>
  <si>
    <t>RP1009005</t>
  </si>
  <si>
    <t>VILLERS DONNOLLY</t>
  </si>
  <si>
    <t>RP1025401</t>
  </si>
  <si>
    <t>RP1029702</t>
  </si>
  <si>
    <t>RP1034704</t>
  </si>
  <si>
    <t>MCINTOSH PARTNERSHIPS</t>
  </si>
  <si>
    <t>RP1034801</t>
  </si>
  <si>
    <t>remainder @ 99% CNG index</t>
  </si>
  <si>
    <t>HOLLOWROCK OIL&amp;GAS</t>
  </si>
  <si>
    <t>fmr JANET DETLING, AGENT</t>
  </si>
  <si>
    <t>Hollowrock Oil&amp;Gas</t>
  </si>
  <si>
    <t>fmr Janet Detling Agent</t>
  </si>
  <si>
    <t>RP1034808</t>
  </si>
  <si>
    <t>RP1034907</t>
  </si>
  <si>
    <t>IFERC -.01</t>
  </si>
  <si>
    <t>Annual</t>
  </si>
  <si>
    <t>RP1039301</t>
  </si>
  <si>
    <t>Pipeline_Point_Code</t>
  </si>
  <si>
    <t>Pipeline_point_Name</t>
  </si>
  <si>
    <t>Flow_Direction</t>
  </si>
  <si>
    <t>Best_Avail_Vol</t>
  </si>
  <si>
    <t>R</t>
  </si>
  <si>
    <t>OBERMILLER BALDERSON</t>
  </si>
  <si>
    <t>BUCKEYE #1</t>
  </si>
  <si>
    <t>BUCKEYE #2</t>
  </si>
  <si>
    <t>PETROLEUM BETHE</t>
  </si>
  <si>
    <t>SOUTHERN - RICHLAND NO. 1</t>
  </si>
  <si>
    <t>DUPKE</t>
  </si>
  <si>
    <t>SOUTHERN TRIANGLE #1</t>
  </si>
  <si>
    <t>KENTUCKY-WILS</t>
  </si>
  <si>
    <t>FLEMISTER, NEILL C JR</t>
  </si>
  <si>
    <t>WOODYARD - MCAFEE</t>
  </si>
  <si>
    <t>SECURITY O &amp; G - PUCH</t>
  </si>
  <si>
    <t>BOORD OIL &amp; GAS</t>
  </si>
  <si>
    <t>AET-HOWELL</t>
  </si>
  <si>
    <t>LAKE REGION OIL INC</t>
  </si>
  <si>
    <t>MCF - SKEEN UNIT</t>
  </si>
  <si>
    <t>N &amp; N OIL WILSO</t>
  </si>
  <si>
    <t>NOBLE ENERGY FL</t>
  </si>
  <si>
    <t>BETHEL - PETERSON</t>
  </si>
  <si>
    <t>ECKO ENTERPRISES CORP DEWAR</t>
  </si>
  <si>
    <t>TRIAD</t>
  </si>
  <si>
    <t>CALLANDER &amp; KIM</t>
  </si>
  <si>
    <t>BOBO #1</t>
  </si>
  <si>
    <t>VIKING #7</t>
  </si>
  <si>
    <t>R A MILLER</t>
  </si>
  <si>
    <t>TWINOAKS - KLEIN</t>
  </si>
  <si>
    <t>VIKING #4</t>
  </si>
  <si>
    <t>WILLIAMS - STRAITS</t>
  </si>
  <si>
    <t>BOWSER</t>
  </si>
  <si>
    <t>NATIONAL #1/FH.</t>
  </si>
  <si>
    <t>LONE STAR - MIL</t>
  </si>
  <si>
    <t>OGM/AMERICAN PETRO INC</t>
  </si>
  <si>
    <t>FLORENCE #3</t>
  </si>
  <si>
    <t>VIKING #1</t>
  </si>
  <si>
    <t>MFC - MOLZ</t>
  </si>
  <si>
    <t>ALTHEIRS/BENSON</t>
  </si>
  <si>
    <t>VIKING #5</t>
  </si>
  <si>
    <t>MFC - TWINOAKS - INGALLS</t>
  </si>
  <si>
    <t>AMERICAN PETROLEUM</t>
  </si>
  <si>
    <t>SHAFER - RUBY K</t>
  </si>
  <si>
    <t>STOCK UP</t>
  </si>
  <si>
    <t>TRIAD-MCBRIDE</t>
  </si>
  <si>
    <t>COMMONWEALTH-CARPENTER</t>
  </si>
  <si>
    <t>REICHARD/ROBERTSON</t>
  </si>
  <si>
    <t>STONEBRIDGE-SHRIVER</t>
  </si>
  <si>
    <t>BUCKEYE R MILLER</t>
  </si>
  <si>
    <t>VESCORP FAIR</t>
  </si>
  <si>
    <t>STONEBRIDGE-STEVENS #5</t>
  </si>
  <si>
    <t>STONEBRIDGE-WILLIAMS #7</t>
  </si>
  <si>
    <t>STONEBRIDGE-WHEATON #8</t>
  </si>
  <si>
    <t>STONEBRIDGE-BURKHART</t>
  </si>
  <si>
    <t>STONEBRIDGE-STORY</t>
  </si>
  <si>
    <t>STONEBRIDGE-FOREMAN</t>
  </si>
  <si>
    <t>STONEBRIDGE-LAND</t>
  </si>
  <si>
    <t>DICK'S WELL SVC</t>
  </si>
  <si>
    <t>BUCKEYE ENERGY</t>
  </si>
  <si>
    <t>NEW 11/01</t>
  </si>
  <si>
    <t>BRAXTON OIL &amp; GAS CORPORATION</t>
  </si>
  <si>
    <t>ELTON ENERGY</t>
  </si>
  <si>
    <t>RP1041602</t>
  </si>
  <si>
    <t>P &amp; M OIL COMPANY INC</t>
  </si>
  <si>
    <t>RP1041603</t>
  </si>
  <si>
    <t>RP1041607</t>
  </si>
  <si>
    <t>POWELL ILA AGENT</t>
  </si>
  <si>
    <t>RP1047812</t>
  </si>
  <si>
    <t>SOUTHERN TRI OIL CO</t>
  </si>
  <si>
    <t>RP1079501</t>
  </si>
  <si>
    <t>RP1093201</t>
  </si>
  <si>
    <t>RP1095801</t>
  </si>
  <si>
    <t>PERKINS OIL &amp; GAS CO</t>
  </si>
  <si>
    <t>RP1104901</t>
  </si>
  <si>
    <t>CRESTON WELL SERVICES INC</t>
  </si>
  <si>
    <t>RP1104903</t>
  </si>
  <si>
    <t>RP1124202</t>
  </si>
  <si>
    <t>RP1125616</t>
  </si>
  <si>
    <t>RP1125629</t>
  </si>
  <si>
    <t>RP1125631</t>
  </si>
  <si>
    <t>RP1125642</t>
  </si>
  <si>
    <t>RP1125651</t>
  </si>
  <si>
    <t>RP1125708</t>
  </si>
  <si>
    <t>RP1154516</t>
  </si>
  <si>
    <t>RP1154522</t>
  </si>
  <si>
    <t>RP1157601</t>
  </si>
  <si>
    <t>RP1157909</t>
  </si>
  <si>
    <t>George Burkhart, Joyce, Wilma</t>
  </si>
  <si>
    <t>x</t>
  </si>
  <si>
    <t>RP1157910</t>
  </si>
  <si>
    <t>RP1157922</t>
  </si>
  <si>
    <t>Tiered 5.80</t>
  </si>
  <si>
    <t>300/day  collar 4.50 to 5.25</t>
  </si>
  <si>
    <t>400/day @ 5.80</t>
  </si>
  <si>
    <t xml:space="preserve">Cut Through Hydrocarbon </t>
  </si>
  <si>
    <t>12/1/00 to 10/31/01</t>
  </si>
  <si>
    <t>GARY L. HOWARD AND KATHRYN J. HOWARD</t>
  </si>
  <si>
    <t>RP1161203</t>
  </si>
  <si>
    <t>RP1161204</t>
  </si>
  <si>
    <t>RP1161210</t>
  </si>
  <si>
    <t>RP1171405</t>
  </si>
  <si>
    <t>CEDAR RESOURCES INC</t>
  </si>
  <si>
    <t>CARDINAL NAT FUEL</t>
  </si>
  <si>
    <t>remainder @ index -.02</t>
  </si>
  <si>
    <t>Tier 2.98 Bal IF-.02</t>
  </si>
  <si>
    <t>RP1180801</t>
  </si>
  <si>
    <t>RP1185602</t>
  </si>
  <si>
    <t>RP1185605</t>
  </si>
  <si>
    <t>RP1192101</t>
  </si>
  <si>
    <t>STANSBERRY GEORGE</t>
  </si>
  <si>
    <t>RP1193902</t>
  </si>
  <si>
    <t>RP1202701</t>
  </si>
  <si>
    <t>ROCK ISLAND SERVICE CO</t>
  </si>
  <si>
    <t>RP1203501</t>
  </si>
  <si>
    <t>DILS SHERMAN III DBA DILS OIL</t>
  </si>
  <si>
    <t>RP1204402</t>
  </si>
  <si>
    <t>RP1206103</t>
  </si>
  <si>
    <t>GAS MARKETING INC</t>
  </si>
  <si>
    <t>RP1208401</t>
  </si>
  <si>
    <t>A &amp; D OIL</t>
  </si>
  <si>
    <t>RP1300701</t>
  </si>
  <si>
    <t>JCR PETROLEUM INC</t>
  </si>
  <si>
    <t>RP1301901</t>
  </si>
  <si>
    <t>RP1301902</t>
  </si>
  <si>
    <t>RP1523256</t>
  </si>
  <si>
    <t>RP1523261</t>
  </si>
  <si>
    <t>RP1523266</t>
  </si>
  <si>
    <t>RP1547803</t>
  </si>
  <si>
    <t>RP1547810</t>
  </si>
  <si>
    <t>RP1547819</t>
  </si>
  <si>
    <t>RP1617801</t>
  </si>
  <si>
    <t>RP1633201</t>
  </si>
  <si>
    <t>SANTA FE #1 LTD</t>
  </si>
  <si>
    <t>RP1647801</t>
  </si>
  <si>
    <t>RP1651902</t>
  </si>
  <si>
    <t>RP1651906</t>
  </si>
  <si>
    <t>RP1656205</t>
  </si>
  <si>
    <t>RP1674101</t>
  </si>
  <si>
    <t>RP1674102</t>
  </si>
  <si>
    <t>RP1674105</t>
  </si>
  <si>
    <t>RP1674111</t>
  </si>
  <si>
    <t>RP1686904</t>
  </si>
  <si>
    <t>RP1686916</t>
  </si>
  <si>
    <t>RP1689101</t>
  </si>
  <si>
    <t>RP1703401</t>
  </si>
  <si>
    <t>RP1708201</t>
  </si>
  <si>
    <t>RP1800601</t>
  </si>
  <si>
    <t>RP1800602</t>
  </si>
  <si>
    <t>RP1800603</t>
  </si>
  <si>
    <t>RP1800605</t>
  </si>
  <si>
    <t>RPH215710</t>
  </si>
  <si>
    <t>RPH215716</t>
  </si>
  <si>
    <t>RPH215722</t>
  </si>
  <si>
    <t>RPH215723</t>
  </si>
  <si>
    <t>KK&amp;R Oil &amp; Gas</t>
  </si>
  <si>
    <t>fromSANDBAR OIL &amp; GAS</t>
  </si>
  <si>
    <t>Kaplan Interests</t>
  </si>
  <si>
    <t>12/1/00 to 11/30/03</t>
  </si>
  <si>
    <t>Confirmed Per Terry Franklin</t>
  </si>
  <si>
    <t>3300@4.49</t>
  </si>
  <si>
    <t>RPH216401</t>
  </si>
  <si>
    <t>RPH216402</t>
  </si>
  <si>
    <t>T001HTW</t>
  </si>
  <si>
    <t>AT001JJ</t>
  </si>
  <si>
    <t>QA001JJ</t>
  </si>
  <si>
    <t>AT3478201</t>
  </si>
  <si>
    <t>AT3582101</t>
  </si>
  <si>
    <t>RP1047821</t>
  </si>
  <si>
    <t>RP1048405</t>
  </si>
  <si>
    <t>VIRCO CORPORATION</t>
  </si>
  <si>
    <t>RP1154517</t>
  </si>
  <si>
    <t>RP1193901</t>
  </si>
  <si>
    <t>RP1197703</t>
  </si>
  <si>
    <t>RP1656202</t>
  </si>
  <si>
    <t>T001NGD</t>
  </si>
  <si>
    <t>RP1674113</t>
  </si>
  <si>
    <t>T001NTD</t>
  </si>
  <si>
    <t>RP1698701</t>
  </si>
  <si>
    <t>3/1/00 to 3/31/00</t>
  </si>
  <si>
    <t>remainder @98% index</t>
  </si>
  <si>
    <t>Tiered 2.70/2.75</t>
  </si>
  <si>
    <t>KPETROLEUMINC</t>
  </si>
  <si>
    <t>11/1/00 to 03/31/01</t>
  </si>
  <si>
    <t>EQUITRANS / SOMERSET / EASTERN STATES</t>
  </si>
  <si>
    <t>CHANGE</t>
  </si>
  <si>
    <t>Betty Quick</t>
  </si>
  <si>
    <t>Franklin Adkins</t>
  </si>
  <si>
    <t>10000 per confirmation, 11000 per heidi</t>
  </si>
  <si>
    <t>Harry S Roberts</t>
  </si>
  <si>
    <t>Petro Evaluation Services</t>
  </si>
  <si>
    <t>EasternStates</t>
  </si>
  <si>
    <t>Pentex</t>
  </si>
  <si>
    <t>Aurora Services</t>
  </si>
  <si>
    <t>Maghart Partnership</t>
  </si>
  <si>
    <t>98% IF</t>
  </si>
  <si>
    <t>Williamson &amp; Carnes Mineral Agency</t>
  </si>
  <si>
    <t>Tiered 2.70/2.74</t>
  </si>
  <si>
    <t>7500/mo @ 2.875  remainder @</t>
  </si>
  <si>
    <t>NUTTCO OIL &amp; GAS</t>
  </si>
  <si>
    <t>Combining MID numbers</t>
  </si>
  <si>
    <t>Farrington and Hepler Gas &amp; Oil Inc</t>
  </si>
  <si>
    <t>STATION NUMBERS - PRODUCERS</t>
  </si>
  <si>
    <t xml:space="preserve"> </t>
  </si>
  <si>
    <t>NGI</t>
  </si>
  <si>
    <t>LESS</t>
  </si>
  <si>
    <t>PRICE</t>
  </si>
  <si>
    <t>GATH</t>
  </si>
  <si>
    <t>PROC</t>
  </si>
  <si>
    <t>PAID</t>
  </si>
  <si>
    <t>Ohio Ed. Fund</t>
  </si>
  <si>
    <t>METER</t>
  </si>
  <si>
    <t>pipe</t>
  </si>
  <si>
    <t>PRODUCER</t>
  </si>
  <si>
    <t>Payee</t>
  </si>
  <si>
    <t>ECT K#</t>
  </si>
  <si>
    <t>MCF</t>
  </si>
  <si>
    <t>MMBTU</t>
  </si>
  <si>
    <t>98% iferc</t>
  </si>
  <si>
    <t>BANDS CO</t>
  </si>
  <si>
    <t>IFERC - .02</t>
  </si>
  <si>
    <t>97% IFERC</t>
  </si>
  <si>
    <t>VIKING RESOURCES</t>
  </si>
  <si>
    <t>99% IFERC</t>
  </si>
  <si>
    <t>100% IFERC</t>
  </si>
  <si>
    <t>BT ENERGY CORP.</t>
  </si>
  <si>
    <t>KENOIL</t>
  </si>
  <si>
    <t>98% IFERC</t>
  </si>
  <si>
    <t>IFERC</t>
  </si>
  <si>
    <t>Well</t>
  </si>
  <si>
    <t>Deal</t>
  </si>
  <si>
    <t>Meter</t>
  </si>
  <si>
    <t>Producer</t>
  </si>
  <si>
    <t>Contract</t>
  </si>
  <si>
    <t>verified 6/6</t>
  </si>
  <si>
    <t>RUSH-COOK GAS COMPANY</t>
  </si>
  <si>
    <t>HUGHES, WILMA (fmr lora amick)</t>
  </si>
  <si>
    <t>Energy Development Corp</t>
  </si>
  <si>
    <t>Price</t>
  </si>
  <si>
    <t>Dth</t>
  </si>
  <si>
    <t>Gath</t>
  </si>
  <si>
    <t>$</t>
  </si>
  <si>
    <t>Total $</t>
  </si>
  <si>
    <t>GCO03</t>
  </si>
  <si>
    <t>GCO01</t>
  </si>
  <si>
    <t>BETHEL OIL &amp; GAS</t>
  </si>
  <si>
    <t>GCO02</t>
  </si>
  <si>
    <t>GR CONTRACTING</t>
  </si>
  <si>
    <t>HARRISON ENERGY</t>
  </si>
  <si>
    <t>MANITOU EXPLORATION</t>
  </si>
  <si>
    <t>NOBLE PETROLEUM</t>
  </si>
  <si>
    <t>Proc.</t>
  </si>
  <si>
    <t>Meter Fee</t>
  </si>
  <si>
    <t>100% iferc</t>
  </si>
  <si>
    <t>97% iferc</t>
  </si>
  <si>
    <t>Pipe</t>
  </si>
  <si>
    <t>95% IFERC</t>
  </si>
  <si>
    <t>CNR</t>
  </si>
  <si>
    <t>You only have to adjust using the above factors when a PMA is involved.  Pool MCF &amp; Pool DTH are adjusted only if a PMA is involved.</t>
  </si>
  <si>
    <t>remainder @ regular</t>
  </si>
  <si>
    <t>Energy Group</t>
  </si>
  <si>
    <t>check Northwood</t>
  </si>
  <si>
    <t>THE GUTAUSKAS</t>
  </si>
  <si>
    <t>ROBERTSON - SHAFFER</t>
  </si>
  <si>
    <t>K S T HAUGHT</t>
  </si>
  <si>
    <t>T.W. YOUNG WELL #2</t>
  </si>
  <si>
    <t>BUCKEYE - PRAIRIE</t>
  </si>
  <si>
    <t>KILBARGER - BLUM ROAD</t>
  </si>
  <si>
    <t>WILMOUTH INC</t>
  </si>
  <si>
    <t>BUCKEYE FRANKLI</t>
  </si>
  <si>
    <t>STONEBRIDGE</t>
  </si>
  <si>
    <t>SARDIS E,LLC</t>
  </si>
  <si>
    <t>NO</t>
  </si>
  <si>
    <t>COLUMBIA GAS SHRINKAGE  FACTORS  (N + N = No Deduction);  (Y + I = 1.57%);  (N + I  = .421%);  and  (Y + N = .667%)</t>
  </si>
  <si>
    <t>remainder @ index</t>
  </si>
  <si>
    <t>Total Dth</t>
  </si>
  <si>
    <t>99% OF IFER</t>
  </si>
  <si>
    <t>to CE Richner</t>
  </si>
  <si>
    <t>Weighted Average</t>
  </si>
  <si>
    <t>StationID</t>
  </si>
  <si>
    <t>Seq</t>
  </si>
  <si>
    <t>STATION NAME</t>
  </si>
  <si>
    <t>MLI</t>
  </si>
  <si>
    <t>Type</t>
  </si>
  <si>
    <t>From Date</t>
  </si>
  <si>
    <t>To Date</t>
  </si>
  <si>
    <t>PSIG</t>
  </si>
  <si>
    <t>NET MCF</t>
  </si>
  <si>
    <t>BTU</t>
  </si>
  <si>
    <t>remainder @ index - .02</t>
  </si>
  <si>
    <t>confirmed w/Heidi 11/16/00</t>
  </si>
  <si>
    <t>WV meter</t>
  </si>
  <si>
    <t>NET DTH</t>
  </si>
  <si>
    <t>Bus_Period</t>
  </si>
  <si>
    <t>Prod_Period</t>
  </si>
  <si>
    <t>PRODUCER_NAME</t>
  </si>
  <si>
    <t>C</t>
  </si>
  <si>
    <t>GCO04</t>
  </si>
  <si>
    <t>SANDBAR OIL &amp; GAS</t>
  </si>
  <si>
    <t>STONEBRIDGE OPERATING CO.</t>
  </si>
  <si>
    <t>L.J. HARDEN C/O NANCY DUNLAP</t>
  </si>
  <si>
    <t>P.P.G. OIL C/O PHILLIP LUDWIG</t>
  </si>
  <si>
    <t>G-R CONTRACTING INC.</t>
  </si>
  <si>
    <t>ALPINE ENERGY CO., INC.</t>
  </si>
  <si>
    <t>w/Heidi Griffith 2/22/01</t>
  </si>
  <si>
    <t>06/01/01 to 09/30/01</t>
  </si>
  <si>
    <t>per Terry list</t>
  </si>
  <si>
    <t>InReg</t>
  </si>
  <si>
    <t>9/1/99 to 8/31/00</t>
  </si>
  <si>
    <t>Payment</t>
  </si>
  <si>
    <t>Amount</t>
  </si>
  <si>
    <t>Adjustment Description</t>
  </si>
  <si>
    <t>6000/mo @</t>
  </si>
  <si>
    <t>MFC DRILLING, INC.</t>
  </si>
  <si>
    <t>VIRGIL C. KING</t>
  </si>
  <si>
    <t>DEALS END WITH MARCH</t>
  </si>
  <si>
    <t>WATCH FOR APRIL</t>
  </si>
  <si>
    <t>KING DRILLING CO.</t>
  </si>
  <si>
    <t>GREENBRIER ENERGY INC.</t>
  </si>
  <si>
    <t>Mcf Fuel</t>
  </si>
  <si>
    <t>Net Dth</t>
  </si>
  <si>
    <t>Dth Fuel</t>
  </si>
  <si>
    <t>11/1/00 to 3/31/01</t>
  </si>
  <si>
    <t>9/1/99 to 10/31/00</t>
  </si>
  <si>
    <t>expired</t>
  </si>
  <si>
    <t>100%iferc-.02</t>
  </si>
  <si>
    <t>100% IF-.02</t>
  </si>
  <si>
    <t>100% IF-.01</t>
  </si>
  <si>
    <t>Evan</t>
  </si>
  <si>
    <t>pays</t>
  </si>
  <si>
    <t>own</t>
  </si>
  <si>
    <t>gath</t>
  </si>
  <si>
    <t>and</t>
  </si>
  <si>
    <t>meter</t>
  </si>
  <si>
    <t>fees</t>
  </si>
  <si>
    <t>OK!</t>
  </si>
  <si>
    <t>ok ?</t>
  </si>
  <si>
    <t>G &amp; G GAS INC</t>
  </si>
  <si>
    <t>ENVIRONMENTAL OIL CO.</t>
  </si>
  <si>
    <t>GRIMM CRONIN</t>
  </si>
  <si>
    <t>FREEDOM RESOURCES, INC.</t>
  </si>
  <si>
    <t>MARTIN BUTT</t>
  </si>
  <si>
    <t>BENJAMIN F. BUTT</t>
  </si>
  <si>
    <t>HERLAN J M WARD</t>
  </si>
  <si>
    <t>GERALD W. KENDALL</t>
  </si>
  <si>
    <t>BARTENSCHLAG - BACH</t>
  </si>
  <si>
    <t>MARTIN BOTT</t>
  </si>
  <si>
    <t>ROBERT HILVERDING</t>
  </si>
  <si>
    <t>HARMON WOODRUFF</t>
  </si>
  <si>
    <t>100% IFERC -.01</t>
  </si>
  <si>
    <t>TOWSLEE HILL FARM</t>
  </si>
  <si>
    <t>SMALLY YANNAYON</t>
  </si>
  <si>
    <t>FLORENCE SMALLEY HOCHBERG, AGENT</t>
  </si>
  <si>
    <t>A</t>
  </si>
  <si>
    <t>DICK HUNTSMAN</t>
  </si>
  <si>
    <t>JANET DETLING, AGENT</t>
  </si>
  <si>
    <t>JEFFREY A. DEAN</t>
  </si>
  <si>
    <t>BRIAN L. MCCORT</t>
  </si>
  <si>
    <t>WALTERS - BURKHART</t>
  </si>
  <si>
    <t>KATHERINE HASELBERGER</t>
  </si>
  <si>
    <t>DONALD GEITGEY</t>
  </si>
  <si>
    <t>KINNG BROCKETT</t>
  </si>
  <si>
    <t>Production</t>
  </si>
  <si>
    <t>IFERC Price</t>
  </si>
  <si>
    <t>CGT Shrinkage</t>
  </si>
  <si>
    <t>CGT Gathering</t>
  </si>
  <si>
    <t>CNR Shrinkage</t>
  </si>
  <si>
    <t>CNR Gathering</t>
  </si>
  <si>
    <t>Processing</t>
  </si>
  <si>
    <t>KY Severence Tax</t>
  </si>
  <si>
    <t>ECT</t>
  </si>
  <si>
    <t>Pool</t>
  </si>
  <si>
    <t>Less</t>
  </si>
  <si>
    <t xml:space="preserve">Less </t>
  </si>
  <si>
    <t>KY Sev.</t>
  </si>
  <si>
    <t>Facility</t>
  </si>
  <si>
    <t>Adjust.</t>
  </si>
  <si>
    <t>Process</t>
  </si>
  <si>
    <t>100.0TEAM 3</t>
  </si>
  <si>
    <t>Arlington Exploration</t>
  </si>
  <si>
    <t>ENVIROGAS CBE</t>
  </si>
  <si>
    <t>REDBANK VALLEY HIGH SCHOOL</t>
  </si>
  <si>
    <t>RELIANCE ENERGY</t>
  </si>
  <si>
    <t>WEIRTON#1/CENTER-GUERNSEY</t>
  </si>
  <si>
    <t>O`NEAL PETROLEU</t>
  </si>
  <si>
    <t>STEVENS OIL &amp; GAS</t>
  </si>
  <si>
    <t xml:space="preserve">     TEAM 3</t>
  </si>
  <si>
    <t xml:space="preserve">Meter Fee </t>
  </si>
  <si>
    <t>Due</t>
  </si>
  <si>
    <t>Calculated</t>
  </si>
  <si>
    <t>Reported</t>
  </si>
  <si>
    <t>Formulas:</t>
  </si>
  <si>
    <t>Pool MMBTU =Total MMBTU X Shrinkage (Pertinent transporter)</t>
  </si>
  <si>
    <t>IFERC Price = Pool MMBTU X IFERC Price</t>
  </si>
  <si>
    <t>Processing deduction = Pool MMBTU X Processing Amount</t>
  </si>
  <si>
    <t>Gathering deduction = Pool MMBTU X Gathering (Pertinent transporter)</t>
  </si>
  <si>
    <t>ENAUP</t>
  </si>
  <si>
    <t>Meter Fees = Apply where pertinent</t>
  </si>
  <si>
    <t>KY Severence Tax = (IFERC Price - Processing - Gathering - Meter Fees) X Tax Rate</t>
  </si>
  <si>
    <t>AMITY PETROLEUM</t>
  </si>
  <si>
    <t>SCHNEIDER</t>
  </si>
  <si>
    <t>JOHN SCHNEIDER</t>
  </si>
  <si>
    <t>REPUBLIC DRILLING CORP.</t>
  </si>
  <si>
    <t>RELIANCE ENERGY LONES</t>
  </si>
  <si>
    <t>RELIANCE ENERGY, INC.</t>
  </si>
  <si>
    <t>WOODYARD DRILLING</t>
  </si>
  <si>
    <t>HOOVER</t>
  </si>
  <si>
    <t>deducted from BT Energy</t>
  </si>
  <si>
    <t>CHEROKEE DRILLING &amp; PRODUCING</t>
  </si>
  <si>
    <t>ORWIG - THOMPSON</t>
  </si>
  <si>
    <t>ORWIG OIL CO.</t>
  </si>
  <si>
    <t>GEOPETRO</t>
  </si>
  <si>
    <t>ORWIG - LEWIS</t>
  </si>
  <si>
    <t>GEORGE H. WARNER</t>
  </si>
  <si>
    <t>HOOVER - WILLIAMSON</t>
  </si>
  <si>
    <t>HOOVER - SCHINDLER</t>
  </si>
  <si>
    <t>ORWIG - ARNOLD</t>
  </si>
  <si>
    <t>SENECA H J LOWE</t>
  </si>
  <si>
    <t>LAKE REGION OIL INC.</t>
  </si>
  <si>
    <t>WHITACRE A WHITACRE</t>
  </si>
  <si>
    <t>TC Enterprises</t>
  </si>
  <si>
    <t>POWDER MILL GAS Farington/Hepler</t>
  </si>
  <si>
    <t>KLJ, INC.</t>
  </si>
  <si>
    <t>IRVIN PRODUCING COMPANY</t>
  </si>
  <si>
    <t>JENKINS &amp;ARCHER</t>
  </si>
  <si>
    <t>DRILLERS R ULLMAN</t>
  </si>
  <si>
    <t>DUANE H. MANTEL, AGENT</t>
  </si>
  <si>
    <t>JAMES R. BERNHARDT INC.</t>
  </si>
  <si>
    <t>BUCKEYE OIL ROE</t>
  </si>
  <si>
    <t>HOOVER - SIDLE</t>
  </si>
  <si>
    <t>DERBY OPERATING CORP.</t>
  </si>
  <si>
    <t>BARBARA M. SOBIE</t>
  </si>
  <si>
    <t>Charles Scott HRUTKAY</t>
  </si>
  <si>
    <t>GREENE ENERGY</t>
  </si>
  <si>
    <t>GREENE ENERGY LLC</t>
  </si>
  <si>
    <t>DAILY PRICING</t>
  </si>
  <si>
    <t>Russell&amp;Linda Connelley</t>
  </si>
  <si>
    <t>PAULEY, JOSEPH E</t>
  </si>
  <si>
    <t>Gatherco</t>
  </si>
  <si>
    <t>Mason Drilling</t>
  </si>
  <si>
    <t>North Coast</t>
  </si>
  <si>
    <t>Phillips Production</t>
  </si>
  <si>
    <t>Power Gas Marketing</t>
  </si>
  <si>
    <t>R. Gene Brasel</t>
  </si>
  <si>
    <t>The Oxford Oil Company</t>
  </si>
  <si>
    <t>Bradco Oil</t>
  </si>
  <si>
    <t>PROCESS PRIOR MISSING CHART</t>
  </si>
  <si>
    <t>METER TEST ADJUSTMENT</t>
  </si>
  <si>
    <t>Kentucky East</t>
  </si>
  <si>
    <t>Merit Oil &amp; Gas</t>
  </si>
  <si>
    <t>Riley-Scott</t>
  </si>
  <si>
    <t>Viking Energy</t>
  </si>
  <si>
    <t>Pool production - John Singer sends these Invoices:</t>
  </si>
  <si>
    <t>Pool production - These send their own Invoices:</t>
  </si>
  <si>
    <t>Metered production - John Singer sends these Invoices:</t>
  </si>
  <si>
    <t>MURPHY Robert (CES-Robert Murphy)</t>
  </si>
  <si>
    <t>Richard / Carol Pultorak</t>
  </si>
  <si>
    <t>RANDELL OIL CO.</t>
  </si>
  <si>
    <t>ENERGY CONTRACTORS, INC.</t>
  </si>
  <si>
    <t>DARROL C. BYERS</t>
  </si>
  <si>
    <t>from terry's list</t>
  </si>
  <si>
    <t>11/1/01 to 10/31/02</t>
  </si>
  <si>
    <t>per terry's list 1/24/02</t>
  </si>
  <si>
    <t>MAGNUM HOWARD</t>
  </si>
  <si>
    <t>GLISPIE HOWARD</t>
  </si>
  <si>
    <t>TRI COUNTY RESOURCES</t>
  </si>
  <si>
    <t>SKY COLOPY</t>
  </si>
  <si>
    <t>GATHERCO VOLUMES LOADED FROM FILE / CHECK TOTALS</t>
  </si>
  <si>
    <t>2600/month</t>
  </si>
  <si>
    <t>Beck Energy</t>
  </si>
  <si>
    <t>Tier 7500 @ 3.51 Bal IFERC -.01</t>
  </si>
  <si>
    <t>B &amp; J DRILLING CO., INC.</t>
  </si>
  <si>
    <t>L &amp; B BLANEY</t>
  </si>
  <si>
    <t>OHIO PARTNERS HINES</t>
  </si>
  <si>
    <t>Dth Rec</t>
  </si>
  <si>
    <t>incl CGAS and SGT</t>
  </si>
  <si>
    <t>TWINOAKS OIL &amp; GAS</t>
  </si>
  <si>
    <t>OILFIELD SERVICES INC.</t>
  </si>
  <si>
    <t xml:space="preserve">IFERC 98% </t>
  </si>
  <si>
    <t>if-.08?</t>
  </si>
  <si>
    <t>C. M. BILLMAN</t>
  </si>
  <si>
    <t>-THE NIEB WELLS</t>
  </si>
  <si>
    <t>NOT Interstate</t>
  </si>
  <si>
    <t>Interstate</t>
  </si>
  <si>
    <t>TEX-HIO - FOUTS</t>
  </si>
  <si>
    <t>AZOG INC.</t>
  </si>
  <si>
    <t>BLUNT RUN GAS CO.</t>
  </si>
  <si>
    <t>GATHERING RATE FOR  CGAS  CHANGED TO  $.32 EFFECTIVE  2/00</t>
  </si>
  <si>
    <t>HOLD</t>
  </si>
  <si>
    <t>100% IF+.03</t>
  </si>
  <si>
    <t>BEAVER VALLEY GAS</t>
  </si>
  <si>
    <t>from AMERICAN ENERGY CORP</t>
  </si>
  <si>
    <t>MFC - RANCH 1 &amp; 2</t>
  </si>
  <si>
    <t>ENNEY-BALES/CLARK, ET AL</t>
  </si>
  <si>
    <t>KEN MOLZ C/O SOUTHLAND SERVICE CO.</t>
  </si>
  <si>
    <t>EMERALD MERSHALL</t>
  </si>
  <si>
    <t>CITATION ENERGY CO.</t>
  </si>
  <si>
    <t>HERCHER/BETHEL</t>
  </si>
  <si>
    <t>RALPH HERCHER</t>
  </si>
  <si>
    <t>MFC - BURCKHART</t>
  </si>
  <si>
    <t>ROGER BURCKHART</t>
  </si>
  <si>
    <t>TRAK - WEBER</t>
  </si>
  <si>
    <t>W.P. BROWN ENTERPRISES</t>
  </si>
  <si>
    <t>WOLF PEN OIL &amp; GAS</t>
  </si>
  <si>
    <t>GEORGETOWN OIL CO.</t>
  </si>
  <si>
    <t>H &amp; R OIL AND GAS</t>
  </si>
  <si>
    <t>H &amp; R OIL &amp; GAS</t>
  </si>
  <si>
    <t>KING DRILLING</t>
  </si>
  <si>
    <t>BRIDGE ELSER</t>
  </si>
  <si>
    <t>CHARLES (CHUCK) CUTTER</t>
  </si>
  <si>
    <t>93% IFERC</t>
  </si>
  <si>
    <t>Tiered</t>
  </si>
  <si>
    <t>Tiered $2.875 Bal IF Flat</t>
  </si>
  <si>
    <t>Tiered $2.50 Bal IF Flat</t>
  </si>
  <si>
    <t>P.P.G. OIL C/O LUDWIG OIL &amp; GAS</t>
  </si>
  <si>
    <t>RANDALL OIL CO.</t>
  </si>
  <si>
    <t>100% IFERC - .02</t>
  </si>
  <si>
    <t>HERALD OIL &amp; GAS CO.</t>
  </si>
  <si>
    <t>I</t>
  </si>
  <si>
    <t>N</t>
  </si>
  <si>
    <t>CAMPBELLS CREEK</t>
  </si>
  <si>
    <t>PRODUCER        FROM</t>
  </si>
  <si>
    <t>TO</t>
  </si>
  <si>
    <t>ALLOCATION</t>
  </si>
  <si>
    <t>POOL MCF</t>
  </si>
  <si>
    <t>POOL DTH</t>
  </si>
  <si>
    <t>STATION</t>
  </si>
  <si>
    <t>NAME</t>
  </si>
  <si>
    <t>NAME            DATE</t>
  </si>
  <si>
    <t>DATE</t>
  </si>
  <si>
    <t>CHARGE</t>
  </si>
  <si>
    <t>METHODOLOGY</t>
  </si>
  <si>
    <t>PORTION</t>
  </si>
  <si>
    <t>-------</t>
  </si>
  <si>
    <t>---------------</t>
  </si>
  <si>
    <t>-----</t>
  </si>
  <si>
    <t>--------------- ----------</t>
  </si>
  <si>
    <t>----------</t>
  </si>
  <si>
    <t>------</t>
  </si>
  <si>
    <t>--------------------</t>
  </si>
  <si>
    <t>-----------</t>
  </si>
  <si>
    <t>TUSTIN &amp; HARMAN</t>
  </si>
  <si>
    <t>TRIO PETROLEUM</t>
  </si>
  <si>
    <t>BONNETT'S PRODU</t>
  </si>
  <si>
    <t>MIKE ROSS</t>
  </si>
  <si>
    <t>FRAME AND LEANY</t>
  </si>
  <si>
    <t>WG BAILEY AGENT</t>
  </si>
  <si>
    <t>COLUMBUS HOBBS</t>
  </si>
  <si>
    <t>JOSEPH E PAULEY</t>
  </si>
  <si>
    <t>R &amp; M OIL &amp; GAS</t>
  </si>
  <si>
    <t>NANAKI</t>
  </si>
  <si>
    <t>BLACK BURN EXPL</t>
  </si>
  <si>
    <t>C I MCKOWN AND</t>
  </si>
  <si>
    <t>TUG FORK DEVEL</t>
  </si>
  <si>
    <t>Hobbs, Columbus</t>
  </si>
  <si>
    <t>Eureka Gas Company</t>
  </si>
  <si>
    <t>Badger Oil &amp; Gas</t>
  </si>
  <si>
    <t>Terminated</t>
  </si>
  <si>
    <t>Pentex Energy</t>
  </si>
  <si>
    <t>H &amp;H Energy (Formerly Lightlizer, Charles)</t>
  </si>
  <si>
    <t>Patricia Cody</t>
  </si>
  <si>
    <t>AT3576601</t>
  </si>
  <si>
    <t>AT3584401</t>
  </si>
  <si>
    <t>AT3587701</t>
  </si>
  <si>
    <t>Burkland, William</t>
  </si>
  <si>
    <t>J M L Oil &amp; Gas Explo</t>
  </si>
  <si>
    <t>Gilbert Exploration</t>
  </si>
  <si>
    <t>Gilbert Imported Hardwoods</t>
  </si>
  <si>
    <t>Grey Eagle Construction</t>
  </si>
  <si>
    <t>Apple Orchard Project</t>
  </si>
  <si>
    <t>Boyd Oil &amp; Gas</t>
  </si>
  <si>
    <t>Bradco Oil Company</t>
  </si>
  <si>
    <t>Cracker Oil &amp; Gas</t>
  </si>
  <si>
    <t>Eastern Energy Corp</t>
  </si>
  <si>
    <t>BLAUSER WELL</t>
  </si>
  <si>
    <t>Eastern Kentucky Oil &amp; Gas</t>
  </si>
  <si>
    <t>Adkins, Franklin</t>
  </si>
  <si>
    <t>Harris, J E</t>
  </si>
  <si>
    <t>Maximum Oil &amp; Gas</t>
  </si>
  <si>
    <t>ROBERTSON-LINGENFELDER/SAGER</t>
  </si>
  <si>
    <t>ROBERTSON-L SMITH</t>
  </si>
  <si>
    <t>ROBERTSON-KECK#1</t>
  </si>
  <si>
    <t>Gas Marketing</t>
  </si>
  <si>
    <t>Walker, Mike</t>
  </si>
  <si>
    <t>Morrell Gas Company</t>
  </si>
  <si>
    <t>1/1/01 to 12/31/01</t>
  </si>
  <si>
    <t>Palmer Gas Company</t>
  </si>
  <si>
    <t>Prather Drilling Company</t>
  </si>
  <si>
    <t>Putnam Natural Gas</t>
  </si>
  <si>
    <t>R E Riley &amp; Company</t>
  </si>
  <si>
    <t>Classic Oil &amp; Gas Resources</t>
  </si>
  <si>
    <t>Riley &amp; Scott Gas Company</t>
  </si>
  <si>
    <t>Roberts &amp; Jenkins</t>
  </si>
  <si>
    <t>Sigma Corporation</t>
  </si>
  <si>
    <t>Energy Group Inc</t>
  </si>
  <si>
    <t>Thomas B. Thompson</t>
  </si>
  <si>
    <t>V J I Natural Resources</t>
  </si>
  <si>
    <t>Mountain Drilling</t>
  </si>
  <si>
    <t>Evan Energy Company</t>
  </si>
  <si>
    <t>McKinley Ray Roberts</t>
  </si>
  <si>
    <t>Equitable Production Co</t>
  </si>
  <si>
    <t>Osborne Oil &amp; Gas</t>
  </si>
  <si>
    <t>Cenestia Energy</t>
  </si>
  <si>
    <t>Clean Gas Inc</t>
  </si>
  <si>
    <t>Tug Fork Development</t>
  </si>
  <si>
    <t>Cut Through Hydrocarbon</t>
  </si>
  <si>
    <t>Justice Land Surveying &amp; Eng</t>
  </si>
  <si>
    <t>L &amp; B Oil &amp; Gas</t>
  </si>
  <si>
    <t>Aries Petroleum Corp</t>
  </si>
  <si>
    <t>TIGER NATURAL GAS</t>
  </si>
  <si>
    <t>Braxton Oil &amp; Gas Corp</t>
  </si>
  <si>
    <t>C I McKown &amp; Sons</t>
  </si>
  <si>
    <t>Frame and Leany Resources</t>
  </si>
  <si>
    <t>H D Wells Oil &amp; Gas Expl</t>
  </si>
  <si>
    <t>Nanaki</t>
  </si>
  <si>
    <t>S &amp; R Gas Ventures</t>
  </si>
  <si>
    <t>W Howard Family</t>
  </si>
  <si>
    <t>William T Lively Trust</t>
  </si>
  <si>
    <t>Status Oil Wells</t>
  </si>
  <si>
    <t>Tiered $3.086 Bal IF</t>
  </si>
  <si>
    <t>xx</t>
  </si>
  <si>
    <t>Charlie Cain Gas</t>
  </si>
  <si>
    <t>Tiered $3.18 Bal IF</t>
  </si>
  <si>
    <t>100% IF + .01</t>
  </si>
  <si>
    <t>Julian Gas Company</t>
  </si>
  <si>
    <t>????</t>
  </si>
  <si>
    <t>Tiered $2.805 Bal IF</t>
  </si>
  <si>
    <t>Tiered $2.635/2.60 Bal IF</t>
  </si>
  <si>
    <t>1500/month</t>
  </si>
  <si>
    <t>100% iferc -.0025</t>
  </si>
  <si>
    <t>Shipley, Pat</t>
  </si>
  <si>
    <t>BOYD &amp; SHRIVER</t>
  </si>
  <si>
    <t>AT3584101</t>
  </si>
  <si>
    <t>GAINS PERRY</t>
  </si>
  <si>
    <t>AT3584201</t>
  </si>
  <si>
    <t>RPH208506</t>
  </si>
  <si>
    <t>11/1/00 to 05/31/01</t>
  </si>
  <si>
    <t>CUTTER OIL</t>
  </si>
  <si>
    <t>KAY D. BARNHART</t>
  </si>
  <si>
    <t>BORTZ CORPORATI</t>
  </si>
  <si>
    <t>ELMS BROS&amp; CO</t>
  </si>
  <si>
    <t>ROY BERNCRAWFO</t>
  </si>
  <si>
    <t>VERN SHUMAKER</t>
  </si>
  <si>
    <t>FINLEASE</t>
  </si>
  <si>
    <t>JOSEPH DUNN</t>
  </si>
  <si>
    <t>HAROLD GOAL</t>
  </si>
  <si>
    <t>T J HOLLOBAUGH</t>
  </si>
  <si>
    <t>KAIB ANDKAIB</t>
  </si>
  <si>
    <t>GREENE COG&amp;O</t>
  </si>
  <si>
    <t>R &amp; R GAS</t>
  </si>
  <si>
    <t>R B ROBERTSON</t>
  </si>
  <si>
    <t>HRUTKAY</t>
  </si>
  <si>
    <t>12/01/00-3/31/2001</t>
  </si>
  <si>
    <t>J C BAKER</t>
  </si>
  <si>
    <t>KRIEBEL GAS</t>
  </si>
  <si>
    <t>PAID ON</t>
  </si>
  <si>
    <t>CURRENT MONTH</t>
  </si>
  <si>
    <t>ON</t>
  </si>
  <si>
    <t>CURRENT</t>
  </si>
  <si>
    <t>MONTH</t>
  </si>
  <si>
    <t>BASIS</t>
  </si>
  <si>
    <t>Formerly Rhea</t>
  </si>
  <si>
    <t>CARL RHODES</t>
  </si>
  <si>
    <t>POWDER MILL GAS</t>
  </si>
  <si>
    <t>DEVONIANRESOUR</t>
  </si>
  <si>
    <t>BRAXTON OIL</t>
  </si>
  <si>
    <t>JAMES E BRUMAGE</t>
  </si>
  <si>
    <t>ALPHA WELLS</t>
  </si>
  <si>
    <t>LONG II</t>
  </si>
  <si>
    <t>Lyle V. Smith(Formerly Carol Littleton)</t>
  </si>
  <si>
    <t>AT4132101</t>
  </si>
  <si>
    <t>COMMONWEALTH ENERGY COMPANY</t>
  </si>
  <si>
    <t>AT4132201</t>
  </si>
  <si>
    <t>AT4134301</t>
  </si>
  <si>
    <t>AT4137901</t>
  </si>
  <si>
    <t>AT4235001</t>
  </si>
  <si>
    <t>AT4281001</t>
  </si>
  <si>
    <t>ELVIS ENERGY</t>
  </si>
  <si>
    <t>BUCKEYE FRANKLIN</t>
  </si>
  <si>
    <t>G &amp; G GASINC</t>
  </si>
  <si>
    <t>WILMOUTHINC</t>
  </si>
  <si>
    <t>ARLINGTONEXPLO</t>
  </si>
  <si>
    <t>NORTH COAST ENE</t>
  </si>
  <si>
    <t>KECK GASCO.</t>
  </si>
  <si>
    <t>FLOYD F DRAKE</t>
  </si>
  <si>
    <t>JOHN WILLIAMS O</t>
  </si>
  <si>
    <t>GREEN GASCO</t>
  </si>
  <si>
    <t>LAKE REGION OIL</t>
  </si>
  <si>
    <t>TIGER OILINC</t>
  </si>
  <si>
    <t>DARROL BYERS</t>
  </si>
  <si>
    <t>PRODUCERS</t>
  </si>
  <si>
    <t>CITATIONENERGY</t>
  </si>
  <si>
    <t>R A MILLER EN</t>
  </si>
  <si>
    <t>HALWELL COMPANY</t>
  </si>
  <si>
    <t>KILLBUCKOIL</t>
  </si>
  <si>
    <t>ELKHEAD GAS &amp; O</t>
  </si>
  <si>
    <t>MURPHY OIL</t>
  </si>
  <si>
    <t>DICKINSONO&amp;G</t>
  </si>
  <si>
    <t>Payne Gas Co</t>
  </si>
  <si>
    <t>MANUAL FAX FROM HEIDI</t>
  </si>
  <si>
    <t>MADDEN VENTURES</t>
  </si>
  <si>
    <t>MFC DRILLING</t>
  </si>
  <si>
    <t>PAUL S FLEEMAN</t>
  </si>
  <si>
    <t>ORR PETROLEUM</t>
  </si>
  <si>
    <t>WM OIL AND GAS</t>
  </si>
  <si>
    <t>BIJOE DEVELOPME</t>
  </si>
  <si>
    <t>WAYNE PAE</t>
  </si>
  <si>
    <t>PRODUCERGAS</t>
  </si>
  <si>
    <t>WOLF PENO&amp;G</t>
  </si>
  <si>
    <t>CARTER O&amp;G INC</t>
  </si>
  <si>
    <t>COBRA O&amp;GCORP</t>
  </si>
  <si>
    <t>KILBARGERCONST</t>
  </si>
  <si>
    <t>OXFORD OIL CO.</t>
  </si>
  <si>
    <t>JEFFERSONGAS</t>
  </si>
  <si>
    <t>DRI OPERATING</t>
  </si>
  <si>
    <t>PENN VA.OIL &amp;</t>
  </si>
  <si>
    <t>EPI, INC.</t>
  </si>
  <si>
    <t>MAGNUM DRILLING</t>
  </si>
  <si>
    <t>EXXO RESOURCES</t>
  </si>
  <si>
    <t>EVAN ENERGY</t>
  </si>
  <si>
    <t>ENERGY GROUP</t>
  </si>
  <si>
    <t>H &amp; H ENERGY</t>
  </si>
  <si>
    <t>CUT THROUGH</t>
  </si>
  <si>
    <t>Pay Agent</t>
  </si>
  <si>
    <t>Tier 2.91 Bal IF</t>
  </si>
  <si>
    <t>2Teir 2.148/2.48 Bal IF</t>
  </si>
  <si>
    <t>100% IFERC + .01</t>
  </si>
  <si>
    <t>100% IF Tco</t>
  </si>
  <si>
    <t>F R BARTOE-CODY</t>
  </si>
  <si>
    <t>BORTZ GEORGE H TASSONE</t>
  </si>
  <si>
    <t>BORT CORP KELLY</t>
  </si>
  <si>
    <t>ELMS BROTHERS SCOTT</t>
  </si>
  <si>
    <t>AT4374001</t>
  </si>
  <si>
    <t>R B CRAWFORD RUSSELL</t>
  </si>
  <si>
    <t>DEITZ DEINER</t>
  </si>
  <si>
    <t>VICTOR GAS CARTER</t>
  </si>
  <si>
    <t>EASTERN DRILLING-DUNLEVY</t>
  </si>
  <si>
    <t>FORDYCE-WILSON</t>
  </si>
  <si>
    <t>GALEY</t>
  </si>
  <si>
    <t>GOAL DRILLING KEEFER</t>
  </si>
  <si>
    <t>O HOLLOBAUGH HOLLOBAUGH</t>
  </si>
  <si>
    <t>HOSTOFFER &amp; BORTZ</t>
  </si>
  <si>
    <t>KAIB - MOORE &amp; DEEMER</t>
  </si>
  <si>
    <t>KAIB - KING</t>
  </si>
  <si>
    <t>KAIB - MAYES</t>
  </si>
  <si>
    <t>KEYSTONE GAS CO. CORAZZI</t>
  </si>
  <si>
    <t>KEYSTONE GAS-MCKEE</t>
  </si>
  <si>
    <t>HOWARD MARCUS TAYLOR LEASE</t>
  </si>
  <si>
    <t>RHEA OIL &amp; GAS CO. CHANDLER</t>
  </si>
  <si>
    <t>W G SHANER POLLIARD</t>
  </si>
  <si>
    <t>W M SHANER COPENHAVER</t>
  </si>
  <si>
    <t>W M SHANER A WELLS</t>
  </si>
  <si>
    <t>R R WALKER-MCANALLEN</t>
  </si>
  <si>
    <t>A.K. WISE MITCHEL</t>
  </si>
  <si>
    <t>L &amp; M OIL &amp; GAS FRED SNIDER</t>
  </si>
  <si>
    <t>L &amp; M OIL &amp; GAS MAIN</t>
  </si>
  <si>
    <t>J LAVELLE TEAGARDEN LEASE</t>
  </si>
  <si>
    <t>J.C. BAKER BAKER #1</t>
  </si>
  <si>
    <t>J.C. BAKER WERLEY</t>
  </si>
  <si>
    <t>BARRON &amp; KIDD - RADA BAUGH</t>
  </si>
  <si>
    <t>COMMONWEALTH-TURNER</t>
  </si>
  <si>
    <t>JOE F SHERMAN HILLARD</t>
  </si>
  <si>
    <t>KEWANEE OIL &amp; GAS WOOFTER</t>
  </si>
  <si>
    <t>LEWENTHAL/MANN - UPLINGER</t>
  </si>
  <si>
    <t>MIDDLE FORK GAS O'BRIEN</t>
  </si>
  <si>
    <t>G &amp; G GAS/GOURLEY</t>
  </si>
  <si>
    <t>BRAXTON OIL &amp; GAS MOSS</t>
  </si>
  <si>
    <t>EVERGREEN RESOURCES, INC.</t>
  </si>
  <si>
    <t>LONG ASSOC II LAWRENCE BOBAL</t>
  </si>
  <si>
    <t>LONG II WAYNE HIMES</t>
  </si>
  <si>
    <t>BRAXTON OIL &amp; GAS CORP. GILLOLY</t>
  </si>
  <si>
    <t>BRAXTON OIL &amp; GAS CORP. TENNEY</t>
  </si>
  <si>
    <t>BRAXTON OIL &amp; GAS CORP. PREISSE</t>
  </si>
  <si>
    <t>GASTRANS PIPELINE PARAMOUNT #1</t>
  </si>
  <si>
    <t>BRAXTON OIL &amp; GAS CORP. MALM</t>
  </si>
  <si>
    <t>No Gath?</t>
  </si>
  <si>
    <t>BRAXTON OIL &amp; GAS CORP.-DOVE #1</t>
  </si>
  <si>
    <t>Interstate Natural Gas</t>
  </si>
  <si>
    <t>Cherokee</t>
  </si>
  <si>
    <t>BRAXTON OIL &amp; GAS CORP.- DIAL #1</t>
  </si>
  <si>
    <t>BRAXTON OIL &amp; GAS - MADDEN</t>
  </si>
  <si>
    <t>BRAXTON OIL - BENNETT</t>
  </si>
  <si>
    <t>GOURLEY OCHS BROTHERS</t>
  </si>
  <si>
    <t>BRAXTON OIL AND GAS - STEWART</t>
  </si>
  <si>
    <t>BRAXTON-DAIL #2</t>
  </si>
  <si>
    <t>BRAXTON-DAIL #3</t>
  </si>
  <si>
    <t>BRAXTON-BENNETT #2</t>
  </si>
  <si>
    <t>RHEA - L. SUMMERVILLE</t>
  </si>
  <si>
    <t>HEFFNER BROS.</t>
  </si>
  <si>
    <t>2.79 till 03/01</t>
  </si>
  <si>
    <t>Tier 5.80- old 98% IFERC</t>
  </si>
  <si>
    <t xml:space="preserve">Tier 5.80 </t>
  </si>
  <si>
    <t>ROBERTSON - ART FORREST</t>
  </si>
  <si>
    <t>SPEERS - WIANT</t>
  </si>
  <si>
    <t>R.B. ROBERTSON &amp; SONH</t>
  </si>
  <si>
    <t>MARKLEY #1</t>
  </si>
  <si>
    <t>ROSS - SEDALIA</t>
  </si>
  <si>
    <t>W. JOE #1 &amp; #2</t>
  </si>
  <si>
    <t>CLARENCE YEATER #2</t>
  </si>
  <si>
    <t>HARRIS STATION</t>
  </si>
  <si>
    <t>KATCHMARK</t>
  </si>
  <si>
    <t>KNOX 8 WELLS</t>
  </si>
  <si>
    <t>Contract ends 1-1-02</t>
  </si>
  <si>
    <t>TCO  KNOX STORAGE OUTLET</t>
  </si>
  <si>
    <t>KING-MC FREDRICK</t>
  </si>
  <si>
    <t>FIELDS MCCURDY</t>
  </si>
  <si>
    <t>CLYMER KILE (LOWELL)</t>
  </si>
  <si>
    <t>PATTEN LING</t>
  </si>
  <si>
    <t>CLYMER-FRITSCHE</t>
  </si>
  <si>
    <t>KNOX FIELD 3 WELLS OUTPUT</t>
  </si>
  <si>
    <t>SOUTHERN SHERBY</t>
  </si>
  <si>
    <t>SOUTHERN BROWN</t>
  </si>
  <si>
    <t>SOUTHERN ASSOCIATION</t>
  </si>
  <si>
    <t>LIGHTHIZER MILLER</t>
  </si>
  <si>
    <t>WILLIAMS-BERLIN</t>
  </si>
  <si>
    <t>HILL - STALL</t>
  </si>
  <si>
    <t>BUCKEYE - HIPP STEIMEL</t>
  </si>
  <si>
    <t>Triple C</t>
  </si>
  <si>
    <t>Cedar Resources</t>
  </si>
  <si>
    <t>Tier</t>
  </si>
  <si>
    <t>SOUTHERN TRIANGLE - PARSONS</t>
  </si>
  <si>
    <t>HILL - CULLEN</t>
  </si>
  <si>
    <t>KENOIL-WACHTEL</t>
  </si>
  <si>
    <t>BUCKEYE - MCGRADY #2</t>
  </si>
  <si>
    <t>TRANS-WILL #2</t>
  </si>
  <si>
    <t>CG&amp;E AMERICAN ENERGY S/H #6</t>
  </si>
  <si>
    <t>BARTLO - WELLS</t>
  </si>
  <si>
    <t>KERN DENNING</t>
  </si>
  <si>
    <t>LIGHTHIZER - ANDERSON S/H</t>
  </si>
  <si>
    <t>GEO ENERGY RES MOSSHOLDER</t>
  </si>
  <si>
    <t>KENOIL-NEDOMA</t>
  </si>
  <si>
    <t>DISCOVERY SWARTZ</t>
  </si>
  <si>
    <t>EMERALD BARNES</t>
  </si>
  <si>
    <t>DIXIE CARROLL</t>
  </si>
  <si>
    <t>BANDS CASTLE NURSING</t>
  </si>
  <si>
    <t>ATWOOD - SHENERWOOD</t>
  </si>
  <si>
    <t>NOLL - READING</t>
  </si>
  <si>
    <t>CLINTON SANDS NATURAL RESOURCES</t>
  </si>
  <si>
    <t>L R O RABER</t>
  </si>
  <si>
    <t>KENOIL-CARPENTER</t>
  </si>
  <si>
    <t>CUYAHOGA HENDERSHOT</t>
  </si>
  <si>
    <t>12/1/99 to 11/30/01</t>
  </si>
  <si>
    <t>confrimed w/Heidi 02/26/01</t>
  </si>
  <si>
    <t>OHIO FASIG</t>
  </si>
  <si>
    <t>MADDEN, DAVID WHEATON</t>
  </si>
  <si>
    <t>L.R.O. BARKMAN</t>
  </si>
  <si>
    <t>PARKSIDE KRATGER</t>
  </si>
  <si>
    <t>OGM SKELLY #1</t>
  </si>
  <si>
    <t>LRO BOWMAN #1</t>
  </si>
  <si>
    <t>H FLEEMAN</t>
  </si>
  <si>
    <t>BAXTER #1</t>
  </si>
  <si>
    <t>VIKING MASTER</t>
  </si>
  <si>
    <t>MFC-EAGLE #1</t>
  </si>
  <si>
    <t>AMERICAN PETROEL/BROWN</t>
  </si>
  <si>
    <t>VIKING JOY NORTH</t>
  </si>
  <si>
    <t>OXFORD L. FULTON</t>
  </si>
  <si>
    <t>KENOIL - DONALD BOWDEN #1</t>
  </si>
  <si>
    <t>MFC-WINLAND UNIT</t>
  </si>
  <si>
    <t>STOCKER &amp; BYRD UNIT #1</t>
  </si>
  <si>
    <t>MFC Windland</t>
  </si>
  <si>
    <t>KILBARGER WELLS</t>
  </si>
  <si>
    <t>HOLMES COUNTY #1</t>
  </si>
  <si>
    <t>to Charity Gas 8/1</t>
  </si>
  <si>
    <t xml:space="preserve">KENNY ROBERTS DBA                  </t>
  </si>
  <si>
    <t xml:space="preserve">PATRICIA H.                        </t>
  </si>
  <si>
    <t xml:space="preserve">C. FRED                            </t>
  </si>
  <si>
    <t xml:space="preserve">CHARLES H                          </t>
  </si>
  <si>
    <t xml:space="preserve">CHRISTINE A                        </t>
  </si>
  <si>
    <t xml:space="preserve">G L                                </t>
  </si>
  <si>
    <t xml:space="preserve">HARRY S                            </t>
  </si>
  <si>
    <t xml:space="preserve">BLACKBURN                          </t>
  </si>
  <si>
    <t xml:space="preserve">J D                                </t>
  </si>
  <si>
    <t xml:space="preserve">J E                                </t>
  </si>
  <si>
    <t xml:space="preserve">CAROL                              </t>
  </si>
  <si>
    <t xml:space="preserve">MIKE                               </t>
  </si>
  <si>
    <t xml:space="preserve">THOMAS B.                          </t>
  </si>
  <si>
    <t xml:space="preserve">MCKINLEY RAY                       </t>
  </si>
  <si>
    <t xml:space="preserve">CV                                 </t>
  </si>
  <si>
    <t xml:space="preserve">BETTY                              </t>
  </si>
  <si>
    <t xml:space="preserve">W HOWARD                           </t>
  </si>
  <si>
    <t xml:space="preserve">WILLIAM T                          </t>
  </si>
  <si>
    <t>J D BLACKBURN</t>
  </si>
  <si>
    <t xml:space="preserve">  95% CGAS</t>
  </si>
  <si>
    <t>EOC-ML</t>
  </si>
  <si>
    <t>Ret %</t>
  </si>
  <si>
    <t>GathFuel</t>
  </si>
  <si>
    <t>GathSvc</t>
  </si>
  <si>
    <t>ExtrFuel</t>
  </si>
  <si>
    <t>ExtrSvc</t>
  </si>
  <si>
    <t>DT001SGW</t>
  </si>
  <si>
    <t>DT001STW</t>
  </si>
  <si>
    <t>DT001SGD</t>
  </si>
  <si>
    <t>DT001STD</t>
  </si>
  <si>
    <t>DT001NGD</t>
  </si>
  <si>
    <t>AT1062901</t>
  </si>
  <si>
    <t>ENERGY DEVELOPMENT CORPORATION</t>
  </si>
  <si>
    <t>CHESTERFIELD</t>
  </si>
  <si>
    <t>AT1063001</t>
  </si>
  <si>
    <t>AT2151401</t>
  </si>
  <si>
    <t>RP1136105</t>
  </si>
  <si>
    <t>RP1136108</t>
  </si>
  <si>
    <t>AT3425601</t>
  </si>
  <si>
    <t>RP1154523</t>
  </si>
  <si>
    <t>RP1154535</t>
  </si>
  <si>
    <t>RP1172201</t>
  </si>
  <si>
    <t>RP1200615</t>
  </si>
  <si>
    <t>RPH218301</t>
  </si>
  <si>
    <t>RP1185601</t>
  </si>
  <si>
    <t>WILLOW BEND OPERATING CO INC</t>
  </si>
  <si>
    <t>RP1185604</t>
  </si>
  <si>
    <t>NORTHWOOD - SHRIVER</t>
  </si>
  <si>
    <t>LIGHTHIZER - HOOPER</t>
  </si>
  <si>
    <t>MADISON CONSOL MASTER</t>
  </si>
  <si>
    <t>PARADISE #1</t>
  </si>
  <si>
    <t>COBRA - WADE</t>
  </si>
  <si>
    <t>KILBARGE</t>
  </si>
  <si>
    <t>Kilbarger  #4</t>
  </si>
  <si>
    <t>HAMME #1</t>
  </si>
  <si>
    <t>KILBARGER  #5</t>
  </si>
  <si>
    <t>POCA FORK OIL &amp; GAS</t>
  </si>
  <si>
    <t>TUPPERS CREEK GAS</t>
  </si>
  <si>
    <t>INDIAN CREEK GAS COMPANY</t>
  </si>
  <si>
    <t>COOPERS CK.KANTRAN GAS</t>
  </si>
  <si>
    <t>BETHLEHEM MINES CORPORATION</t>
  </si>
  <si>
    <t>W G BAILEY TRUSTEE</t>
  </si>
  <si>
    <t>CAMPBELLS CREEK GAS COMPANY</t>
  </si>
  <si>
    <t>THOMAS COFFMAN INC YOUNG</t>
  </si>
  <si>
    <t>ok 9/10/01</t>
  </si>
  <si>
    <t xml:space="preserve">COLUMBUS HOBBS                     </t>
  </si>
  <si>
    <t xml:space="preserve">EUREKA GAS COMPANY                 </t>
  </si>
  <si>
    <t xml:space="preserve">BADGER OIL AND GAS CO INC          </t>
  </si>
  <si>
    <t xml:space="preserve">GERONIMO ENERGY                    </t>
  </si>
  <si>
    <t xml:space="preserve">CODY                               </t>
  </si>
  <si>
    <t xml:space="preserve">JML OIL &amp; GAS EXPLORATION          </t>
  </si>
  <si>
    <t xml:space="preserve">GILBERT EXPLORATION INC.           </t>
  </si>
  <si>
    <t xml:space="preserve">GILBERT IMPORTED HARDWOODS         </t>
  </si>
  <si>
    <t xml:space="preserve">GREY EAGLE CONSTRUCTION            </t>
  </si>
  <si>
    <t xml:space="preserve">APPLE ORCHARD PROJECT              </t>
  </si>
  <si>
    <t xml:space="preserve">BILL AND JESSIE INC                </t>
  </si>
  <si>
    <t xml:space="preserve">BOYD OIL AND GAS INC.              </t>
  </si>
  <si>
    <t xml:space="preserve">BRADCO OIL COMPANY                 </t>
  </si>
  <si>
    <t xml:space="preserve">SHEWEY                             </t>
  </si>
  <si>
    <t xml:space="preserve">MENG                               </t>
  </si>
  <si>
    <t xml:space="preserve">CHARLEY CAIN GAS                   </t>
  </si>
  <si>
    <t xml:space="preserve">COVE GAS COMPANY                   </t>
  </si>
  <si>
    <t xml:space="preserve">CRACKER OIL AND GAS COMPANY        </t>
  </si>
  <si>
    <t xml:space="preserve">D. G. HANEY INC.                   </t>
  </si>
  <si>
    <t xml:space="preserve">DIXON OIL AND GAS CO.              </t>
  </si>
  <si>
    <t xml:space="preserve">EASTERN ENERGY CORP.               </t>
  </si>
  <si>
    <t xml:space="preserve">EASTERN KENTUCKY OIL &amp; GAS, INC.   </t>
  </si>
  <si>
    <t xml:space="preserve">ELKINS GAS COMPANY                 </t>
  </si>
  <si>
    <t xml:space="preserve">MEABON                             </t>
  </si>
  <si>
    <t xml:space="preserve">GEOEX                              </t>
  </si>
  <si>
    <t xml:space="preserve">ROBERTS                            </t>
  </si>
  <si>
    <t xml:space="preserve">HARRIS                             </t>
  </si>
  <si>
    <t xml:space="preserve">LITTLETON, EXECUTRIX               </t>
  </si>
  <si>
    <t xml:space="preserve">MAXIMUM OIL AND GAS INC.           </t>
  </si>
  <si>
    <t xml:space="preserve">WALKER                             </t>
  </si>
  <si>
    <t xml:space="preserve">MORRELL GAS COMPANY                </t>
  </si>
  <si>
    <t xml:space="preserve">NINE MILE OIL AND GAS COMPANY      </t>
  </si>
  <si>
    <t xml:space="preserve">PALMER GAS CO.                     </t>
  </si>
  <si>
    <t xml:space="preserve">PRATHER DRILLING COMPANY           </t>
  </si>
  <si>
    <t xml:space="preserve">PUTNAM NATURAL GAS CO.  INC.       </t>
  </si>
  <si>
    <t xml:space="preserve">R E RILEY &amp; COMPANY                </t>
  </si>
  <si>
    <t xml:space="preserve">ENERGY DEVELOPMENT CORPORATION     </t>
  </si>
  <si>
    <t xml:space="preserve">RILEY &amp; SCOTT GAS COMPANY          </t>
  </si>
  <si>
    <t xml:space="preserve">ROBERTS &amp; JENKINS                  </t>
  </si>
  <si>
    <t xml:space="preserve">SIGMA CORPORATION                  </t>
  </si>
  <si>
    <t xml:space="preserve">ENERGY GROUP INC.                  </t>
  </si>
  <si>
    <t xml:space="preserve">THOMPSON                           </t>
  </si>
  <si>
    <t xml:space="preserve">VJI NATURAL RESOURCES              </t>
  </si>
  <si>
    <t xml:space="preserve">BREWER NATURAL GAS LLC             </t>
  </si>
  <si>
    <t xml:space="preserve">MOUNTAIN DRILLING                  </t>
  </si>
  <si>
    <t xml:space="preserve">EVAN ENERGY COMPANY                </t>
  </si>
  <si>
    <t xml:space="preserve">EQUITABLE PRODUCTION CO            </t>
  </si>
  <si>
    <t xml:space="preserve">JULIAN GAS COMPANY                 </t>
  </si>
  <si>
    <t xml:space="preserve">WATERS                             </t>
  </si>
  <si>
    <t xml:space="preserve">PINE MOUNTAIN OIL AND GAS INC      </t>
  </si>
  <si>
    <t>EES</t>
  </si>
  <si>
    <t xml:space="preserve">CLEAN GAS INC.                     </t>
  </si>
  <si>
    <t xml:space="preserve">TUG FORK DEVELOPMENT               </t>
  </si>
  <si>
    <t xml:space="preserve">CUTTHROUGH HYDROCARBON             </t>
  </si>
  <si>
    <t xml:space="preserve">COMMONWEALTH ENERGY INC.           </t>
  </si>
  <si>
    <t xml:space="preserve">JUSTICE LAND SURVEYING &amp; ENG INC   </t>
  </si>
  <si>
    <t xml:space="preserve">L &amp; B OIL &amp; GAS INC.               </t>
  </si>
  <si>
    <t>PARKSIDE - RICKETTS STAHL</t>
  </si>
  <si>
    <t xml:space="preserve">ARIES PETROLEUM CORPORATION        </t>
  </si>
  <si>
    <t xml:space="preserve">QUICK                              </t>
  </si>
  <si>
    <t xml:space="preserve">BRAXTON OIL &amp; GAS CORPORATION      </t>
  </si>
  <si>
    <t xml:space="preserve">C I MCKOWN &amp; SON INC               </t>
  </si>
  <si>
    <t xml:space="preserve">M &amp; A WELL SERVICE INC             </t>
  </si>
  <si>
    <t xml:space="preserve">FRAME AND LEANY RESOURCES          </t>
  </si>
  <si>
    <t xml:space="preserve">JCR PETROLEUM INC.                 </t>
  </si>
  <si>
    <t xml:space="preserve">PENTEX ENERGY INC                  </t>
  </si>
  <si>
    <t xml:space="preserve">S &amp; R GAS VENTURES                 </t>
  </si>
  <si>
    <t xml:space="preserve">CENTRAL PACIFIC GROUP INC          </t>
  </si>
  <si>
    <t xml:space="preserve">TAYLOR FAMILY                      </t>
  </si>
  <si>
    <t xml:space="preserve">LIVELY JR                          </t>
  </si>
  <si>
    <t xml:space="preserve">STATUS OIL WELLS                   </t>
  </si>
  <si>
    <t>Name</t>
  </si>
  <si>
    <t>Pentex  _NOT PENTEX</t>
  </si>
  <si>
    <t>DBA</t>
  </si>
  <si>
    <t>GET FROM INVOCE</t>
  </si>
  <si>
    <t>CENTRAL PACIFIC GROUP SNYDER</t>
  </si>
  <si>
    <t>HUNT - PICKLESIMER</t>
  </si>
  <si>
    <t>DORAN-RAINES #1</t>
  </si>
  <si>
    <t>MENG/AL KIRK</t>
  </si>
  <si>
    <t>LURAY - FOSTER MAYS #1</t>
  </si>
  <si>
    <t>confirmed 10/1</t>
  </si>
  <si>
    <t>BRADLEY-WADDELL</t>
  </si>
  <si>
    <t>EPI-VARIOUS</t>
  </si>
  <si>
    <t>WILLIAMS - NANAKI #1</t>
  </si>
  <si>
    <t>MCKOWN - J B YOAK LEASE</t>
  </si>
  <si>
    <t>SMITH HEIRS</t>
  </si>
  <si>
    <t>BLACK BURN - BCLC</t>
  </si>
  <si>
    <t>GEOEX - GOODMAN</t>
  </si>
  <si>
    <t>collar 5.00-6.60</t>
  </si>
  <si>
    <t>Change Each Month</t>
  </si>
  <si>
    <t>TUG FORK - GOBLE</t>
  </si>
  <si>
    <t>JUSTICE #2</t>
  </si>
  <si>
    <t>EXXO-KIDD FORK</t>
  </si>
  <si>
    <t>ELISHA OWENS</t>
  </si>
  <si>
    <t>K-713 WELL</t>
  </si>
  <si>
    <t>COTIGA - MILLER CREEK</t>
  </si>
  <si>
    <t>GEOEX</t>
  </si>
  <si>
    <t>THE ENERGY GROUP</t>
  </si>
  <si>
    <t>H &amp; H ENERGY #1</t>
  </si>
  <si>
    <t>POOLE</t>
  </si>
  <si>
    <t>BOON'S CAMP</t>
  </si>
  <si>
    <t>Cut-Thru Sam's Branch</t>
  </si>
  <si>
    <t>ELMS BROS &amp; CO</t>
  </si>
  <si>
    <t>ROY BERN CRAWFO</t>
  </si>
  <si>
    <t>CONNELLEY, R&amp;L</t>
  </si>
  <si>
    <t>KAIB AND KAIB</t>
  </si>
  <si>
    <t>GREENE CO G&amp;O</t>
  </si>
  <si>
    <t>FLORA K WOLFE</t>
  </si>
  <si>
    <t>MAPLE GROVE</t>
  </si>
  <si>
    <t>MCCALL OIL &amp; GA</t>
  </si>
  <si>
    <t>CE &amp; JM HORNER</t>
  </si>
  <si>
    <t>CARDINAL NATURA</t>
  </si>
  <si>
    <t>COMMONWLTH ENER</t>
  </si>
  <si>
    <t>OBRIEN  NANCY</t>
  </si>
  <si>
    <t>ARLINGTON EXPLO</t>
  </si>
  <si>
    <t>KECK GAS CO.</t>
  </si>
  <si>
    <t>HORNER'S O&amp;G</t>
  </si>
  <si>
    <t>G&amp;O PIPE SUPPLY</t>
  </si>
  <si>
    <t>LONESTAR PETROL</t>
  </si>
  <si>
    <t>W H PATTEN DRLG</t>
  </si>
  <si>
    <t>SOUTHERN TRIANG</t>
  </si>
  <si>
    <t>CHARLES O LIGH</t>
  </si>
  <si>
    <t>EDWARD W GOEHLE</t>
  </si>
  <si>
    <t>G &amp; O RESOURCES</t>
  </si>
  <si>
    <t>CITATION ENERGY</t>
  </si>
  <si>
    <t>DAVID CARROLL</t>
  </si>
  <si>
    <t>DONALD E. WOOD</t>
  </si>
  <si>
    <t>N &amp; N OIL COMPA</t>
  </si>
  <si>
    <t>DICKINSON O&amp;G</t>
  </si>
  <si>
    <t>HUBBARD</t>
  </si>
  <si>
    <t>GREEN GAS CO</t>
  </si>
  <si>
    <t>BRONCO B LEASIN</t>
  </si>
  <si>
    <t>VIKING RESOURCE</t>
  </si>
  <si>
    <t>DEER OIL &amp; GAS</t>
  </si>
  <si>
    <t>KAPLAN INTEREST</t>
  </si>
  <si>
    <t>MFC DRILL MEDIN</t>
  </si>
  <si>
    <t>MARTIN TWIST ENERGY</t>
  </si>
  <si>
    <t>Martin Twist Energy Co LLC</t>
  </si>
  <si>
    <t>STOCKER &amp; SITLE</t>
  </si>
  <si>
    <t>KILBARGER CONST</t>
  </si>
  <si>
    <t>PRODUCER GAS</t>
  </si>
  <si>
    <t>ENNEY OILFIELD</t>
  </si>
  <si>
    <t>NORTHWOOD ENERG</t>
  </si>
  <si>
    <t>COBRA O&amp;G CORP</t>
  </si>
  <si>
    <t>DUPKE OIL CO</t>
  </si>
  <si>
    <t>GLOVER OILFIELD</t>
  </si>
  <si>
    <t>JENKINS &amp; ARCHE</t>
  </si>
  <si>
    <t>P &amp; C O&amp;G INC</t>
  </si>
  <si>
    <t>ALLIANCE RESOUR</t>
  </si>
  <si>
    <t>CHARLES H MENG</t>
  </si>
  <si>
    <t>COTIGA DEVELOPM</t>
  </si>
  <si>
    <t>Y</t>
  </si>
  <si>
    <t>AT4371201</t>
  </si>
  <si>
    <t>AT001MA</t>
  </si>
  <si>
    <t>QA001MA</t>
  </si>
  <si>
    <t>ENRON CAPITAL &amp; TRADE RESOURCES</t>
  </si>
  <si>
    <t>Drilling Appalachian Corp</t>
  </si>
  <si>
    <t>CENTURY (fmr Triad same price)</t>
  </si>
  <si>
    <t>Boyd &amp; Shriver</t>
  </si>
  <si>
    <t>Tier 2.77 Bal IF</t>
  </si>
  <si>
    <t>DONALD W DEITZ</t>
  </si>
  <si>
    <t>Tier 2.18 Bal IF</t>
  </si>
  <si>
    <t>Tiered 3.06/3.00</t>
  </si>
  <si>
    <t>00619</t>
  </si>
  <si>
    <t>Tiered 2.30 Bal IF</t>
  </si>
  <si>
    <t>ROY A MILLER EN</t>
  </si>
  <si>
    <t>4/1/00 to 12/31/01</t>
  </si>
  <si>
    <t>Tiered 2.875 Bal IF</t>
  </si>
  <si>
    <t>100% IFERC-.02</t>
  </si>
  <si>
    <t>MARY JANE ENERG</t>
  </si>
  <si>
    <t>Tiered 2.635/2.60</t>
  </si>
  <si>
    <r>
      <t>1000/ month @</t>
    </r>
    <r>
      <rPr>
        <b/>
        <sz val="10"/>
        <rFont val="Arial"/>
        <family val="2"/>
      </rPr>
      <t xml:space="preserve"> </t>
    </r>
  </si>
  <si>
    <t>11/1/99 to 10/31/00</t>
  </si>
  <si>
    <t>King Drilling</t>
  </si>
  <si>
    <t>1/1/00 to 3/31/00</t>
  </si>
  <si>
    <t>KLJ Inc</t>
  </si>
  <si>
    <t>Tiered $2.51 Bal IF Flat</t>
  </si>
  <si>
    <t>Reliance Energy</t>
  </si>
  <si>
    <t>Carter Oil &amp; Gas</t>
  </si>
  <si>
    <t>Castle Gas Company</t>
  </si>
  <si>
    <t>w/Ohio</t>
  </si>
  <si>
    <t>Ohio</t>
  </si>
  <si>
    <t>EdFund</t>
  </si>
  <si>
    <t>Mike Ross</t>
  </si>
  <si>
    <t>RELIANCE ENERGY INC</t>
  </si>
  <si>
    <t>LEONARD HALL</t>
  </si>
  <si>
    <t>C E Richner</t>
  </si>
  <si>
    <t>Cutter Oil Company</t>
  </si>
  <si>
    <t>6000/month</t>
  </si>
  <si>
    <t>EPI Inc</t>
  </si>
  <si>
    <t>Kilbarger Construction</t>
  </si>
  <si>
    <t>1500/DAY</t>
  </si>
  <si>
    <t>Oilfield Services</t>
  </si>
  <si>
    <t>ENERGY CONTRACTORS</t>
  </si>
  <si>
    <t>Triple C Oil &amp; Gas</t>
  </si>
  <si>
    <t>Washington Energy Company</t>
  </si>
  <si>
    <t>Thomas A. Leeper</t>
  </si>
  <si>
    <t>Ochs Bros</t>
  </si>
  <si>
    <t>Maple Grove Enterprises</t>
  </si>
  <si>
    <t>90% IFERC</t>
  </si>
  <si>
    <t>11/1/00-10/31/01</t>
  </si>
  <si>
    <t>Jefferson Gas Transmission Company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</si>
</sst>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1"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.0000_);_(&quot;$&quot;* \(#,##0.0000\);_(&quot;$&quot;* &quot;-&quot;??_);_(@_)"/>
    <numFmt numFmtId="167" formatCode="General_)"/>
    <numFmt numFmtId="168" formatCode="&quot;$&quot;#,##0.0000_);\(&quot;$&quot;#,##0.0000\)"/>
    <numFmt numFmtId="169" formatCode="dd\-mmm\-yy_)"/>
    <numFmt numFmtId="170" formatCode="m/yy"/>
    <numFmt numFmtId="171" formatCode="0.0000"/>
    <numFmt numFmtId="173" formatCode="#,##0.0000"/>
    <numFmt numFmtId="175" formatCode="0.0%"/>
    <numFmt numFmtId="176" formatCode="&quot;$&quot;#,##0.00"/>
    <numFmt numFmtId="178" formatCode="#,##0.0000_);\(#,##0.0000\)"/>
    <numFmt numFmtId="184" formatCode="0.000"/>
    <numFmt numFmtId="185" formatCode="0.00000"/>
    <numFmt numFmtId="193" formatCode="_(* #,##0_);_(* \(#,##0\);_(* &quot;-&quot;??_);_(@_)"/>
    <numFmt numFmtId="194" formatCode="_(* #,##0.000_);_(* \(#,##0.000\);_(* &quot;-&quot;??_);_(@_)"/>
    <numFmt numFmtId="196" formatCode="_(* #,##0.0000_);_(* \(#,##0.0000\);_(* &quot;-&quot;??_);_(@_)"/>
    <numFmt numFmtId="197" formatCode="_(* #,##0.00000_);_(* \(#,##0.00000\);_(* &quot;-&quot;??_);_(@_)"/>
    <numFmt numFmtId="213" formatCode="mm/dd/yy"/>
  </numFmts>
  <fonts count="39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8"/>
      <name val="Arial Narrow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color indexed="81"/>
      <name val="Tahoma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 Narrow"/>
    </font>
    <font>
      <b/>
      <sz val="10"/>
      <name val="Arial Narrow"/>
    </font>
    <font>
      <sz val="10"/>
      <name val="Courier"/>
    </font>
    <font>
      <sz val="10"/>
      <name val="Arial"/>
    </font>
    <font>
      <b/>
      <sz val="10"/>
      <name val="Arial Narrow"/>
      <family val="2"/>
    </font>
    <font>
      <b/>
      <sz val="10"/>
      <color indexed="10"/>
      <name val="Arial"/>
    </font>
    <font>
      <sz val="10"/>
      <name val="Arial"/>
    </font>
    <font>
      <sz val="10"/>
      <name val="Arial"/>
    </font>
    <font>
      <b/>
      <sz val="8"/>
      <color indexed="81"/>
      <name val="Tahoma"/>
    </font>
    <font>
      <sz val="10"/>
      <color indexed="13"/>
      <name val="Arial"/>
      <family val="2"/>
    </font>
    <font>
      <b/>
      <sz val="10"/>
      <color indexed="10"/>
      <name val="Arial Narrow"/>
      <family val="2"/>
    </font>
    <font>
      <b/>
      <sz val="10"/>
      <color indexed="10"/>
      <name val="Courier"/>
    </font>
    <font>
      <b/>
      <sz val="8"/>
      <color indexed="8"/>
      <name val="Arial"/>
    </font>
    <font>
      <b/>
      <sz val="10"/>
      <color indexed="8"/>
      <name val="Arial"/>
      <family val="2"/>
    </font>
    <font>
      <b/>
      <sz val="9"/>
      <name val="Arial"/>
      <family val="2"/>
    </font>
    <font>
      <i/>
      <sz val="8"/>
      <name val="Arial"/>
      <family val="2"/>
    </font>
    <font>
      <i/>
      <sz val="8"/>
      <color indexed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Times"/>
      <family val="1"/>
    </font>
    <font>
      <i/>
      <sz val="10"/>
      <name val="Arial"/>
      <family val="2"/>
    </font>
    <font>
      <b/>
      <sz val="14"/>
      <name val="Arial"/>
    </font>
    <font>
      <b/>
      <sz val="12"/>
      <name val="Arial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  <font>
      <sz val="14"/>
      <name val="Arial"/>
      <family val="2"/>
    </font>
    <font>
      <sz val="10"/>
      <color indexed="81"/>
      <name val="Tahoma"/>
    </font>
    <font>
      <b/>
      <sz val="10"/>
      <color indexed="81"/>
      <name val="Tahoma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</fills>
  <borders count="2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8" fontId="3" fillId="0" borderId="1" applyFill="0" applyAlignment="0" applyProtection="0">
      <alignment horizontal="center"/>
    </xf>
  </cellStyleXfs>
  <cellXfs count="949">
    <xf numFmtId="0" fontId="0" fillId="0" borderId="0" xfId="0"/>
    <xf numFmtId="0" fontId="0" fillId="0" borderId="2" xfId="0" applyBorder="1"/>
    <xf numFmtId="0" fontId="0" fillId="2" borderId="2" xfId="0" applyFill="1" applyBorder="1"/>
    <xf numFmtId="0" fontId="0" fillId="2" borderId="0" xfId="0" applyFill="1" applyBorder="1"/>
    <xf numFmtId="0" fontId="0" fillId="0" borderId="0" xfId="0" applyBorder="1"/>
    <xf numFmtId="17" fontId="0" fillId="2" borderId="0" xfId="0" applyNumberFormat="1" applyFill="1" applyBorder="1"/>
    <xf numFmtId="0" fontId="0" fillId="0" borderId="2" xfId="0" applyFill="1" applyBorder="1"/>
    <xf numFmtId="0" fontId="0" fillId="0" borderId="0" xfId="0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left"/>
    </xf>
    <xf numFmtId="0" fontId="0" fillId="0" borderId="2" xfId="0" applyFill="1" applyBorder="1" applyAlignment="1">
      <alignment horizontal="center"/>
    </xf>
    <xf numFmtId="167" fontId="4" fillId="0" borderId="2" xfId="0" applyNumberFormat="1" applyFont="1" applyFill="1" applyBorder="1" applyAlignment="1" applyProtection="1">
      <alignment horizontal="center"/>
    </xf>
    <xf numFmtId="173" fontId="0" fillId="2" borderId="0" xfId="2" applyNumberFormat="1" applyFont="1" applyFill="1" applyBorder="1"/>
    <xf numFmtId="173" fontId="0" fillId="2" borderId="2" xfId="2" applyNumberFormat="1" applyFont="1" applyFill="1" applyBorder="1"/>
    <xf numFmtId="173" fontId="0" fillId="0" borderId="2" xfId="2" applyNumberFormat="1" applyFont="1" applyFill="1" applyBorder="1"/>
    <xf numFmtId="0" fontId="0" fillId="0" borderId="3" xfId="0" applyBorder="1"/>
    <xf numFmtId="0" fontId="2" fillId="0" borderId="0" xfId="0" applyFont="1" applyFill="1"/>
    <xf numFmtId="0" fontId="4" fillId="0" borderId="2" xfId="0" applyFont="1" applyFill="1" applyBorder="1"/>
    <xf numFmtId="0" fontId="4" fillId="0" borderId="2" xfId="0" applyFont="1" applyFill="1" applyBorder="1" applyAlignment="1">
      <alignment horizontal="center"/>
    </xf>
    <xf numFmtId="167" fontId="4" fillId="0" borderId="2" xfId="0" quotePrefix="1" applyNumberFormat="1" applyFont="1" applyFill="1" applyBorder="1" applyAlignment="1" applyProtection="1"/>
    <xf numFmtId="171" fontId="4" fillId="0" borderId="2" xfId="0" applyNumberFormat="1" applyFont="1" applyFill="1" applyBorder="1"/>
    <xf numFmtId="0" fontId="4" fillId="0" borderId="0" xfId="0" applyFont="1" applyFill="1" applyBorder="1"/>
    <xf numFmtId="0" fontId="4" fillId="0" borderId="0" xfId="0" applyFont="1" applyFill="1"/>
    <xf numFmtId="0" fontId="8" fillId="0" borderId="0" xfId="0" applyFont="1"/>
    <xf numFmtId="0" fontId="6" fillId="0" borderId="0" xfId="0" applyFont="1" applyFill="1" applyBorder="1"/>
    <xf numFmtId="167" fontId="10" fillId="3" borderId="0" xfId="0" applyNumberFormat="1" applyFont="1" applyFill="1" applyBorder="1" applyAlignment="1" applyProtection="1"/>
    <xf numFmtId="0" fontId="11" fillId="3" borderId="0" xfId="0" applyFont="1" applyFill="1" applyBorder="1" applyProtection="1"/>
    <xf numFmtId="0" fontId="11" fillId="3" borderId="0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center"/>
    </xf>
    <xf numFmtId="167" fontId="10" fillId="3" borderId="1" xfId="0" applyNumberFormat="1" applyFont="1" applyFill="1" applyBorder="1" applyAlignment="1" applyProtection="1">
      <alignment horizontal="center"/>
    </xf>
    <xf numFmtId="168" fontId="11" fillId="3" borderId="4" xfId="3" applyFont="1" applyFill="1" applyBorder="1" applyAlignment="1" applyProtection="1">
      <alignment horizontal="center"/>
    </xf>
    <xf numFmtId="0" fontId="12" fillId="0" borderId="0" xfId="0" applyFont="1" applyFill="1"/>
    <xf numFmtId="0" fontId="12" fillId="0" borderId="0" xfId="0" applyFont="1" applyFill="1" applyBorder="1"/>
    <xf numFmtId="169" fontId="10" fillId="3" borderId="0" xfId="0" applyNumberFormat="1" applyFont="1" applyFill="1" applyBorder="1" applyAlignment="1" applyProtection="1">
      <alignment horizontal="right"/>
    </xf>
    <xf numFmtId="167" fontId="11" fillId="3" borderId="1" xfId="0" applyNumberFormat="1" applyFont="1" applyFill="1" applyBorder="1" applyAlignment="1" applyProtection="1">
      <alignment horizontal="center"/>
    </xf>
    <xf numFmtId="0" fontId="11" fillId="3" borderId="0" xfId="0" applyFont="1" applyFill="1" applyBorder="1" applyAlignment="1" applyProtection="1">
      <alignment horizontal="right"/>
    </xf>
    <xf numFmtId="168" fontId="14" fillId="3" borderId="4" xfId="3" applyFont="1" applyFill="1" applyBorder="1" applyAlignment="1" applyProtection="1">
      <alignment horizontal="center"/>
    </xf>
    <xf numFmtId="170" fontId="8" fillId="3" borderId="5" xfId="0" applyNumberFormat="1" applyFont="1" applyFill="1" applyBorder="1" applyAlignment="1" applyProtection="1">
      <alignment horizontal="center"/>
    </xf>
    <xf numFmtId="0" fontId="1" fillId="0" borderId="0" xfId="0" applyFont="1" applyFill="1"/>
    <xf numFmtId="167" fontId="4" fillId="0" borderId="2" xfId="0" quotePrefix="1" applyNumberFormat="1" applyFont="1" applyFill="1" applyBorder="1" applyAlignment="1" applyProtection="1">
      <alignment horizontal="left"/>
    </xf>
    <xf numFmtId="167" fontId="13" fillId="0" borderId="2" xfId="0" applyNumberFormat="1" applyFont="1" applyFill="1" applyBorder="1" applyAlignment="1" applyProtection="1">
      <alignment horizontal="center"/>
    </xf>
    <xf numFmtId="168" fontId="13" fillId="0" borderId="2" xfId="0" applyNumberFormat="1" applyFont="1" applyFill="1" applyBorder="1" applyAlignment="1" applyProtection="1">
      <alignment horizontal="center"/>
    </xf>
    <xf numFmtId="0" fontId="13" fillId="0" borderId="0" xfId="0" applyFont="1" applyFill="1" applyBorder="1"/>
    <xf numFmtId="0" fontId="13" fillId="0" borderId="0" xfId="0" applyFont="1" applyFill="1"/>
    <xf numFmtId="167" fontId="13" fillId="0" borderId="2" xfId="0" quotePrefix="1" applyNumberFormat="1" applyFont="1" applyFill="1" applyBorder="1" applyAlignment="1" applyProtection="1">
      <alignment horizontal="left"/>
    </xf>
    <xf numFmtId="167" fontId="13" fillId="4" borderId="2" xfId="0" applyNumberFormat="1" applyFont="1" applyFill="1" applyBorder="1" applyAlignment="1" applyProtection="1">
      <alignment horizontal="center"/>
    </xf>
    <xf numFmtId="0" fontId="13" fillId="0" borderId="2" xfId="0" applyFont="1" applyFill="1" applyBorder="1" applyAlignment="1" applyProtection="1">
      <alignment horizontal="center"/>
    </xf>
    <xf numFmtId="0" fontId="16" fillId="0" borderId="0" xfId="0" applyFont="1" applyFill="1" applyBorder="1"/>
    <xf numFmtId="0" fontId="2" fillId="0" borderId="0" xfId="0" applyFont="1" applyFill="1" applyBorder="1"/>
    <xf numFmtId="0" fontId="17" fillId="0" borderId="0" xfId="0" applyFont="1" applyFill="1" applyBorder="1"/>
    <xf numFmtId="167" fontId="4" fillId="5" borderId="2" xfId="0" quotePrefix="1" applyNumberFormat="1" applyFont="1" applyFill="1" applyBorder="1" applyAlignment="1" applyProtection="1">
      <alignment horizontal="left"/>
    </xf>
    <xf numFmtId="167" fontId="13" fillId="0" borderId="0" xfId="0" applyNumberFormat="1" applyFont="1" applyFill="1" applyBorder="1" applyAlignment="1" applyProtection="1">
      <alignment horizontal="center"/>
    </xf>
    <xf numFmtId="167" fontId="13" fillId="0" borderId="0" xfId="0" applyNumberFormat="1" applyFont="1" applyFill="1" applyBorder="1" applyAlignment="1" applyProtection="1"/>
    <xf numFmtId="0" fontId="13" fillId="0" borderId="0" xfId="0" quotePrefix="1" applyFont="1" applyFill="1" applyBorder="1" applyAlignment="1" applyProtection="1">
      <alignment horizontal="left"/>
    </xf>
    <xf numFmtId="0" fontId="13" fillId="0" borderId="0" xfId="0" applyFont="1" applyFill="1" applyBorder="1" applyAlignment="1" applyProtection="1">
      <alignment horizontal="center"/>
    </xf>
    <xf numFmtId="1" fontId="13" fillId="0" borderId="0" xfId="2" applyNumberFormat="1" applyFont="1" applyFill="1" applyBorder="1" applyAlignment="1" applyProtection="1">
      <alignment horizontal="center"/>
    </xf>
    <xf numFmtId="168" fontId="13" fillId="0" borderId="0" xfId="0" applyNumberFormat="1" applyFont="1" applyFill="1" applyBorder="1" applyAlignment="1" applyProtection="1">
      <alignment horizontal="center"/>
    </xf>
    <xf numFmtId="167" fontId="13" fillId="0" borderId="0" xfId="0" quotePrefix="1" applyNumberFormat="1" applyFont="1" applyFill="1" applyBorder="1" applyAlignment="1" applyProtection="1">
      <alignment horizontal="left"/>
    </xf>
    <xf numFmtId="167" fontId="4" fillId="0" borderId="0" xfId="0" applyNumberFormat="1" applyFont="1" applyFill="1" applyBorder="1" applyAlignment="1" applyProtection="1">
      <alignment horizontal="center"/>
    </xf>
    <xf numFmtId="1" fontId="13" fillId="0" borderId="0" xfId="0" applyNumberFormat="1" applyFont="1" applyFill="1" applyBorder="1" applyAlignment="1" applyProtection="1">
      <alignment horizontal="center"/>
    </xf>
    <xf numFmtId="167" fontId="4" fillId="0" borderId="0" xfId="0" applyNumberFormat="1" applyFont="1" applyFill="1" applyBorder="1" applyAlignment="1" applyProtection="1"/>
    <xf numFmtId="167" fontId="4" fillId="0" borderId="0" xfId="0" quotePrefix="1" applyNumberFormat="1" applyFont="1" applyFill="1" applyBorder="1" applyAlignment="1" applyProtection="1">
      <alignment horizontal="left"/>
    </xf>
    <xf numFmtId="7" fontId="13" fillId="0" borderId="0" xfId="0" applyNumberFormat="1" applyFont="1" applyFill="1" applyBorder="1" applyAlignment="1" applyProtection="1">
      <alignment horizontal="center"/>
    </xf>
    <xf numFmtId="167" fontId="1" fillId="0" borderId="0" xfId="0" applyNumberFormat="1" applyFont="1" applyFill="1" applyBorder="1" applyAlignment="1" applyProtection="1"/>
    <xf numFmtId="167" fontId="4" fillId="0" borderId="0" xfId="0" applyNumberFormat="1" applyFont="1" applyFill="1" applyBorder="1" applyAlignment="1" applyProtection="1">
      <alignment horizontal="left"/>
    </xf>
    <xf numFmtId="8" fontId="13" fillId="0" borderId="0" xfId="0" applyNumberFormat="1" applyFont="1" applyFill="1" applyBorder="1" applyAlignment="1" applyProtection="1">
      <alignment horizontal="center"/>
    </xf>
    <xf numFmtId="0" fontId="4" fillId="0" borderId="0" xfId="0" applyFont="1" applyFill="1" applyBorder="1" applyAlignment="1" applyProtection="1"/>
    <xf numFmtId="168" fontId="1" fillId="0" borderId="0" xfId="0" applyNumberFormat="1" applyFont="1" applyFill="1" applyBorder="1" applyAlignment="1" applyProtection="1">
      <alignment horizontal="center"/>
    </xf>
    <xf numFmtId="168" fontId="2" fillId="0" borderId="0" xfId="0" applyNumberFormat="1" applyFont="1" applyFill="1" applyBorder="1" applyAlignment="1" applyProtection="1">
      <alignment horizontal="center"/>
    </xf>
    <xf numFmtId="167" fontId="2" fillId="0" borderId="0" xfId="0" applyNumberFormat="1" applyFont="1" applyFill="1" applyBorder="1" applyAlignment="1" applyProtection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/>
    </xf>
    <xf numFmtId="0" fontId="5" fillId="0" borderId="2" xfId="0" applyFont="1" applyFill="1" applyBorder="1"/>
    <xf numFmtId="0" fontId="5" fillId="0" borderId="0" xfId="0" applyFont="1" applyFill="1"/>
    <xf numFmtId="0" fontId="8" fillId="0" borderId="0" xfId="0" applyFont="1" applyFill="1"/>
    <xf numFmtId="0" fontId="4" fillId="0" borderId="0" xfId="0" applyFont="1" applyFill="1" applyBorder="1" applyAlignment="1">
      <alignment horizontal="center"/>
    </xf>
    <xf numFmtId="17" fontId="4" fillId="2" borderId="0" xfId="0" applyNumberFormat="1" applyFont="1" applyFill="1" applyBorder="1"/>
    <xf numFmtId="17" fontId="4" fillId="2" borderId="0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/>
    <xf numFmtId="0" fontId="4" fillId="2" borderId="2" xfId="0" applyFont="1" applyFill="1" applyBorder="1" applyAlignment="1">
      <alignment horizontal="center"/>
    </xf>
    <xf numFmtId="17" fontId="4" fillId="2" borderId="2" xfId="2" applyNumberFormat="1" applyFont="1" applyFill="1" applyBorder="1"/>
    <xf numFmtId="44" fontId="4" fillId="2" borderId="0" xfId="2" applyFont="1" applyFill="1" applyBorder="1"/>
    <xf numFmtId="171" fontId="4" fillId="2" borderId="0" xfId="2" applyNumberFormat="1" applyFont="1" applyFill="1" applyBorder="1"/>
    <xf numFmtId="0" fontId="4" fillId="0" borderId="0" xfId="0" applyFont="1" applyBorder="1"/>
    <xf numFmtId="0" fontId="4" fillId="2" borderId="2" xfId="0" applyFont="1" applyFill="1" applyBorder="1"/>
    <xf numFmtId="44" fontId="4" fillId="2" borderId="2" xfId="2" applyFont="1" applyFill="1" applyBorder="1"/>
    <xf numFmtId="171" fontId="4" fillId="2" borderId="2" xfId="2" applyNumberFormat="1" applyFont="1" applyFill="1" applyBorder="1"/>
    <xf numFmtId="0" fontId="4" fillId="6" borderId="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71" fontId="4" fillId="0" borderId="0" xfId="0" applyNumberFormat="1" applyFont="1"/>
    <xf numFmtId="44" fontId="4" fillId="0" borderId="0" xfId="2" applyFont="1"/>
    <xf numFmtId="0" fontId="8" fillId="2" borderId="0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19" fillId="0" borderId="0" xfId="0" applyFont="1" applyFill="1"/>
    <xf numFmtId="2" fontId="0" fillId="0" borderId="0" xfId="0" applyNumberFormat="1"/>
    <xf numFmtId="171" fontId="11" fillId="3" borderId="4" xfId="3" applyNumberFormat="1" applyFont="1" applyFill="1" applyBorder="1" applyAlignment="1" applyProtection="1">
      <alignment horizontal="center"/>
    </xf>
    <xf numFmtId="171" fontId="13" fillId="0" borderId="2" xfId="0" applyNumberFormat="1" applyFont="1" applyFill="1" applyBorder="1" applyAlignment="1" applyProtection="1">
      <alignment horizontal="center"/>
    </xf>
    <xf numFmtId="171" fontId="13" fillId="4" borderId="2" xfId="0" applyNumberFormat="1" applyFont="1" applyFill="1" applyBorder="1" applyAlignment="1" applyProtection="1">
      <alignment horizontal="center"/>
    </xf>
    <xf numFmtId="171" fontId="13" fillId="0" borderId="0" xfId="0" applyNumberFormat="1" applyFont="1" applyFill="1" applyBorder="1" applyAlignment="1" applyProtection="1">
      <alignment horizontal="center"/>
    </xf>
    <xf numFmtId="171" fontId="1" fillId="0" borderId="0" xfId="0" applyNumberFormat="1" applyFont="1" applyFill="1" applyBorder="1" applyAlignment="1" applyProtection="1">
      <alignment horizontal="center"/>
    </xf>
    <xf numFmtId="171" fontId="12" fillId="0" borderId="0" xfId="0" applyNumberFormat="1" applyFont="1" applyFill="1"/>
    <xf numFmtId="2" fontId="11" fillId="3" borderId="4" xfId="3" applyNumberFormat="1" applyFont="1" applyFill="1" applyBorder="1" applyAlignment="1" applyProtection="1">
      <alignment horizontal="center"/>
    </xf>
    <xf numFmtId="2" fontId="13" fillId="0" borderId="2" xfId="0" applyNumberFormat="1" applyFont="1" applyFill="1" applyBorder="1" applyAlignment="1" applyProtection="1">
      <alignment horizontal="center"/>
    </xf>
    <xf numFmtId="2" fontId="13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2" fontId="12" fillId="0" borderId="0" xfId="0" applyNumberFormat="1" applyFont="1" applyFill="1"/>
    <xf numFmtId="171" fontId="14" fillId="3" borderId="4" xfId="3" applyNumberFormat="1" applyFont="1" applyFill="1" applyBorder="1" applyAlignment="1" applyProtection="1">
      <alignment horizontal="center"/>
    </xf>
    <xf numFmtId="171" fontId="2" fillId="0" borderId="0" xfId="0" applyNumberFormat="1" applyFont="1" applyFill="1" applyBorder="1" applyAlignment="1" applyProtection="1">
      <alignment horizontal="center"/>
    </xf>
    <xf numFmtId="39" fontId="4" fillId="0" borderId="2" xfId="2" applyNumberFormat="1" applyFont="1" applyFill="1" applyBorder="1"/>
    <xf numFmtId="178" fontId="8" fillId="0" borderId="2" xfId="2" applyNumberFormat="1" applyFont="1" applyFill="1" applyBorder="1"/>
    <xf numFmtId="0" fontId="5" fillId="7" borderId="0" xfId="0" applyFont="1" applyFill="1" applyBorder="1" applyAlignment="1">
      <alignment horizont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/>
    </xf>
    <xf numFmtId="173" fontId="0" fillId="0" borderId="2" xfId="2" applyNumberFormat="1" applyFont="1" applyFill="1" applyBorder="1" applyAlignment="1">
      <alignment horizontal="center"/>
    </xf>
    <xf numFmtId="171" fontId="20" fillId="7" borderId="4" xfId="3" applyNumberFormat="1" applyFont="1" applyFill="1" applyBorder="1" applyAlignment="1" applyProtection="1">
      <alignment horizontal="center"/>
    </xf>
    <xf numFmtId="0" fontId="15" fillId="7" borderId="0" xfId="0" applyFont="1" applyFill="1" applyBorder="1" applyAlignment="1">
      <alignment horizontal="left"/>
    </xf>
    <xf numFmtId="0" fontId="21" fillId="7" borderId="0" xfId="0" applyFont="1" applyFill="1" applyBorder="1" applyAlignment="1">
      <alignment horizontal="center"/>
    </xf>
    <xf numFmtId="0" fontId="21" fillId="7" borderId="0" xfId="0" applyFont="1" applyFill="1" applyBorder="1"/>
    <xf numFmtId="0" fontId="21" fillId="7" borderId="0" xfId="0" applyFont="1" applyFill="1" applyBorder="1" applyAlignment="1">
      <alignment horizontal="left"/>
    </xf>
    <xf numFmtId="0" fontId="21" fillId="7" borderId="0" xfId="0" applyFont="1" applyFill="1"/>
    <xf numFmtId="0" fontId="5" fillId="7" borderId="0" xfId="0" applyFont="1" applyFill="1" applyBorder="1"/>
    <xf numFmtId="0" fontId="0" fillId="2" borderId="2" xfId="0" applyFill="1" applyBorder="1" applyAlignment="1">
      <alignment horizontal="center"/>
    </xf>
    <xf numFmtId="171" fontId="21" fillId="7" borderId="0" xfId="0" applyNumberFormat="1" applyFont="1" applyFill="1" applyBorder="1"/>
    <xf numFmtId="2" fontId="21" fillId="7" borderId="0" xfId="0" applyNumberFormat="1" applyFont="1" applyFill="1" applyBorder="1"/>
    <xf numFmtId="167" fontId="1" fillId="3" borderId="6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center"/>
    </xf>
    <xf numFmtId="167" fontId="1" fillId="3" borderId="7" xfId="0" applyNumberFormat="1" applyFont="1" applyFill="1" applyBorder="1" applyAlignment="1" applyProtection="1">
      <alignment horizontal="left"/>
    </xf>
    <xf numFmtId="170" fontId="1" fillId="3" borderId="7" xfId="0" applyNumberFormat="1" applyFont="1" applyFill="1" applyBorder="1" applyAlignment="1" applyProtection="1">
      <alignment horizontal="center"/>
    </xf>
    <xf numFmtId="170" fontId="8" fillId="3" borderId="7" xfId="0" applyNumberFormat="1" applyFont="1" applyFill="1" applyBorder="1" applyAlignment="1" applyProtection="1">
      <alignment horizontal="center"/>
    </xf>
    <xf numFmtId="0" fontId="0" fillId="2" borderId="0" xfId="0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0" fillId="0" borderId="0" xfId="0" applyFill="1" applyBorder="1"/>
    <xf numFmtId="171" fontId="0" fillId="0" borderId="0" xfId="0" applyNumberFormat="1"/>
    <xf numFmtId="0" fontId="8" fillId="0" borderId="2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0" xfId="0" applyFont="1"/>
    <xf numFmtId="1" fontId="0" fillId="0" borderId="0" xfId="0" applyNumberFormat="1"/>
    <xf numFmtId="0" fontId="0" fillId="3" borderId="2" xfId="0" applyFill="1" applyBorder="1"/>
    <xf numFmtId="0" fontId="4" fillId="0" borderId="2" xfId="0" applyFont="1" applyFill="1" applyBorder="1" applyAlignment="1"/>
    <xf numFmtId="167" fontId="4" fillId="0" borderId="2" xfId="0" quotePrefix="1" applyNumberFormat="1" applyFont="1" applyFill="1" applyBorder="1" applyAlignment="1" applyProtection="1">
      <alignment horizontal="center"/>
    </xf>
    <xf numFmtId="0" fontId="0" fillId="7" borderId="0" xfId="0" applyFill="1"/>
    <xf numFmtId="0" fontId="8" fillId="7" borderId="0" xfId="0" applyFont="1" applyFill="1"/>
    <xf numFmtId="0" fontId="0" fillId="7" borderId="0" xfId="0" applyFill="1" applyBorder="1"/>
    <xf numFmtId="0" fontId="9" fillId="0" borderId="0" xfId="0" applyFont="1"/>
    <xf numFmtId="0" fontId="0" fillId="0" borderId="0" xfId="0" applyFill="1"/>
    <xf numFmtId="43" fontId="0" fillId="0" borderId="0" xfId="1" applyFont="1"/>
    <xf numFmtId="43" fontId="0" fillId="0" borderId="3" xfId="1" applyFont="1" applyBorder="1"/>
    <xf numFmtId="193" fontId="0" fillId="0" borderId="0" xfId="1" applyNumberFormat="1" applyFont="1"/>
    <xf numFmtId="193" fontId="0" fillId="0" borderId="0" xfId="0" applyNumberFormat="1"/>
    <xf numFmtId="196" fontId="0" fillId="0" borderId="0" xfId="1" applyNumberFormat="1" applyFont="1"/>
    <xf numFmtId="196" fontId="0" fillId="0" borderId="3" xfId="1" applyNumberFormat="1" applyFont="1" applyBorder="1"/>
    <xf numFmtId="196" fontId="0" fillId="0" borderId="0" xfId="1" applyNumberFormat="1" applyFont="1" applyBorder="1"/>
    <xf numFmtId="196" fontId="5" fillId="0" borderId="10" xfId="1" applyNumberFormat="1" applyFont="1" applyBorder="1"/>
    <xf numFmtId="0" fontId="23" fillId="4" borderId="10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/>
    </xf>
    <xf numFmtId="0" fontId="6" fillId="0" borderId="11" xfId="0" applyFont="1" applyFill="1" applyBorder="1" applyAlignment="1">
      <alignment horizontal="center" vertical="top" wrapText="1"/>
    </xf>
    <xf numFmtId="43" fontId="21" fillId="7" borderId="0" xfId="1" applyFont="1" applyFill="1" applyBorder="1"/>
    <xf numFmtId="43" fontId="11" fillId="3" borderId="4" xfId="1" applyFont="1" applyFill="1" applyBorder="1" applyAlignment="1" applyProtection="1">
      <alignment horizontal="center"/>
    </xf>
    <xf numFmtId="43" fontId="14" fillId="3" borderId="4" xfId="1" applyFont="1" applyFill="1" applyBorder="1" applyAlignment="1" applyProtection="1">
      <alignment horizontal="center"/>
    </xf>
    <xf numFmtId="43" fontId="13" fillId="0" borderId="2" xfId="1" applyFont="1" applyFill="1" applyBorder="1"/>
    <xf numFmtId="43" fontId="13" fillId="0" borderId="0" xfId="1" applyFont="1" applyFill="1" applyBorder="1"/>
    <xf numFmtId="43" fontId="2" fillId="0" borderId="0" xfId="1" applyFont="1" applyFill="1" applyBorder="1"/>
    <xf numFmtId="43" fontId="13" fillId="0" borderId="0" xfId="1" applyFont="1" applyFill="1" applyBorder="1" applyAlignment="1" applyProtection="1">
      <alignment horizontal="center"/>
    </xf>
    <xf numFmtId="43" fontId="12" fillId="0" borderId="0" xfId="1" applyFont="1" applyFill="1"/>
    <xf numFmtId="0" fontId="22" fillId="8" borderId="2" xfId="0" applyFont="1" applyFill="1" applyBorder="1" applyAlignment="1">
      <alignment horizontal="center" vertical="center" wrapText="1"/>
    </xf>
    <xf numFmtId="0" fontId="22" fillId="8" borderId="10" xfId="0" applyFont="1" applyFill="1" applyBorder="1" applyAlignment="1">
      <alignment horizontal="center" vertical="center" wrapText="1"/>
    </xf>
    <xf numFmtId="167" fontId="13" fillId="5" borderId="2" xfId="0" applyNumberFormat="1" applyFont="1" applyFill="1" applyBorder="1" applyAlignment="1" applyProtection="1">
      <alignment horizontal="center"/>
    </xf>
    <xf numFmtId="0" fontId="0" fillId="5" borderId="0" xfId="0" applyFill="1"/>
    <xf numFmtId="4" fontId="0" fillId="0" borderId="0" xfId="0" applyNumberFormat="1"/>
    <xf numFmtId="4" fontId="0" fillId="0" borderId="3" xfId="0" applyNumberFormat="1" applyBorder="1"/>
    <xf numFmtId="4" fontId="0" fillId="0" borderId="0" xfId="0" applyNumberFormat="1" applyBorder="1"/>
    <xf numFmtId="0" fontId="4" fillId="7" borderId="2" xfId="0" applyFont="1" applyFill="1" applyBorder="1" applyAlignment="1">
      <alignment horizontal="center"/>
    </xf>
    <xf numFmtId="166" fontId="4" fillId="7" borderId="2" xfId="2" applyNumberFormat="1" applyFont="1" applyFill="1" applyBorder="1"/>
    <xf numFmtId="196" fontId="0" fillId="5" borderId="0" xfId="1" applyNumberFormat="1" applyFont="1" applyFill="1"/>
    <xf numFmtId="0" fontId="6" fillId="9" borderId="11" xfId="0" applyFont="1" applyFill="1" applyBorder="1" applyAlignment="1">
      <alignment vertical="top" wrapText="1"/>
    </xf>
    <xf numFmtId="14" fontId="0" fillId="0" borderId="0" xfId="0" applyNumberFormat="1"/>
    <xf numFmtId="3" fontId="0" fillId="0" borderId="0" xfId="0" applyNumberFormat="1"/>
    <xf numFmtId="0" fontId="23" fillId="9" borderId="11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/>
    </xf>
    <xf numFmtId="173" fontId="0" fillId="0" borderId="0" xfId="2" applyNumberFormat="1" applyFont="1" applyBorder="1"/>
    <xf numFmtId="0" fontId="0" fillId="4" borderId="2" xfId="0" applyFill="1" applyBorder="1" applyAlignment="1">
      <alignment horizontal="center"/>
    </xf>
    <xf numFmtId="0" fontId="0" fillId="5" borderId="2" xfId="0" applyFill="1" applyBorder="1"/>
    <xf numFmtId="0" fontId="8" fillId="7" borderId="2" xfId="0" applyFont="1" applyFill="1" applyBorder="1"/>
    <xf numFmtId="2" fontId="5" fillId="0" borderId="0" xfId="0" applyNumberFormat="1" applyFont="1"/>
    <xf numFmtId="2" fontId="0" fillId="0" borderId="3" xfId="0" applyNumberFormat="1" applyBorder="1"/>
    <xf numFmtId="184" fontId="0" fillId="0" borderId="0" xfId="0" applyNumberFormat="1"/>
    <xf numFmtId="184" fontId="5" fillId="0" borderId="0" xfId="0" applyNumberFormat="1" applyFont="1"/>
    <xf numFmtId="170" fontId="8" fillId="7" borderId="7" xfId="0" applyNumberFormat="1" applyFont="1" applyFill="1" applyBorder="1" applyAlignment="1" applyProtection="1">
      <alignment horizontal="center"/>
    </xf>
    <xf numFmtId="170" fontId="8" fillId="3" borderId="2" xfId="0" applyNumberFormat="1" applyFont="1" applyFill="1" applyBorder="1" applyAlignment="1" applyProtection="1">
      <alignment horizontal="center"/>
    </xf>
    <xf numFmtId="0" fontId="0" fillId="10" borderId="2" xfId="0" applyFill="1" applyBorder="1"/>
    <xf numFmtId="167" fontId="6" fillId="0" borderId="2" xfId="0" quotePrefix="1" applyNumberFormat="1" applyFont="1" applyFill="1" applyBorder="1" applyAlignment="1" applyProtection="1">
      <alignment horizontal="left"/>
    </xf>
    <xf numFmtId="167" fontId="6" fillId="0" borderId="2" xfId="0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 applyProtection="1">
      <alignment horizontal="left"/>
    </xf>
    <xf numFmtId="0" fontId="13" fillId="0" borderId="2" xfId="0" applyFont="1" applyFill="1" applyBorder="1"/>
    <xf numFmtId="0" fontId="13" fillId="0" borderId="2" xfId="0" applyFont="1" applyFill="1" applyBorder="1" applyAlignment="1">
      <alignment horizontal="left"/>
    </xf>
    <xf numFmtId="2" fontId="0" fillId="0" borderId="0" xfId="0" applyNumberFormat="1" applyFill="1"/>
    <xf numFmtId="1" fontId="8" fillId="0" borderId="0" xfId="0" applyNumberFormat="1" applyFont="1" applyFill="1"/>
    <xf numFmtId="184" fontId="0" fillId="0" borderId="0" xfId="0" applyNumberFormat="1" applyFill="1"/>
    <xf numFmtId="171" fontId="5" fillId="0" borderId="0" xfId="0" applyNumberFormat="1" applyFont="1"/>
    <xf numFmtId="0" fontId="23" fillId="9" borderId="11" xfId="0" applyFont="1" applyFill="1" applyBorder="1" applyAlignment="1">
      <alignment vertical="top"/>
    </xf>
    <xf numFmtId="171" fontId="0" fillId="7" borderId="0" xfId="0" applyNumberFormat="1" applyFill="1" applyBorder="1"/>
    <xf numFmtId="184" fontId="9" fillId="0" borderId="0" xfId="0" applyNumberFormat="1" applyFont="1"/>
    <xf numFmtId="184" fontId="0" fillId="7" borderId="0" xfId="0" applyNumberFormat="1" applyFill="1"/>
    <xf numFmtId="171" fontId="9" fillId="0" borderId="0" xfId="0" applyNumberFormat="1" applyFont="1"/>
    <xf numFmtId="43" fontId="0" fillId="0" borderId="2" xfId="1" applyFont="1" applyBorder="1"/>
    <xf numFmtId="43" fontId="12" fillId="0" borderId="0" xfId="1" applyFont="1" applyFill="1" applyBorder="1"/>
    <xf numFmtId="43" fontId="4" fillId="0" borderId="2" xfId="1" applyFont="1" applyFill="1" applyBorder="1"/>
    <xf numFmtId="43" fontId="2" fillId="0" borderId="0" xfId="1" applyFont="1" applyFill="1" applyBorder="1" applyAlignment="1" applyProtection="1">
      <alignment horizontal="center"/>
    </xf>
    <xf numFmtId="43" fontId="1" fillId="0" borderId="0" xfId="1" applyFont="1" applyFill="1" applyBorder="1" applyAlignment="1" applyProtection="1">
      <alignment horizontal="center"/>
    </xf>
    <xf numFmtId="170" fontId="8" fillId="3" borderId="0" xfId="0" applyNumberFormat="1" applyFont="1" applyFill="1" applyBorder="1" applyAlignment="1" applyProtection="1">
      <alignment horizontal="center"/>
    </xf>
    <xf numFmtId="0" fontId="4" fillId="11" borderId="2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43" fontId="0" fillId="2" borderId="0" xfId="1" applyFont="1" applyFill="1" applyBorder="1"/>
    <xf numFmtId="43" fontId="0" fillId="2" borderId="2" xfId="1" applyFont="1" applyFill="1" applyBorder="1"/>
    <xf numFmtId="43" fontId="0" fillId="0" borderId="2" xfId="1" applyFont="1" applyFill="1" applyBorder="1"/>
    <xf numFmtId="43" fontId="0" fillId="0" borderId="0" xfId="1" applyFont="1" applyBorder="1"/>
    <xf numFmtId="43" fontId="0" fillId="12" borderId="2" xfId="1" applyFont="1" applyFill="1" applyBorder="1"/>
    <xf numFmtId="2" fontId="9" fillId="0" borderId="0" xfId="0" applyNumberFormat="1" applyFont="1"/>
    <xf numFmtId="0" fontId="6" fillId="9" borderId="2" xfId="0" applyFont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" fontId="0" fillId="0" borderId="0" xfId="0" applyNumberFormat="1" applyAlignment="1">
      <alignment horizontal="center"/>
    </xf>
    <xf numFmtId="49" fontId="0" fillId="0" borderId="0" xfId="0" applyNumberFormat="1"/>
    <xf numFmtId="0" fontId="8" fillId="13" borderId="0" xfId="0" applyFont="1" applyFill="1"/>
    <xf numFmtId="0" fontId="0" fillId="13" borderId="0" xfId="0" applyFill="1"/>
    <xf numFmtId="0" fontId="4" fillId="13" borderId="0" xfId="0" applyFont="1" applyFill="1"/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0" fillId="13" borderId="2" xfId="0" applyFill="1" applyBorder="1"/>
    <xf numFmtId="0" fontId="9" fillId="7" borderId="2" xfId="0" applyFont="1" applyFill="1" applyBorder="1"/>
    <xf numFmtId="196" fontId="0" fillId="13" borderId="2" xfId="1" applyNumberFormat="1" applyFont="1" applyFill="1" applyBorder="1"/>
    <xf numFmtId="171" fontId="0" fillId="13" borderId="2" xfId="0" applyNumberFormat="1" applyFill="1" applyBorder="1"/>
    <xf numFmtId="4" fontId="0" fillId="13" borderId="2" xfId="0" applyNumberFormat="1" applyFill="1" applyBorder="1"/>
    <xf numFmtId="14" fontId="8" fillId="13" borderId="0" xfId="0" applyNumberFormat="1" applyFont="1" applyFill="1"/>
    <xf numFmtId="196" fontId="9" fillId="7" borderId="2" xfId="1" applyNumberFormat="1" applyFont="1" applyFill="1" applyBorder="1"/>
    <xf numFmtId="0" fontId="0" fillId="13" borderId="2" xfId="0" applyFill="1" applyBorder="1" applyAlignment="1">
      <alignment horizontal="center"/>
    </xf>
    <xf numFmtId="0" fontId="0" fillId="13" borderId="2" xfId="0" quotePrefix="1" applyFill="1" applyBorder="1" applyAlignment="1">
      <alignment horizontal="center"/>
    </xf>
    <xf numFmtId="0" fontId="0" fillId="7" borderId="2" xfId="0" applyFill="1" applyBorder="1"/>
    <xf numFmtId="3" fontId="0" fillId="0" borderId="2" xfId="0" applyNumberFormat="1" applyFill="1" applyBorder="1"/>
    <xf numFmtId="196" fontId="0" fillId="7" borderId="2" xfId="1" applyNumberFormat="1" applyFont="1" applyFill="1" applyBorder="1"/>
    <xf numFmtId="171" fontId="0" fillId="0" borderId="2" xfId="0" applyNumberFormat="1" applyBorder="1"/>
    <xf numFmtId="4" fontId="0" fillId="0" borderId="2" xfId="0" applyNumberFormat="1" applyBorder="1"/>
    <xf numFmtId="196" fontId="0" fillId="0" borderId="2" xfId="1" applyNumberFormat="1" applyFont="1" applyBorder="1"/>
    <xf numFmtId="0" fontId="0" fillId="4" borderId="2" xfId="0" applyFill="1" applyBorder="1"/>
    <xf numFmtId="0" fontId="0" fillId="12" borderId="2" xfId="0" applyFill="1" applyBorder="1"/>
    <xf numFmtId="0" fontId="0" fillId="3" borderId="2" xfId="0" applyFill="1" applyBorder="1" applyAlignment="1">
      <alignment horizontal="center"/>
    </xf>
    <xf numFmtId="0" fontId="5" fillId="0" borderId="8" xfId="0" applyFont="1" applyFill="1" applyBorder="1"/>
    <xf numFmtId="0" fontId="5" fillId="0" borderId="9" xfId="0" applyFont="1" applyFill="1" applyBorder="1"/>
    <xf numFmtId="0" fontId="5" fillId="0" borderId="10" xfId="0" applyFont="1" applyFill="1" applyBorder="1"/>
    <xf numFmtId="0" fontId="0" fillId="0" borderId="12" xfId="0" applyBorder="1"/>
    <xf numFmtId="43" fontId="0" fillId="0" borderId="12" xfId="1" applyFont="1" applyBorder="1"/>
    <xf numFmtId="1" fontId="0" fillId="14" borderId="0" xfId="0" applyNumberFormat="1" applyFill="1"/>
    <xf numFmtId="196" fontId="0" fillId="0" borderId="2" xfId="1" applyNumberFormat="1" applyFont="1" applyFill="1" applyBorder="1"/>
    <xf numFmtId="171" fontId="0" fillId="0" borderId="2" xfId="0" applyNumberFormat="1" applyFill="1" applyBorder="1"/>
    <xf numFmtId="4" fontId="0" fillId="0" borderId="2" xfId="0" applyNumberFormat="1" applyFill="1" applyBorder="1"/>
    <xf numFmtId="1" fontId="0" fillId="0" borderId="3" xfId="0" applyNumberFormat="1" applyBorder="1"/>
    <xf numFmtId="193" fontId="4" fillId="0" borderId="2" xfId="1" applyNumberFormat="1" applyFont="1" applyFill="1" applyBorder="1" applyAlignment="1">
      <alignment horizontal="center"/>
    </xf>
    <xf numFmtId="194" fontId="0" fillId="7" borderId="0" xfId="1" applyNumberFormat="1" applyFont="1" applyFill="1"/>
    <xf numFmtId="167" fontId="2" fillId="4" borderId="2" xfId="0" applyNumberFormat="1" applyFont="1" applyFill="1" applyBorder="1" applyAlignment="1" applyProtection="1">
      <alignment horizontal="center"/>
    </xf>
    <xf numFmtId="2" fontId="0" fillId="0" borderId="2" xfId="0" applyNumberFormat="1" applyFill="1" applyBorder="1"/>
    <xf numFmtId="0" fontId="4" fillId="3" borderId="2" xfId="0" applyFont="1" applyFill="1" applyBorder="1" applyAlignment="1">
      <alignment horizontal="center"/>
    </xf>
    <xf numFmtId="0" fontId="4" fillId="15" borderId="2" xfId="0" applyFont="1" applyFill="1" applyBorder="1" applyAlignment="1">
      <alignment horizontal="center"/>
    </xf>
    <xf numFmtId="43" fontId="0" fillId="0" borderId="0" xfId="1" applyFont="1" applyFill="1" applyBorder="1"/>
    <xf numFmtId="0" fontId="0" fillId="6" borderId="2" xfId="0" applyFill="1" applyBorder="1" applyAlignment="1">
      <alignment horizontal="center"/>
    </xf>
    <xf numFmtId="0" fontId="0" fillId="6" borderId="2" xfId="0" applyFill="1" applyBorder="1"/>
    <xf numFmtId="167" fontId="4" fillId="4" borderId="2" xfId="0" quotePrefix="1" applyNumberFormat="1" applyFont="1" applyFill="1" applyBorder="1" applyAlignment="1" applyProtection="1">
      <alignment horizontal="left"/>
    </xf>
    <xf numFmtId="43" fontId="13" fillId="0" borderId="0" xfId="0" applyNumberFormat="1" applyFont="1" applyFill="1" applyBorder="1"/>
    <xf numFmtId="4" fontId="13" fillId="0" borderId="0" xfId="1" applyNumberFormat="1" applyFont="1" applyFill="1" applyBorder="1"/>
    <xf numFmtId="167" fontId="13" fillId="7" borderId="2" xfId="0" applyNumberFormat="1" applyFont="1" applyFill="1" applyBorder="1" applyAlignment="1" applyProtection="1">
      <alignment horizontal="center"/>
    </xf>
    <xf numFmtId="171" fontId="13" fillId="6" borderId="2" xfId="0" applyNumberFormat="1" applyFont="1" applyFill="1" applyBorder="1" applyAlignment="1" applyProtection="1">
      <alignment horizontal="center"/>
    </xf>
    <xf numFmtId="2" fontId="13" fillId="4" borderId="2" xfId="0" applyNumberFormat="1" applyFont="1" applyFill="1" applyBorder="1" applyAlignment="1" applyProtection="1">
      <alignment horizontal="center"/>
    </xf>
    <xf numFmtId="0" fontId="4" fillId="12" borderId="2" xfId="0" applyFont="1" applyFill="1" applyBorder="1" applyAlignment="1">
      <alignment horizontal="center"/>
    </xf>
    <xf numFmtId="194" fontId="9" fillId="0" borderId="0" xfId="1" applyNumberFormat="1" applyFont="1"/>
    <xf numFmtId="194" fontId="5" fillId="0" borderId="0" xfId="1" applyNumberFormat="1" applyFont="1"/>
    <xf numFmtId="0" fontId="8" fillId="0" borderId="0" xfId="0" applyFont="1" applyFill="1" applyBorder="1"/>
    <xf numFmtId="196" fontId="0" fillId="0" borderId="0" xfId="1" applyNumberFormat="1" applyFont="1" applyFill="1"/>
    <xf numFmtId="1" fontId="0" fillId="0" borderId="0" xfId="0" applyNumberFormat="1" applyFill="1"/>
    <xf numFmtId="184" fontId="9" fillId="0" borderId="0" xfId="0" applyNumberFormat="1" applyFont="1" applyFill="1"/>
    <xf numFmtId="167" fontId="2" fillId="0" borderId="2" xfId="0" applyNumberFormat="1" applyFont="1" applyFill="1" applyBorder="1" applyAlignment="1" applyProtection="1">
      <alignment horizontal="center"/>
    </xf>
    <xf numFmtId="167" fontId="4" fillId="0" borderId="2" xfId="0" applyNumberFormat="1" applyFont="1" applyFill="1" applyBorder="1" applyAlignment="1" applyProtection="1"/>
    <xf numFmtId="171" fontId="2" fillId="0" borderId="2" xfId="0" applyNumberFormat="1" applyFont="1" applyFill="1" applyBorder="1" applyAlignment="1" applyProtection="1">
      <alignment horizontal="center"/>
    </xf>
    <xf numFmtId="2" fontId="2" fillId="0" borderId="2" xfId="0" applyNumberFormat="1" applyFont="1" applyFill="1" applyBorder="1" applyAlignment="1" applyProtection="1">
      <alignment horizontal="center"/>
    </xf>
    <xf numFmtId="168" fontId="2" fillId="0" borderId="2" xfId="0" applyNumberFormat="1" applyFont="1" applyFill="1" applyBorder="1" applyAlignment="1" applyProtection="1">
      <alignment horizontal="center"/>
    </xf>
    <xf numFmtId="43" fontId="2" fillId="0" borderId="2" xfId="1" applyFont="1" applyFill="1" applyBorder="1"/>
    <xf numFmtId="167" fontId="2" fillId="0" borderId="2" xfId="0" applyNumberFormat="1" applyFont="1" applyFill="1" applyBorder="1" applyAlignment="1" applyProtection="1"/>
    <xf numFmtId="167" fontId="2" fillId="0" borderId="2" xfId="0" quotePrefix="1" applyNumberFormat="1" applyFont="1" applyFill="1" applyBorder="1" applyAlignment="1" applyProtection="1">
      <alignment horizontal="left"/>
    </xf>
    <xf numFmtId="167" fontId="2" fillId="16" borderId="2" xfId="0" applyNumberFormat="1" applyFont="1" applyFill="1" applyBorder="1" applyAlignment="1" applyProtection="1">
      <alignment horizontal="center"/>
    </xf>
    <xf numFmtId="167" fontId="4" fillId="16" borderId="2" xfId="0" applyNumberFormat="1" applyFont="1" applyFill="1" applyBorder="1" applyAlignment="1" applyProtection="1"/>
    <xf numFmtId="167" fontId="4" fillId="16" borderId="2" xfId="0" quotePrefix="1" applyNumberFormat="1" applyFont="1" applyFill="1" applyBorder="1" applyAlignment="1" applyProtection="1">
      <alignment horizontal="left"/>
    </xf>
    <xf numFmtId="171" fontId="2" fillId="4" borderId="2" xfId="0" applyNumberFormat="1" applyFont="1" applyFill="1" applyBorder="1" applyAlignment="1" applyProtection="1">
      <alignment horizontal="center"/>
    </xf>
    <xf numFmtId="2" fontId="2" fillId="4" borderId="2" xfId="0" applyNumberFormat="1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171" fontId="4" fillId="0" borderId="2" xfId="0" applyNumberFormat="1" applyFont="1" applyFill="1" applyBorder="1" applyAlignment="1" applyProtection="1">
      <alignment horizontal="center"/>
    </xf>
    <xf numFmtId="167" fontId="2" fillId="2" borderId="2" xfId="0" applyNumberFormat="1" applyFont="1" applyFill="1" applyBorder="1" applyAlignment="1" applyProtection="1">
      <alignment horizontal="center"/>
    </xf>
    <xf numFmtId="167" fontId="4" fillId="2" borderId="2" xfId="0" applyNumberFormat="1" applyFont="1" applyFill="1" applyBorder="1" applyAlignment="1" applyProtection="1"/>
    <xf numFmtId="167" fontId="4" fillId="2" borderId="2" xfId="0" quotePrefix="1" applyNumberFormat="1" applyFont="1" applyFill="1" applyBorder="1" applyAlignment="1" applyProtection="1">
      <alignment horizontal="left"/>
    </xf>
    <xf numFmtId="2" fontId="2" fillId="12" borderId="2" xfId="0" applyNumberFormat="1" applyFont="1" applyFill="1" applyBorder="1" applyAlignment="1" applyProtection="1">
      <alignment horizontal="center"/>
    </xf>
    <xf numFmtId="171" fontId="15" fillId="0" borderId="2" xfId="0" applyNumberFormat="1" applyFont="1" applyFill="1" applyBorder="1" applyAlignment="1" applyProtection="1">
      <alignment horizontal="center"/>
    </xf>
    <xf numFmtId="1" fontId="2" fillId="0" borderId="2" xfId="0" applyNumberFormat="1" applyFont="1" applyFill="1" applyBorder="1" applyAlignment="1" applyProtection="1">
      <alignment horizontal="center"/>
    </xf>
    <xf numFmtId="0" fontId="6" fillId="9" borderId="2" xfId="0" applyFont="1" applyFill="1" applyBorder="1" applyAlignment="1">
      <alignment vertical="top"/>
    </xf>
    <xf numFmtId="0" fontId="2" fillId="0" borderId="2" xfId="0" applyFont="1" applyFill="1" applyBorder="1"/>
    <xf numFmtId="0" fontId="6" fillId="0" borderId="2" xfId="0" applyFont="1" applyFill="1" applyBorder="1"/>
    <xf numFmtId="2" fontId="2" fillId="4" borderId="0" xfId="0" applyNumberFormat="1" applyFont="1" applyFill="1" applyBorder="1" applyAlignment="1" applyProtection="1">
      <alignment horizontal="center"/>
    </xf>
    <xf numFmtId="0" fontId="0" fillId="5" borderId="2" xfId="0" applyFill="1" applyBorder="1" applyAlignment="1">
      <alignment horizontal="center"/>
    </xf>
    <xf numFmtId="167" fontId="8" fillId="3" borderId="2" xfId="0" applyNumberFormat="1" applyFont="1" applyFill="1" applyBorder="1" applyAlignment="1" applyProtection="1"/>
    <xf numFmtId="0" fontId="8" fillId="0" borderId="2" xfId="0" applyFont="1" applyFill="1" applyBorder="1" applyAlignment="1">
      <alignment horizontal="center"/>
    </xf>
    <xf numFmtId="0" fontId="4" fillId="17" borderId="2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0" fontId="4" fillId="0" borderId="11" xfId="0" applyFont="1" applyFill="1" applyBorder="1"/>
    <xf numFmtId="0" fontId="5" fillId="0" borderId="11" xfId="0" applyFont="1" applyFill="1" applyBorder="1"/>
    <xf numFmtId="0" fontId="4" fillId="6" borderId="0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9" fillId="0" borderId="13" xfId="0" applyFont="1" applyFill="1" applyBorder="1" applyAlignment="1">
      <alignment horizontal="center"/>
    </xf>
    <xf numFmtId="0" fontId="6" fillId="5" borderId="2" xfId="0" applyFont="1" applyFill="1" applyBorder="1" applyAlignment="1">
      <alignment vertical="top" wrapText="1"/>
    </xf>
    <xf numFmtId="0" fontId="4" fillId="0" borderId="11" xfId="0" applyFont="1" applyFill="1" applyBorder="1" applyAlignment="1">
      <alignment horizontal="center"/>
    </xf>
    <xf numFmtId="0" fontId="6" fillId="4" borderId="2" xfId="0" applyFont="1" applyFill="1" applyBorder="1" applyAlignment="1">
      <alignment vertical="top" wrapText="1"/>
    </xf>
    <xf numFmtId="2" fontId="4" fillId="2" borderId="0" xfId="2" applyNumberFormat="1" applyFont="1" applyFill="1" applyBorder="1"/>
    <xf numFmtId="2" fontId="4" fillId="2" borderId="2" xfId="2" applyNumberFormat="1" applyFont="1" applyFill="1" applyBorder="1" applyAlignment="1">
      <alignment horizontal="center"/>
    </xf>
    <xf numFmtId="2" fontId="4" fillId="0" borderId="2" xfId="0" applyNumberFormat="1" applyFont="1" applyFill="1" applyBorder="1"/>
    <xf numFmtId="2" fontId="4" fillId="0" borderId="0" xfId="0" applyNumberFormat="1" applyFont="1"/>
    <xf numFmtId="0" fontId="8" fillId="5" borderId="13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0" fillId="0" borderId="2" xfId="0" quotePrefix="1" applyFill="1" applyBorder="1"/>
    <xf numFmtId="44" fontId="0" fillId="0" borderId="2" xfId="2" applyFont="1" applyFill="1" applyBorder="1"/>
    <xf numFmtId="0" fontId="0" fillId="0" borderId="13" xfId="0" applyFill="1" applyBorder="1"/>
    <xf numFmtId="0" fontId="2" fillId="0" borderId="2" xfId="0" quotePrefix="1" applyFont="1" applyFill="1" applyBorder="1"/>
    <xf numFmtId="167" fontId="8" fillId="0" borderId="2" xfId="0" applyNumberFormat="1" applyFont="1" applyFill="1" applyBorder="1" applyAlignment="1" applyProtection="1">
      <alignment horizontal="center"/>
    </xf>
    <xf numFmtId="167" fontId="4" fillId="0" borderId="2" xfId="0" quotePrefix="1" applyNumberFormat="1" applyFont="1" applyFill="1" applyBorder="1" applyAlignment="1" applyProtection="1">
      <alignment horizontal="right"/>
    </xf>
    <xf numFmtId="0" fontId="5" fillId="0" borderId="2" xfId="0" quotePrefix="1" applyFont="1" applyFill="1" applyBorder="1"/>
    <xf numFmtId="0" fontId="4" fillId="0" borderId="2" xfId="0" applyFont="1" applyBorder="1"/>
    <xf numFmtId="0" fontId="4" fillId="0" borderId="2" xfId="0" quotePrefix="1" applyFont="1" applyBorder="1"/>
    <xf numFmtId="0" fontId="8" fillId="0" borderId="2" xfId="0" applyFont="1" applyBorder="1" applyAlignment="1">
      <alignment horizontal="center"/>
    </xf>
    <xf numFmtId="0" fontId="8" fillId="18" borderId="2" xfId="0" applyFont="1" applyFill="1" applyBorder="1" applyAlignment="1">
      <alignment horizontal="center"/>
    </xf>
    <xf numFmtId="17" fontId="4" fillId="2" borderId="0" xfId="1" applyNumberFormat="1" applyFont="1" applyFill="1" applyBorder="1" applyAlignment="1"/>
    <xf numFmtId="196" fontId="8" fillId="7" borderId="2" xfId="1" applyNumberFormat="1" applyFont="1" applyFill="1" applyBorder="1" applyAlignment="1"/>
    <xf numFmtId="196" fontId="4" fillId="2" borderId="2" xfId="1" applyNumberFormat="1" applyFont="1" applyFill="1" applyBorder="1" applyAlignment="1"/>
    <xf numFmtId="196" fontId="4" fillId="0" borderId="2" xfId="1" applyNumberFormat="1" applyFont="1" applyFill="1" applyBorder="1" applyAlignment="1"/>
    <xf numFmtId="171" fontId="4" fillId="0" borderId="2" xfId="2" applyNumberFormat="1" applyFont="1" applyFill="1" applyBorder="1" applyAlignment="1"/>
    <xf numFmtId="171" fontId="5" fillId="0" borderId="2" xfId="2" applyNumberFormat="1" applyFont="1" applyFill="1" applyBorder="1" applyAlignment="1"/>
    <xf numFmtId="196" fontId="4" fillId="0" borderId="0" xfId="1" applyNumberFormat="1" applyFont="1" applyBorder="1" applyAlignment="1"/>
    <xf numFmtId="39" fontId="0" fillId="0" borderId="2" xfId="2" applyNumberFormat="1" applyFont="1" applyFill="1" applyBorder="1"/>
    <xf numFmtId="39" fontId="5" fillId="0" borderId="2" xfId="2" applyNumberFormat="1" applyFont="1" applyFill="1" applyBorder="1"/>
    <xf numFmtId="1" fontId="0" fillId="0" borderId="0" xfId="0" applyNumberFormat="1" applyBorder="1"/>
    <xf numFmtId="0" fontId="4" fillId="0" borderId="0" xfId="0" quotePrefix="1" applyFont="1" applyBorder="1"/>
    <xf numFmtId="1" fontId="2" fillId="10" borderId="2" xfId="0" applyNumberFormat="1" applyFont="1" applyFill="1" applyBorder="1" applyAlignment="1" applyProtection="1">
      <alignment horizontal="center"/>
    </xf>
    <xf numFmtId="39" fontId="2" fillId="0" borderId="2" xfId="1" applyNumberFormat="1" applyFont="1" applyFill="1" applyBorder="1" applyAlignment="1" applyProtection="1"/>
    <xf numFmtId="167" fontId="2" fillId="10" borderId="2" xfId="0" applyNumberFormat="1" applyFont="1" applyFill="1" applyBorder="1" applyAlignment="1" applyProtection="1">
      <alignment horizontal="center"/>
    </xf>
    <xf numFmtId="178" fontId="4" fillId="0" borderId="2" xfId="2" applyNumberFormat="1" applyFont="1" applyFill="1" applyBorder="1"/>
    <xf numFmtId="0" fontId="4" fillId="7" borderId="2" xfId="0" applyFont="1" applyFill="1" applyBorder="1"/>
    <xf numFmtId="167" fontId="5" fillId="0" borderId="2" xfId="0" quotePrefix="1" applyNumberFormat="1" applyFont="1" applyFill="1" applyBorder="1" applyAlignment="1" applyProtection="1">
      <alignment horizontal="left"/>
    </xf>
    <xf numFmtId="167" fontId="5" fillId="0" borderId="2" xfId="0" applyNumberFormat="1" applyFont="1" applyFill="1" applyBorder="1" applyAlignment="1" applyProtection="1">
      <alignment horizontal="center"/>
    </xf>
    <xf numFmtId="0" fontId="24" fillId="0" borderId="2" xfId="0" applyFont="1" applyFill="1" applyBorder="1"/>
    <xf numFmtId="0" fontId="4" fillId="4" borderId="2" xfId="0" applyFont="1" applyFill="1" applyBorder="1"/>
    <xf numFmtId="167" fontId="8" fillId="4" borderId="2" xfId="0" applyNumberFormat="1" applyFont="1" applyFill="1" applyBorder="1" applyAlignment="1" applyProtection="1">
      <alignment horizontal="center"/>
    </xf>
    <xf numFmtId="0" fontId="4" fillId="4" borderId="11" xfId="0" applyFont="1" applyFill="1" applyBorder="1"/>
    <xf numFmtId="0" fontId="6" fillId="9" borderId="0" xfId="0" applyFont="1" applyFill="1" applyBorder="1" applyAlignment="1">
      <alignment vertical="top" wrapText="1"/>
    </xf>
    <xf numFmtId="0" fontId="5" fillId="0" borderId="0" xfId="0" applyFont="1" applyFill="1" applyBorder="1" applyAlignment="1">
      <alignment horizontal="center"/>
    </xf>
    <xf numFmtId="0" fontId="8" fillId="4" borderId="13" xfId="0" applyFont="1" applyFill="1" applyBorder="1" applyAlignment="1">
      <alignment horizontal="center"/>
    </xf>
    <xf numFmtId="0" fontId="23" fillId="9" borderId="13" xfId="0" applyFont="1" applyFill="1" applyBorder="1" applyAlignment="1">
      <alignment horizontal="center" vertical="top" wrapText="1"/>
    </xf>
    <xf numFmtId="0" fontId="23" fillId="6" borderId="13" xfId="0" applyFont="1" applyFill="1" applyBorder="1" applyAlignment="1">
      <alignment horizontal="center" vertical="top" wrapText="1"/>
    </xf>
    <xf numFmtId="0" fontId="23" fillId="9" borderId="2" xfId="0" applyFont="1" applyFill="1" applyBorder="1" applyAlignment="1">
      <alignment horizontal="center" vertical="top" wrapText="1"/>
    </xf>
    <xf numFmtId="0" fontId="23" fillId="6" borderId="2" xfId="0" applyFont="1" applyFill="1" applyBorder="1" applyAlignment="1">
      <alignment horizontal="center" vertical="top" wrapText="1"/>
    </xf>
    <xf numFmtId="0" fontId="4" fillId="0" borderId="11" xfId="0" applyNumberFormat="1" applyFont="1" applyFill="1" applyBorder="1" applyAlignment="1" applyProtection="1"/>
    <xf numFmtId="0" fontId="4" fillId="4" borderId="2" xfId="0" applyNumberFormat="1" applyFont="1" applyFill="1" applyBorder="1" applyAlignment="1" applyProtection="1"/>
    <xf numFmtId="171" fontId="0" fillId="7" borderId="2" xfId="0" applyNumberFormat="1" applyFill="1" applyBorder="1"/>
    <xf numFmtId="4" fontId="0" fillId="7" borderId="2" xfId="0" applyNumberFormat="1" applyFill="1" applyBorder="1"/>
    <xf numFmtId="0" fontId="2" fillId="0" borderId="2" xfId="0" applyFont="1" applyBorder="1"/>
    <xf numFmtId="4" fontId="4" fillId="0" borderId="2" xfId="0" applyNumberFormat="1" applyFont="1" applyFill="1" applyBorder="1"/>
    <xf numFmtId="196" fontId="4" fillId="0" borderId="2" xfId="1" applyNumberFormat="1" applyFont="1" applyFill="1" applyBorder="1"/>
    <xf numFmtId="171" fontId="4" fillId="0" borderId="2" xfId="0" applyNumberFormat="1" applyFont="1" applyBorder="1"/>
    <xf numFmtId="4" fontId="4" fillId="0" borderId="2" xfId="0" applyNumberFormat="1" applyFont="1" applyBorder="1"/>
    <xf numFmtId="196" fontId="4" fillId="6" borderId="2" xfId="1" applyNumberFormat="1" applyFont="1" applyFill="1" applyBorder="1"/>
    <xf numFmtId="0" fontId="8" fillId="0" borderId="2" xfId="0" applyFont="1" applyFill="1" applyBorder="1"/>
    <xf numFmtId="196" fontId="4" fillId="0" borderId="2" xfId="1" applyNumberFormat="1" applyFont="1" applyBorder="1"/>
    <xf numFmtId="0" fontId="28" fillId="0" borderId="2" xfId="0" applyFont="1" applyBorder="1"/>
    <xf numFmtId="171" fontId="8" fillId="0" borderId="2" xfId="0" applyNumberFormat="1" applyFont="1" applyBorder="1"/>
    <xf numFmtId="4" fontId="8" fillId="0" borderId="2" xfId="0" applyNumberFormat="1" applyFont="1" applyBorder="1"/>
    <xf numFmtId="7" fontId="29" fillId="0" borderId="2" xfId="0" applyNumberFormat="1" applyFont="1" applyBorder="1" applyAlignment="1">
      <alignment horizontal="center"/>
    </xf>
    <xf numFmtId="196" fontId="6" fillId="0" borderId="2" xfId="1" applyNumberFormat="1" applyFont="1" applyBorder="1"/>
    <xf numFmtId="0" fontId="2" fillId="0" borderId="2" xfId="0" applyFont="1" applyFill="1" applyBorder="1" applyAlignment="1">
      <alignment horizontal="center"/>
    </xf>
    <xf numFmtId="1" fontId="4" fillId="0" borderId="2" xfId="2" applyNumberFormat="1" applyFont="1" applyFill="1" applyBorder="1" applyAlignment="1" applyProtection="1">
      <alignment horizontal="center"/>
    </xf>
    <xf numFmtId="1" fontId="4" fillId="0" borderId="2" xfId="0" applyNumberFormat="1" applyFont="1" applyFill="1" applyBorder="1" applyAlignment="1" applyProtection="1">
      <alignment horizontal="center"/>
    </xf>
    <xf numFmtId="2" fontId="5" fillId="12" borderId="2" xfId="0" applyNumberFormat="1" applyFont="1" applyFill="1" applyBorder="1" applyAlignment="1" applyProtection="1">
      <alignment horizontal="center"/>
    </xf>
    <xf numFmtId="2" fontId="2" fillId="5" borderId="2" xfId="0" applyNumberFormat="1" applyFont="1" applyFill="1" applyBorder="1" applyAlignment="1" applyProtection="1">
      <alignment horizontal="center"/>
    </xf>
    <xf numFmtId="0" fontId="0" fillId="12" borderId="0" xfId="0" applyFill="1"/>
    <xf numFmtId="0" fontId="4" fillId="12" borderId="2" xfId="0" applyFont="1" applyFill="1" applyBorder="1" applyAlignment="1"/>
    <xf numFmtId="4" fontId="5" fillId="0" borderId="8" xfId="0" applyNumberFormat="1" applyFont="1" applyBorder="1"/>
    <xf numFmtId="167" fontId="4" fillId="0" borderId="11" xfId="0" applyNumberFormat="1" applyFont="1" applyFill="1" applyBorder="1" applyAlignment="1" applyProtection="1"/>
    <xf numFmtId="2" fontId="2" fillId="12" borderId="0" xfId="0" applyNumberFormat="1" applyFont="1" applyFill="1" applyBorder="1" applyAlignment="1" applyProtection="1">
      <alignment horizontal="center"/>
    </xf>
    <xf numFmtId="2" fontId="5" fillId="12" borderId="0" xfId="0" applyNumberFormat="1" applyFont="1" applyFill="1" applyBorder="1" applyAlignment="1" applyProtection="1">
      <alignment horizontal="center"/>
    </xf>
    <xf numFmtId="2" fontId="2" fillId="5" borderId="0" xfId="0" applyNumberFormat="1" applyFont="1" applyFill="1" applyBorder="1" applyAlignment="1" applyProtection="1">
      <alignment horizontal="center"/>
    </xf>
    <xf numFmtId="167" fontId="13" fillId="0" borderId="11" xfId="0" quotePrefix="1" applyNumberFormat="1" applyFont="1" applyFill="1" applyBorder="1" applyAlignment="1" applyProtection="1">
      <alignment horizontal="left"/>
    </xf>
    <xf numFmtId="2" fontId="0" fillId="5" borderId="0" xfId="0" applyNumberFormat="1" applyFill="1"/>
    <xf numFmtId="0" fontId="4" fillId="5" borderId="2" xfId="0" applyFont="1" applyFill="1" applyBorder="1" applyAlignment="1"/>
    <xf numFmtId="1" fontId="8" fillId="5" borderId="0" xfId="0" applyNumberFormat="1" applyFont="1" applyFill="1"/>
    <xf numFmtId="0" fontId="30" fillId="0" borderId="0" xfId="0" applyFont="1"/>
    <xf numFmtId="2" fontId="0" fillId="7" borderId="0" xfId="0" applyNumberFormat="1" applyFill="1"/>
    <xf numFmtId="0" fontId="4" fillId="0" borderId="2" xfId="0" applyFont="1" applyFill="1" applyBorder="1" applyAlignment="1">
      <alignment horizontal="left"/>
    </xf>
    <xf numFmtId="43" fontId="4" fillId="0" borderId="0" xfId="1" applyFont="1"/>
    <xf numFmtId="193" fontId="5" fillId="0" borderId="0" xfId="1" applyNumberFormat="1" applyFont="1"/>
    <xf numFmtId="193" fontId="5" fillId="0" borderId="3" xfId="1" applyNumberFormat="1" applyFont="1" applyBorder="1"/>
    <xf numFmtId="43" fontId="5" fillId="0" borderId="0" xfId="1" applyFont="1"/>
    <xf numFmtId="0" fontId="0" fillId="5" borderId="0" xfId="0" applyFill="1" applyBorder="1"/>
    <xf numFmtId="196" fontId="0" fillId="6" borderId="0" xfId="1" applyNumberFormat="1" applyFont="1" applyFill="1"/>
    <xf numFmtId="167" fontId="25" fillId="0" borderId="2" xfId="0" applyNumberFormat="1" applyFont="1" applyFill="1" applyBorder="1" applyAlignment="1" applyProtection="1"/>
    <xf numFmtId="167" fontId="26" fillId="0" borderId="2" xfId="0" applyNumberFormat="1" applyFont="1" applyFill="1" applyBorder="1" applyAlignment="1" applyProtection="1"/>
    <xf numFmtId="196" fontId="0" fillId="6" borderId="2" xfId="1" applyNumberFormat="1" applyFont="1" applyFill="1" applyBorder="1"/>
    <xf numFmtId="196" fontId="0" fillId="19" borderId="0" xfId="1" applyNumberFormat="1" applyFont="1" applyFill="1"/>
    <xf numFmtId="0" fontId="8" fillId="19" borderId="2" xfId="0" applyFont="1" applyFill="1" applyBorder="1"/>
    <xf numFmtId="171" fontId="13" fillId="20" borderId="2" xfId="0" applyNumberFormat="1" applyFont="1" applyFill="1" applyBorder="1" applyAlignment="1" applyProtection="1">
      <alignment horizontal="center"/>
    </xf>
    <xf numFmtId="196" fontId="4" fillId="6" borderId="2" xfId="1" applyNumberFormat="1" applyFont="1" applyFill="1" applyBorder="1" applyAlignment="1"/>
    <xf numFmtId="178" fontId="8" fillId="6" borderId="2" xfId="2" applyNumberFormat="1" applyFont="1" applyFill="1" applyBorder="1"/>
    <xf numFmtId="0" fontId="27" fillId="0" borderId="2" xfId="0" applyFont="1" applyFill="1" applyBorder="1" applyAlignment="1">
      <alignment horizontal="center"/>
    </xf>
    <xf numFmtId="171" fontId="13" fillId="6" borderId="2" xfId="0" applyNumberFormat="1" applyFont="1" applyFill="1" applyBorder="1" applyAlignment="1" applyProtection="1"/>
    <xf numFmtId="171" fontId="2" fillId="6" borderId="2" xfId="0" applyNumberFormat="1" applyFont="1" applyFill="1" applyBorder="1" applyAlignment="1" applyProtection="1">
      <alignment horizontal="center"/>
    </xf>
    <xf numFmtId="0" fontId="4" fillId="0" borderId="2" xfId="0" applyNumberFormat="1" applyFont="1" applyFill="1" applyBorder="1" applyAlignment="1" applyProtection="1"/>
    <xf numFmtId="178" fontId="4" fillId="6" borderId="2" xfId="2" applyNumberFormat="1" applyFont="1" applyFill="1" applyBorder="1"/>
    <xf numFmtId="196" fontId="4" fillId="15" borderId="2" xfId="1" applyNumberFormat="1" applyFont="1" applyFill="1" applyBorder="1" applyAlignment="1"/>
    <xf numFmtId="0" fontId="0" fillId="0" borderId="9" xfId="0" applyBorder="1"/>
    <xf numFmtId="171" fontId="0" fillId="0" borderId="3" xfId="0" applyNumberFormat="1" applyBorder="1"/>
    <xf numFmtId="171" fontId="0" fillId="6" borderId="0" xfId="0" applyNumberFormat="1" applyFill="1"/>
    <xf numFmtId="185" fontId="0" fillId="6" borderId="0" xfId="0" applyNumberFormat="1" applyFill="1"/>
    <xf numFmtId="4" fontId="0" fillId="0" borderId="12" xfId="0" applyNumberFormat="1" applyBorder="1"/>
    <xf numFmtId="3" fontId="0" fillId="4" borderId="2" xfId="0" applyNumberFormat="1" applyFill="1" applyBorder="1"/>
    <xf numFmtId="4" fontId="4" fillId="0" borderId="2" xfId="0" applyNumberFormat="1" applyFont="1" applyFill="1" applyBorder="1" applyAlignment="1" applyProtection="1">
      <alignment horizontal="center"/>
    </xf>
    <xf numFmtId="4" fontId="4" fillId="0" borderId="8" xfId="0" applyNumberFormat="1" applyFont="1" applyFill="1" applyBorder="1"/>
    <xf numFmtId="173" fontId="4" fillId="0" borderId="2" xfId="0" applyNumberFormat="1" applyFont="1" applyFill="1" applyBorder="1" applyAlignment="1" applyProtection="1">
      <alignment horizontal="center"/>
    </xf>
    <xf numFmtId="0" fontId="23" fillId="7" borderId="11" xfId="0" applyFont="1" applyFill="1" applyBorder="1" applyAlignment="1">
      <alignment vertical="top"/>
    </xf>
    <xf numFmtId="4" fontId="4" fillId="7" borderId="2" xfId="0" applyNumberFormat="1" applyFont="1" applyFill="1" applyBorder="1" applyAlignment="1" applyProtection="1">
      <alignment horizontal="center"/>
    </xf>
    <xf numFmtId="0" fontId="6" fillId="0" borderId="11" xfId="0" applyFont="1" applyFill="1" applyBorder="1" applyAlignment="1">
      <alignment vertical="top" wrapText="1"/>
    </xf>
    <xf numFmtId="0" fontId="23" fillId="0" borderId="13" xfId="0" applyFont="1" applyFill="1" applyBorder="1" applyAlignment="1">
      <alignment horizontal="center" vertical="top" wrapText="1"/>
    </xf>
    <xf numFmtId="0" fontId="5" fillId="0" borderId="11" xfId="0" applyNumberFormat="1" applyFont="1" applyFill="1" applyBorder="1" applyAlignment="1" applyProtection="1"/>
    <xf numFmtId="167" fontId="28" fillId="0" borderId="2" xfId="0" applyNumberFormat="1" applyFont="1" applyFill="1" applyBorder="1" applyAlignment="1" applyProtection="1"/>
    <xf numFmtId="0" fontId="8" fillId="0" borderId="0" xfId="0" applyFont="1" applyBorder="1"/>
    <xf numFmtId="0" fontId="5" fillId="0" borderId="0" xfId="0" applyFont="1" applyBorder="1"/>
    <xf numFmtId="196" fontId="5" fillId="0" borderId="0" xfId="1" applyNumberFormat="1" applyFont="1" applyBorder="1"/>
    <xf numFmtId="2" fontId="0" fillId="0" borderId="12" xfId="0" applyNumberFormat="1" applyBorder="1"/>
    <xf numFmtId="0" fontId="4" fillId="21" borderId="2" xfId="0" applyFont="1" applyFill="1" applyBorder="1"/>
    <xf numFmtId="0" fontId="27" fillId="21" borderId="2" xfId="0" applyFont="1" applyFill="1" applyBorder="1"/>
    <xf numFmtId="196" fontId="4" fillId="21" borderId="2" xfId="1" applyNumberFormat="1" applyFont="1" applyFill="1" applyBorder="1"/>
    <xf numFmtId="167" fontId="4" fillId="4" borderId="2" xfId="0" applyNumberFormat="1" applyFont="1" applyFill="1" applyBorder="1" applyAlignment="1" applyProtection="1"/>
    <xf numFmtId="0" fontId="5" fillId="19" borderId="2" xfId="0" applyFont="1" applyFill="1" applyBorder="1" applyAlignment="1">
      <alignment horizontal="center"/>
    </xf>
    <xf numFmtId="3" fontId="0" fillId="0" borderId="0" xfId="0" applyNumberFormat="1" applyBorder="1"/>
    <xf numFmtId="2" fontId="5" fillId="0" borderId="0" xfId="0" applyNumberFormat="1" applyFont="1" applyBorder="1"/>
    <xf numFmtId="185" fontId="0" fillId="0" borderId="0" xfId="0" applyNumberFormat="1" applyBorder="1"/>
    <xf numFmtId="0" fontId="8" fillId="19" borderId="0" xfId="0" applyFont="1" applyFill="1"/>
    <xf numFmtId="167" fontId="4" fillId="4" borderId="2" xfId="0" applyNumberFormat="1" applyFont="1" applyFill="1" applyBorder="1" applyAlignment="1" applyProtection="1">
      <alignment horizontal="left"/>
    </xf>
    <xf numFmtId="7" fontId="2" fillId="4" borderId="2" xfId="0" applyNumberFormat="1" applyFont="1" applyFill="1" applyBorder="1" applyAlignment="1" applyProtection="1">
      <alignment horizontal="center"/>
    </xf>
    <xf numFmtId="0" fontId="13" fillId="4" borderId="2" xfId="0" applyFont="1" applyFill="1" applyBorder="1" applyAlignment="1" applyProtection="1">
      <alignment horizontal="center"/>
    </xf>
    <xf numFmtId="167" fontId="4" fillId="4" borderId="2" xfId="0" quotePrefix="1" applyNumberFormat="1" applyFont="1" applyFill="1" applyBorder="1" applyAlignment="1" applyProtection="1">
      <alignment horizontal="center"/>
    </xf>
    <xf numFmtId="167" fontId="4" fillId="4" borderId="2" xfId="0" applyNumberFormat="1" applyFont="1" applyFill="1" applyBorder="1" applyAlignment="1" applyProtection="1">
      <alignment horizontal="center"/>
    </xf>
    <xf numFmtId="0" fontId="4" fillId="4" borderId="2" xfId="0" quotePrefix="1" applyFont="1" applyFill="1" applyBorder="1" applyAlignment="1" applyProtection="1">
      <alignment horizontal="center"/>
    </xf>
    <xf numFmtId="0" fontId="4" fillId="4" borderId="2" xfId="0" applyFont="1" applyFill="1" applyBorder="1" applyAlignment="1" applyProtection="1"/>
    <xf numFmtId="43" fontId="14" fillId="3" borderId="7" xfId="1" applyFont="1" applyFill="1" applyBorder="1" applyAlignment="1" applyProtection="1">
      <alignment horizontal="center"/>
    </xf>
    <xf numFmtId="0" fontId="0" fillId="0" borderId="11" xfId="0" applyFill="1" applyBorder="1"/>
    <xf numFmtId="2" fontId="13" fillId="11" borderId="2" xfId="0" applyNumberFormat="1" applyFont="1" applyFill="1" applyBorder="1" applyAlignment="1" applyProtection="1">
      <alignment horizontal="center"/>
    </xf>
    <xf numFmtId="0" fontId="0" fillId="19" borderId="0" xfId="0" applyFill="1"/>
    <xf numFmtId="0" fontId="0" fillId="15" borderId="2" xfId="0" applyFill="1" applyBorder="1"/>
    <xf numFmtId="196" fontId="0" fillId="15" borderId="2" xfId="1" applyNumberFormat="1" applyFont="1" applyFill="1" applyBorder="1"/>
    <xf numFmtId="0" fontId="6" fillId="9" borderId="11" xfId="0" applyNumberFormat="1" applyFont="1" applyFill="1" applyBorder="1" applyAlignment="1">
      <alignment vertical="top"/>
    </xf>
    <xf numFmtId="0" fontId="4" fillId="2" borderId="0" xfId="0" applyFont="1" applyFill="1" applyBorder="1" applyAlignment="1"/>
    <xf numFmtId="0" fontId="9" fillId="7" borderId="0" xfId="0" applyFont="1" applyFill="1" applyBorder="1" applyAlignment="1"/>
    <xf numFmtId="0" fontId="4" fillId="2" borderId="2" xfId="0" applyFont="1" applyFill="1" applyBorder="1" applyAlignment="1"/>
    <xf numFmtId="0" fontId="4" fillId="0" borderId="11" xfId="0" applyNumberFormat="1" applyFont="1" applyFill="1" applyBorder="1" applyAlignment="1"/>
    <xf numFmtId="0" fontId="4" fillId="4" borderId="11" xfId="0" applyNumberFormat="1" applyFont="1" applyFill="1" applyBorder="1" applyAlignment="1"/>
    <xf numFmtId="0" fontId="8" fillId="0" borderId="11" xfId="0" applyNumberFormat="1" applyFont="1" applyFill="1" applyBorder="1" applyAlignment="1"/>
    <xf numFmtId="0" fontId="5" fillId="0" borderId="11" xfId="0" applyNumberFormat="1" applyFont="1" applyFill="1" applyBorder="1" applyAlignment="1"/>
    <xf numFmtId="0" fontId="6" fillId="0" borderId="11" xfId="0" applyNumberFormat="1" applyFont="1" applyFill="1" applyBorder="1" applyAlignment="1">
      <alignment vertical="top"/>
    </xf>
    <xf numFmtId="0" fontId="4" fillId="5" borderId="11" xfId="0" applyNumberFormat="1" applyFont="1" applyFill="1" applyBorder="1" applyAlignment="1"/>
    <xf numFmtId="0" fontId="6" fillId="7" borderId="11" xfId="0" applyNumberFormat="1" applyFont="1" applyFill="1" applyBorder="1" applyAlignment="1">
      <alignment vertical="top"/>
    </xf>
    <xf numFmtId="0" fontId="6" fillId="9" borderId="2" xfId="0" applyNumberFormat="1" applyFont="1" applyFill="1" applyBorder="1" applyAlignment="1">
      <alignment vertical="top"/>
    </xf>
    <xf numFmtId="0" fontId="4" fillId="0" borderId="2" xfId="0" applyNumberFormat="1" applyFont="1" applyFill="1" applyBorder="1" applyAlignment="1"/>
    <xf numFmtId="0" fontId="5" fillId="7" borderId="2" xfId="0" applyNumberFormat="1" applyFont="1" applyFill="1" applyBorder="1" applyAlignment="1"/>
    <xf numFmtId="0" fontId="24" fillId="4" borderId="2" xfId="0" applyNumberFormat="1" applyFont="1" applyFill="1" applyBorder="1" applyAlignment="1"/>
    <xf numFmtId="0" fontId="6" fillId="5" borderId="2" xfId="0" applyNumberFormat="1" applyFont="1" applyFill="1" applyBorder="1" applyAlignment="1">
      <alignment vertical="top"/>
    </xf>
    <xf numFmtId="0" fontId="6" fillId="10" borderId="2" xfId="0" applyNumberFormat="1" applyFont="1" applyFill="1" applyBorder="1" applyAlignment="1">
      <alignment vertical="top"/>
    </xf>
    <xf numFmtId="0" fontId="0" fillId="0" borderId="2" xfId="0" applyNumberFormat="1" applyBorder="1" applyAlignment="1"/>
    <xf numFmtId="0" fontId="4" fillId="0" borderId="0" xfId="0" applyFont="1" applyAlignment="1"/>
    <xf numFmtId="0" fontId="6" fillId="4" borderId="11" xfId="0" applyNumberFormat="1" applyFont="1" applyFill="1" applyBorder="1" applyAlignment="1">
      <alignment vertical="top"/>
    </xf>
    <xf numFmtId="178" fontId="8" fillId="4" borderId="2" xfId="2" applyNumberFormat="1" applyFont="1" applyFill="1" applyBorder="1"/>
    <xf numFmtId="0" fontId="8" fillId="4" borderId="2" xfId="0" applyFont="1" applyFill="1" applyBorder="1" applyAlignment="1">
      <alignment horizontal="center"/>
    </xf>
    <xf numFmtId="1" fontId="4" fillId="4" borderId="2" xfId="0" applyNumberFormat="1" applyFont="1" applyFill="1" applyBorder="1" applyAlignment="1">
      <alignment horizontal="center"/>
    </xf>
    <xf numFmtId="0" fontId="0" fillId="4" borderId="0" xfId="0" applyFill="1" applyBorder="1"/>
    <xf numFmtId="0" fontId="8" fillId="4" borderId="0" xfId="0" applyFont="1" applyFill="1" applyBorder="1" applyAlignment="1">
      <alignment horizontal="center"/>
    </xf>
    <xf numFmtId="196" fontId="4" fillId="5" borderId="2" xfId="1" applyNumberFormat="1" applyFont="1" applyFill="1" applyBorder="1" applyAlignment="1"/>
    <xf numFmtId="17" fontId="9" fillId="7" borderId="2" xfId="0" applyNumberFormat="1" applyFont="1" applyFill="1" applyBorder="1"/>
    <xf numFmtId="17" fontId="0" fillId="0" borderId="0" xfId="0" applyNumberFormat="1"/>
    <xf numFmtId="0" fontId="0" fillId="11" borderId="0" xfId="0" applyFill="1"/>
    <xf numFmtId="0" fontId="4" fillId="12" borderId="0" xfId="0" applyFont="1" applyFill="1" applyBorder="1" applyAlignment="1">
      <alignment horizontal="center"/>
    </xf>
    <xf numFmtId="16" fontId="0" fillId="0" borderId="0" xfId="0" applyNumberFormat="1"/>
    <xf numFmtId="167" fontId="8" fillId="4" borderId="13" xfId="0" applyNumberFormat="1" applyFont="1" applyFill="1" applyBorder="1" applyAlignment="1" applyProtection="1">
      <alignment horizontal="center"/>
    </xf>
    <xf numFmtId="167" fontId="8" fillId="0" borderId="13" xfId="0" applyNumberFormat="1" applyFont="1" applyFill="1" applyBorder="1" applyAlignment="1" applyProtection="1">
      <alignment horizontal="center"/>
    </xf>
    <xf numFmtId="0" fontId="8" fillId="5" borderId="2" xfId="0" applyFont="1" applyFill="1" applyBorder="1" applyAlignment="1">
      <alignment horizontal="center"/>
    </xf>
    <xf numFmtId="0" fontId="23" fillId="0" borderId="2" xfId="0" applyFont="1" applyFill="1" applyBorder="1" applyAlignment="1">
      <alignment horizontal="center" vertical="top" wrapText="1"/>
    </xf>
    <xf numFmtId="0" fontId="24" fillId="4" borderId="11" xfId="0" applyNumberFormat="1" applyFont="1" applyFill="1" applyBorder="1" applyAlignment="1"/>
    <xf numFmtId="0" fontId="4" fillId="4" borderId="2" xfId="0" applyNumberFormat="1" applyFont="1" applyFill="1" applyBorder="1" applyAlignment="1"/>
    <xf numFmtId="0" fontId="5" fillId="0" borderId="2" xfId="0" applyNumberFormat="1" applyFont="1" applyFill="1" applyBorder="1" applyAlignment="1" applyProtection="1"/>
    <xf numFmtId="0" fontId="4" fillId="4" borderId="11" xfId="0" applyNumberFormat="1" applyFont="1" applyFill="1" applyBorder="1" applyAlignment="1" applyProtection="1"/>
    <xf numFmtId="0" fontId="6" fillId="0" borderId="2" xfId="0" applyNumberFormat="1" applyFont="1" applyFill="1" applyBorder="1" applyAlignment="1">
      <alignment vertical="top"/>
    </xf>
    <xf numFmtId="0" fontId="4" fillId="5" borderId="2" xfId="0" applyNumberFormat="1" applyFont="1" applyFill="1" applyBorder="1" applyAlignment="1"/>
    <xf numFmtId="0" fontId="5" fillId="0" borderId="2" xfId="0" applyNumberFormat="1" applyFont="1" applyFill="1" applyBorder="1" applyAlignment="1"/>
    <xf numFmtId="0" fontId="4" fillId="17" borderId="2" xfId="0" applyNumberFormat="1" applyFont="1" applyFill="1" applyBorder="1" applyAlignment="1" applyProtection="1"/>
    <xf numFmtId="0" fontId="8" fillId="0" borderId="2" xfId="0" applyNumberFormat="1" applyFont="1" applyFill="1" applyBorder="1" applyAlignment="1"/>
    <xf numFmtId="0" fontId="6" fillId="10" borderId="11" xfId="0" applyNumberFormat="1" applyFont="1" applyFill="1" applyBorder="1" applyAlignment="1">
      <alignment vertical="top"/>
    </xf>
    <xf numFmtId="0" fontId="8" fillId="19" borderId="13" xfId="0" applyFont="1" applyFill="1" applyBorder="1" applyAlignment="1">
      <alignment horizontal="center"/>
    </xf>
    <xf numFmtId="0" fontId="4" fillId="19" borderId="11" xfId="0" applyNumberFormat="1" applyFont="1" applyFill="1" applyBorder="1" applyAlignment="1"/>
    <xf numFmtId="0" fontId="23" fillId="19" borderId="13" xfId="0" applyFont="1" applyFill="1" applyBorder="1" applyAlignment="1">
      <alignment horizontal="center" vertical="top" wrapText="1"/>
    </xf>
    <xf numFmtId="0" fontId="6" fillId="19" borderId="11" xfId="0" applyNumberFormat="1" applyFont="1" applyFill="1" applyBorder="1" applyAlignment="1">
      <alignment vertical="top"/>
    </xf>
    <xf numFmtId="0" fontId="23" fillId="19" borderId="2" xfId="0" applyFont="1" applyFill="1" applyBorder="1" applyAlignment="1">
      <alignment horizontal="center" vertical="top" wrapText="1"/>
    </xf>
    <xf numFmtId="0" fontId="6" fillId="19" borderId="2" xfId="0" applyNumberFormat="1" applyFont="1" applyFill="1" applyBorder="1" applyAlignment="1">
      <alignment vertical="top"/>
    </xf>
    <xf numFmtId="43" fontId="4" fillId="2" borderId="0" xfId="1" applyNumberFormat="1" applyFont="1" applyFill="1" applyBorder="1"/>
    <xf numFmtId="43" fontId="4" fillId="2" borderId="2" xfId="1" applyNumberFormat="1" applyFont="1" applyFill="1" applyBorder="1"/>
    <xf numFmtId="43" fontId="4" fillId="0" borderId="2" xfId="0" applyNumberFormat="1" applyFont="1" applyFill="1" applyBorder="1" applyAlignment="1">
      <alignment horizontal="center"/>
    </xf>
    <xf numFmtId="43" fontId="4" fillId="0" borderId="0" xfId="1" applyNumberFormat="1" applyFont="1" applyBorder="1"/>
    <xf numFmtId="0" fontId="0" fillId="15" borderId="2" xfId="0" applyFill="1" applyBorder="1" applyAlignment="1">
      <alignment horizontal="center"/>
    </xf>
    <xf numFmtId="0" fontId="8" fillId="15" borderId="2" xfId="0" applyFont="1" applyFill="1" applyBorder="1" applyAlignment="1">
      <alignment horizontal="center"/>
    </xf>
    <xf numFmtId="1" fontId="4" fillId="15" borderId="2" xfId="0" applyNumberFormat="1" applyFont="1" applyFill="1" applyBorder="1" applyAlignment="1">
      <alignment horizontal="center"/>
    </xf>
    <xf numFmtId="43" fontId="0" fillId="15" borderId="2" xfId="1" applyFont="1" applyFill="1" applyBorder="1"/>
    <xf numFmtId="173" fontId="0" fillId="15" borderId="2" xfId="2" applyNumberFormat="1" applyFont="1" applyFill="1" applyBorder="1"/>
    <xf numFmtId="43" fontId="4" fillId="15" borderId="2" xfId="0" applyNumberFormat="1" applyFont="1" applyFill="1" applyBorder="1" applyAlignment="1">
      <alignment horizontal="center"/>
    </xf>
    <xf numFmtId="0" fontId="8" fillId="0" borderId="14" xfId="0" applyFont="1" applyFill="1" applyBorder="1"/>
    <xf numFmtId="0" fontId="8" fillId="0" borderId="15" xfId="0" applyFont="1" applyFill="1" applyBorder="1"/>
    <xf numFmtId="0" fontId="8" fillId="0" borderId="16" xfId="0" applyFont="1" applyFill="1" applyBorder="1"/>
    <xf numFmtId="0" fontId="8" fillId="0" borderId="17" xfId="0" applyFont="1" applyBorder="1"/>
    <xf numFmtId="0" fontId="0" fillId="0" borderId="18" xfId="0" applyBorder="1"/>
    <xf numFmtId="0" fontId="8" fillId="0" borderId="19" xfId="0" applyFont="1" applyBorder="1"/>
    <xf numFmtId="0" fontId="0" fillId="0" borderId="20" xfId="0" applyBorder="1"/>
    <xf numFmtId="167" fontId="4" fillId="5" borderId="2" xfId="0" applyNumberFormat="1" applyFont="1" applyFill="1" applyBorder="1" applyAlignment="1" applyProtection="1">
      <alignment horizontal="left"/>
    </xf>
    <xf numFmtId="167" fontId="2" fillId="18" borderId="2" xfId="0" applyNumberFormat="1" applyFont="1" applyFill="1" applyBorder="1" applyAlignment="1" applyProtection="1">
      <alignment horizontal="center"/>
    </xf>
    <xf numFmtId="0" fontId="4" fillId="18" borderId="2" xfId="0" applyFont="1" applyFill="1" applyBorder="1" applyAlignment="1">
      <alignment horizontal="center"/>
    </xf>
    <xf numFmtId="171" fontId="2" fillId="18" borderId="2" xfId="0" applyNumberFormat="1" applyFont="1" applyFill="1" applyBorder="1" applyAlignment="1" applyProtection="1">
      <alignment horizontal="center"/>
    </xf>
    <xf numFmtId="196" fontId="0" fillId="0" borderId="0" xfId="1" applyNumberFormat="1" applyFont="1" applyFill="1" applyBorder="1"/>
    <xf numFmtId="193" fontId="0" fillId="0" borderId="0" xfId="1" applyNumberFormat="1" applyFont="1" applyFill="1" applyBorder="1"/>
    <xf numFmtId="196" fontId="5" fillId="0" borderId="0" xfId="0" applyNumberFormat="1" applyFont="1"/>
    <xf numFmtId="43" fontId="0" fillId="0" borderId="0" xfId="0" applyNumberFormat="1"/>
    <xf numFmtId="196" fontId="4" fillId="4" borderId="2" xfId="1" applyNumberFormat="1" applyFont="1" applyFill="1" applyBorder="1" applyAlignment="1"/>
    <xf numFmtId="2" fontId="4" fillId="4" borderId="2" xfId="0" applyNumberFormat="1" applyFont="1" applyFill="1" applyBorder="1"/>
    <xf numFmtId="0" fontId="4" fillId="6" borderId="2" xfId="0" applyNumberFormat="1" applyFont="1" applyFill="1" applyBorder="1" applyAlignment="1"/>
    <xf numFmtId="1" fontId="4" fillId="11" borderId="0" xfId="0" applyNumberFormat="1" applyFont="1" applyFill="1"/>
    <xf numFmtId="1" fontId="0" fillId="11" borderId="0" xfId="0" applyNumberFormat="1" applyFill="1"/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0" fillId="0" borderId="0" xfId="0" applyAlignment="1"/>
    <xf numFmtId="0" fontId="6" fillId="4" borderId="2" xfId="0" applyNumberFormat="1" applyFont="1" applyFill="1" applyBorder="1" applyAlignment="1">
      <alignment vertical="top"/>
    </xf>
    <xf numFmtId="0" fontId="4" fillId="7" borderId="2" xfId="0" applyNumberFormat="1" applyFont="1" applyFill="1" applyBorder="1" applyAlignment="1"/>
    <xf numFmtId="0" fontId="0" fillId="6" borderId="0" xfId="0" applyFill="1"/>
    <xf numFmtId="0" fontId="8" fillId="6" borderId="0" xfId="0" applyFont="1" applyFill="1"/>
    <xf numFmtId="17" fontId="0" fillId="4" borderId="2" xfId="0" applyNumberFormat="1" applyFill="1" applyBorder="1" applyAlignment="1"/>
    <xf numFmtId="0" fontId="0" fillId="4" borderId="2" xfId="0" applyFill="1" applyBorder="1" applyAlignment="1"/>
    <xf numFmtId="1" fontId="0" fillId="4" borderId="2" xfId="0" applyNumberFormat="1" applyFill="1" applyBorder="1" applyAlignment="1"/>
    <xf numFmtId="1" fontId="0" fillId="0" borderId="0" xfId="0" applyNumberFormat="1" applyAlignment="1"/>
    <xf numFmtId="0" fontId="0" fillId="16" borderId="0" xfId="0" applyFill="1" applyBorder="1"/>
    <xf numFmtId="196" fontId="0" fillId="16" borderId="0" xfId="1" applyNumberFormat="1" applyFont="1" applyFill="1" applyBorder="1"/>
    <xf numFmtId="0" fontId="8" fillId="16" borderId="2" xfId="0" applyFont="1" applyFill="1" applyBorder="1"/>
    <xf numFmtId="0" fontId="0" fillId="16" borderId="0" xfId="0" applyFill="1"/>
    <xf numFmtId="0" fontId="9" fillId="16" borderId="0" xfId="0" applyFont="1" applyFill="1"/>
    <xf numFmtId="196" fontId="0" fillId="16" borderId="0" xfId="1" applyNumberFormat="1" applyFont="1" applyFill="1"/>
    <xf numFmtId="0" fontId="8" fillId="16" borderId="0" xfId="0" applyFont="1" applyFill="1"/>
    <xf numFmtId="0" fontId="4" fillId="16" borderId="2" xfId="0" applyFont="1" applyFill="1" applyBorder="1" applyAlignment="1"/>
    <xf numFmtId="0" fontId="5" fillId="16" borderId="8" xfId="0" applyFont="1" applyFill="1" applyBorder="1"/>
    <xf numFmtId="0" fontId="5" fillId="16" borderId="9" xfId="0" applyFont="1" applyFill="1" applyBorder="1"/>
    <xf numFmtId="196" fontId="5" fillId="16" borderId="10" xfId="1" applyNumberFormat="1" applyFont="1" applyFill="1" applyBorder="1"/>
    <xf numFmtId="1" fontId="0" fillId="16" borderId="0" xfId="0" applyNumberFormat="1" applyFill="1"/>
    <xf numFmtId="0" fontId="5" fillId="16" borderId="0" xfId="0" applyFont="1" applyFill="1"/>
    <xf numFmtId="0" fontId="0" fillId="16" borderId="3" xfId="0" applyFill="1" applyBorder="1"/>
    <xf numFmtId="196" fontId="0" fillId="16" borderId="3" xfId="1" applyNumberFormat="1" applyFont="1" applyFill="1" applyBorder="1"/>
    <xf numFmtId="0" fontId="0" fillId="6" borderId="0" xfId="0" applyFill="1" applyBorder="1"/>
    <xf numFmtId="0" fontId="8" fillId="7" borderId="0" xfId="0" applyFont="1" applyFill="1" applyBorder="1"/>
    <xf numFmtId="17" fontId="0" fillId="7" borderId="0" xfId="0" applyNumberFormat="1" applyFill="1"/>
    <xf numFmtId="193" fontId="0" fillId="6" borderId="0" xfId="1" applyNumberFormat="1" applyFont="1" applyFill="1" applyBorder="1"/>
    <xf numFmtId="167" fontId="13" fillId="3" borderId="2" xfId="0" applyNumberFormat="1" applyFont="1" applyFill="1" applyBorder="1" applyAlignment="1" applyProtection="1">
      <alignment horizontal="center"/>
    </xf>
    <xf numFmtId="171" fontId="13" fillId="16" borderId="2" xfId="0" applyNumberFormat="1" applyFont="1" applyFill="1" applyBorder="1" applyAlignment="1" applyProtection="1">
      <alignment horizontal="center"/>
    </xf>
    <xf numFmtId="167" fontId="4" fillId="16" borderId="11" xfId="0" quotePrefix="1" applyNumberFormat="1" applyFont="1" applyFill="1" applyBorder="1" applyAlignment="1" applyProtection="1">
      <alignment horizontal="left"/>
    </xf>
    <xf numFmtId="167" fontId="13" fillId="16" borderId="2" xfId="0" applyNumberFormat="1" applyFont="1" applyFill="1" applyBorder="1" applyAlignment="1" applyProtection="1">
      <alignment horizontal="center"/>
    </xf>
    <xf numFmtId="0" fontId="4" fillId="16" borderId="2" xfId="0" applyFont="1" applyFill="1" applyBorder="1" applyAlignment="1">
      <alignment horizontal="center"/>
    </xf>
    <xf numFmtId="0" fontId="0" fillId="16" borderId="2" xfId="0" applyFill="1" applyBorder="1"/>
    <xf numFmtId="0" fontId="4" fillId="20" borderId="2" xfId="0" applyFont="1" applyFill="1" applyBorder="1" applyAlignment="1">
      <alignment horizontal="center"/>
    </xf>
    <xf numFmtId="0" fontId="0" fillId="16" borderId="2" xfId="0" applyFill="1" applyBorder="1" applyAlignment="1">
      <alignment horizontal="center"/>
    </xf>
    <xf numFmtId="0" fontId="8" fillId="16" borderId="2" xfId="0" applyFont="1" applyFill="1" applyBorder="1" applyAlignment="1">
      <alignment horizontal="center"/>
    </xf>
    <xf numFmtId="1" fontId="4" fillId="16" borderId="2" xfId="0" applyNumberFormat="1" applyFont="1" applyFill="1" applyBorder="1" applyAlignment="1">
      <alignment horizontal="center"/>
    </xf>
    <xf numFmtId="0" fontId="0" fillId="20" borderId="2" xfId="0" applyFill="1" applyBorder="1" applyAlignment="1">
      <alignment horizontal="center"/>
    </xf>
    <xf numFmtId="196" fontId="4" fillId="16" borderId="2" xfId="1" applyNumberFormat="1" applyFont="1" applyFill="1" applyBorder="1" applyAlignment="1"/>
    <xf numFmtId="0" fontId="2" fillId="3" borderId="2" xfId="0" applyFont="1" applyFill="1" applyBorder="1"/>
    <xf numFmtId="3" fontId="0" fillId="16" borderId="2" xfId="0" applyNumberFormat="1" applyFill="1" applyBorder="1"/>
    <xf numFmtId="0" fontId="8" fillId="11" borderId="0" xfId="0" applyFont="1" applyFill="1"/>
    <xf numFmtId="0" fontId="31" fillId="0" borderId="0" xfId="0" applyFont="1"/>
    <xf numFmtId="17" fontId="32" fillId="0" borderId="0" xfId="0" applyNumberFormat="1" applyFont="1" applyAlignment="1">
      <alignment horizontal="left"/>
    </xf>
    <xf numFmtId="17" fontId="32" fillId="7" borderId="0" xfId="0" applyNumberFormat="1" applyFont="1" applyFill="1" applyAlignment="1">
      <alignment horizontal="left"/>
    </xf>
    <xf numFmtId="0" fontId="33" fillId="0" borderId="0" xfId="0" applyFont="1"/>
    <xf numFmtId="17" fontId="33" fillId="0" borderId="0" xfId="0" applyNumberFormat="1" applyFont="1"/>
    <xf numFmtId="0" fontId="34" fillId="0" borderId="0" xfId="0" applyFont="1"/>
    <xf numFmtId="0" fontId="33" fillId="22" borderId="0" xfId="0" applyFont="1" applyFill="1"/>
    <xf numFmtId="175" fontId="33" fillId="22" borderId="0" xfId="0" applyNumberFormat="1" applyFont="1" applyFill="1"/>
    <xf numFmtId="175" fontId="33" fillId="0" borderId="0" xfId="0" applyNumberFormat="1" applyFont="1"/>
    <xf numFmtId="0" fontId="0" fillId="22" borderId="0" xfId="0" applyFill="1"/>
    <xf numFmtId="176" fontId="33" fillId="22" borderId="0" xfId="0" applyNumberFormat="1" applyFont="1" applyFill="1"/>
    <xf numFmtId="10" fontId="33" fillId="0" borderId="0" xfId="0" applyNumberFormat="1" applyFont="1"/>
    <xf numFmtId="0" fontId="33" fillId="0" borderId="0" xfId="0" applyFont="1" applyFill="1"/>
    <xf numFmtId="176" fontId="33" fillId="0" borderId="0" xfId="0" applyNumberFormat="1" applyFont="1"/>
    <xf numFmtId="0" fontId="33" fillId="0" borderId="0" xfId="0" applyFont="1" applyBorder="1"/>
    <xf numFmtId="2" fontId="33" fillId="0" borderId="0" xfId="0" applyNumberFormat="1" applyFont="1"/>
    <xf numFmtId="0" fontId="33" fillId="0" borderId="0" xfId="0" applyFont="1" applyAlignment="1">
      <alignment horizontal="left"/>
    </xf>
    <xf numFmtId="0" fontId="33" fillId="0" borderId="0" xfId="0" applyFont="1" applyAlignment="1">
      <alignment horizontal="centerContinuous"/>
    </xf>
    <xf numFmtId="0" fontId="34" fillId="0" borderId="0" xfId="0" applyFont="1" applyAlignment="1">
      <alignment horizontal="center"/>
    </xf>
    <xf numFmtId="0" fontId="33" fillId="0" borderId="0" xfId="0" applyFont="1" applyAlignment="1">
      <alignment horizontal="center"/>
    </xf>
    <xf numFmtId="0" fontId="33" fillId="0" borderId="12" xfId="0" applyFont="1" applyBorder="1"/>
    <xf numFmtId="0" fontId="34" fillId="0" borderId="12" xfId="0" applyFont="1" applyBorder="1" applyAlignment="1">
      <alignment horizontal="center"/>
    </xf>
    <xf numFmtId="0" fontId="34" fillId="0" borderId="12" xfId="0" applyFont="1" applyBorder="1"/>
    <xf numFmtId="1" fontId="33" fillId="0" borderId="0" xfId="0" applyNumberFormat="1" applyFont="1"/>
    <xf numFmtId="1" fontId="34" fillId="7" borderId="0" xfId="0" applyNumberFormat="1" applyFont="1" applyFill="1"/>
    <xf numFmtId="4" fontId="33" fillId="0" borderId="0" xfId="0" applyNumberFormat="1" applyFont="1"/>
    <xf numFmtId="4" fontId="33" fillId="0" borderId="0" xfId="0" applyNumberFormat="1" applyFont="1" applyFill="1"/>
    <xf numFmtId="1" fontId="33" fillId="7" borderId="12" xfId="0" applyNumberFormat="1" applyFont="1" applyFill="1" applyBorder="1"/>
    <xf numFmtId="1" fontId="33" fillId="0" borderId="12" xfId="0" applyNumberFormat="1" applyFont="1" applyBorder="1"/>
    <xf numFmtId="4" fontId="33" fillId="0" borderId="12" xfId="0" applyNumberFormat="1" applyFont="1" applyBorder="1"/>
    <xf numFmtId="0" fontId="33" fillId="0" borderId="0" xfId="0" applyFont="1" applyFill="1" applyBorder="1"/>
    <xf numFmtId="3" fontId="35" fillId="0" borderId="0" xfId="0" applyNumberFormat="1" applyFont="1"/>
    <xf numFmtId="176" fontId="35" fillId="0" borderId="0" xfId="0" applyNumberFormat="1" applyFont="1"/>
    <xf numFmtId="176" fontId="34" fillId="0" borderId="21" xfId="0" applyNumberFormat="1" applyFont="1" applyBorder="1"/>
    <xf numFmtId="176" fontId="34" fillId="0" borderId="0" xfId="0" applyNumberFormat="1" applyFont="1" applyBorder="1"/>
    <xf numFmtId="0" fontId="36" fillId="0" borderId="0" xfId="0" applyFont="1"/>
    <xf numFmtId="176" fontId="33" fillId="7" borderId="0" xfId="0" applyNumberFormat="1" applyFont="1" applyFill="1"/>
    <xf numFmtId="1" fontId="33" fillId="7" borderId="0" xfId="0" applyNumberFormat="1" applyFont="1" applyFill="1" applyBorder="1"/>
    <xf numFmtId="0" fontId="34" fillId="0" borderId="0" xfId="0" applyFont="1" applyFill="1" applyBorder="1" applyAlignment="1"/>
    <xf numFmtId="0" fontId="34" fillId="0" borderId="12" xfId="0" applyFont="1" applyFill="1" applyBorder="1" applyAlignment="1"/>
    <xf numFmtId="0" fontId="21" fillId="7" borderId="0" xfId="0" applyFont="1" applyFill="1" applyBorder="1" applyAlignment="1"/>
    <xf numFmtId="0" fontId="11" fillId="3" borderId="0" xfId="0" applyFont="1" applyFill="1" applyBorder="1" applyAlignment="1" applyProtection="1"/>
    <xf numFmtId="167" fontId="1" fillId="3" borderId="6" xfId="0" applyNumberFormat="1" applyFont="1" applyFill="1" applyBorder="1" applyAlignment="1" applyProtection="1"/>
    <xf numFmtId="167" fontId="2" fillId="0" borderId="0" xfId="0" applyNumberFormat="1" applyFont="1" applyFill="1" applyBorder="1" applyAlignment="1" applyProtection="1"/>
    <xf numFmtId="1" fontId="13" fillId="0" borderId="0" xfId="0" applyNumberFormat="1" applyFont="1" applyFill="1" applyBorder="1" applyAlignment="1" applyProtection="1"/>
    <xf numFmtId="0" fontId="13" fillId="0" borderId="0" xfId="0" applyFont="1" applyFill="1" applyBorder="1" applyAlignment="1" applyProtection="1"/>
    <xf numFmtId="0" fontId="12" fillId="0" borderId="0" xfId="0" applyFont="1" applyFill="1" applyBorder="1" applyAlignment="1"/>
    <xf numFmtId="0" fontId="8" fillId="7" borderId="13" xfId="0" applyFont="1" applyFill="1" applyBorder="1" applyAlignment="1">
      <alignment horizontal="center"/>
    </xf>
    <xf numFmtId="0" fontId="4" fillId="7" borderId="11" xfId="0" applyNumberFormat="1" applyFont="1" applyFill="1" applyBorder="1" applyAlignment="1"/>
    <xf numFmtId="178" fontId="8" fillId="7" borderId="2" xfId="2" applyNumberFormat="1" applyFont="1" applyFill="1" applyBorder="1"/>
    <xf numFmtId="196" fontId="0" fillId="7" borderId="0" xfId="1" applyNumberFormat="1" applyFont="1" applyFill="1"/>
    <xf numFmtId="167" fontId="2" fillId="7" borderId="2" xfId="0" applyNumberFormat="1" applyFont="1" applyFill="1" applyBorder="1" applyAlignment="1" applyProtection="1">
      <alignment horizontal="center"/>
    </xf>
    <xf numFmtId="171" fontId="2" fillId="7" borderId="2" xfId="0" applyNumberFormat="1" applyFont="1" applyFill="1" applyBorder="1" applyAlignment="1" applyProtection="1">
      <alignment horizontal="center"/>
    </xf>
    <xf numFmtId="0" fontId="5" fillId="7" borderId="9" xfId="0" applyFont="1" applyFill="1" applyBorder="1"/>
    <xf numFmtId="171" fontId="5" fillId="0" borderId="10" xfId="0" applyNumberFormat="1" applyFont="1" applyFill="1" applyBorder="1"/>
    <xf numFmtId="0" fontId="23" fillId="4" borderId="0" xfId="0" applyFont="1" applyFill="1" applyBorder="1" applyAlignment="1">
      <alignment horizontal="center" vertical="center" wrapText="1"/>
    </xf>
    <xf numFmtId="0" fontId="8" fillId="23" borderId="0" xfId="0" applyFont="1" applyFill="1"/>
    <xf numFmtId="0" fontId="0" fillId="23" borderId="0" xfId="0" applyFill="1"/>
    <xf numFmtId="3" fontId="0" fillId="6" borderId="2" xfId="0" applyNumberFormat="1" applyFill="1" applyBorder="1"/>
    <xf numFmtId="171" fontId="2" fillId="12" borderId="2" xfId="0" applyNumberFormat="1" applyFont="1" applyFill="1" applyBorder="1" applyAlignment="1" applyProtection="1">
      <alignment horizontal="center"/>
    </xf>
    <xf numFmtId="167" fontId="2" fillId="12" borderId="2" xfId="0" applyNumberFormat="1" applyFont="1" applyFill="1" applyBorder="1" applyAlignment="1" applyProtection="1">
      <alignment horizontal="center"/>
    </xf>
    <xf numFmtId="167" fontId="2" fillId="18" borderId="2" xfId="0" applyNumberFormat="1" applyFont="1" applyFill="1" applyBorder="1" applyAlignment="1" applyProtection="1">
      <alignment horizontal="left"/>
    </xf>
    <xf numFmtId="167" fontId="5" fillId="18" borderId="2" xfId="0" applyNumberFormat="1" applyFont="1" applyFill="1" applyBorder="1" applyAlignment="1" applyProtection="1">
      <alignment horizontal="center"/>
    </xf>
    <xf numFmtId="171" fontId="13" fillId="18" borderId="2" xfId="0" applyNumberFormat="1" applyFont="1" applyFill="1" applyBorder="1" applyAlignment="1" applyProtection="1">
      <alignment horizontal="center"/>
    </xf>
    <xf numFmtId="167" fontId="4" fillId="12" borderId="2" xfId="0" applyNumberFormat="1" applyFont="1" applyFill="1" applyBorder="1" applyAlignment="1" applyProtection="1"/>
    <xf numFmtId="167" fontId="4" fillId="12" borderId="2" xfId="0" quotePrefix="1" applyNumberFormat="1" applyFont="1" applyFill="1" applyBorder="1" applyAlignment="1" applyProtection="1">
      <alignment horizontal="left"/>
    </xf>
    <xf numFmtId="168" fontId="2" fillId="12" borderId="2" xfId="0" applyNumberFormat="1" applyFont="1" applyFill="1" applyBorder="1" applyAlignment="1" applyProtection="1">
      <alignment horizontal="center"/>
    </xf>
    <xf numFmtId="43" fontId="4" fillId="12" borderId="2" xfId="1" applyFont="1" applyFill="1" applyBorder="1"/>
    <xf numFmtId="43" fontId="2" fillId="12" borderId="2" xfId="1" applyFont="1" applyFill="1" applyBorder="1"/>
    <xf numFmtId="167" fontId="4" fillId="18" borderId="2" xfId="0" applyNumberFormat="1" applyFont="1" applyFill="1" applyBorder="1" applyAlignment="1" applyProtection="1">
      <alignment horizontal="left"/>
    </xf>
    <xf numFmtId="0" fontId="5" fillId="18" borderId="9" xfId="0" applyFont="1" applyFill="1" applyBorder="1"/>
    <xf numFmtId="178" fontId="8" fillId="18" borderId="2" xfId="2" applyNumberFormat="1" applyFont="1" applyFill="1" applyBorder="1"/>
    <xf numFmtId="0" fontId="4" fillId="18" borderId="8" xfId="0" applyFont="1" applyFill="1" applyBorder="1" applyAlignment="1">
      <alignment horizontal="center"/>
    </xf>
    <xf numFmtId="0" fontId="0" fillId="18" borderId="2" xfId="0" applyFill="1" applyBorder="1"/>
    <xf numFmtId="196" fontId="0" fillId="18" borderId="2" xfId="1" applyNumberFormat="1" applyFont="1" applyFill="1" applyBorder="1"/>
    <xf numFmtId="0" fontId="4" fillId="18" borderId="2" xfId="0" applyFont="1" applyFill="1" applyBorder="1"/>
    <xf numFmtId="2" fontId="5" fillId="0" borderId="10" xfId="0" applyNumberFormat="1" applyFont="1" applyFill="1" applyBorder="1"/>
    <xf numFmtId="196" fontId="0" fillId="4" borderId="2" xfId="1" applyNumberFormat="1" applyFont="1" applyFill="1" applyBorder="1"/>
    <xf numFmtId="2" fontId="0" fillId="23" borderId="0" xfId="0" applyNumberFormat="1" applyFill="1"/>
    <xf numFmtId="14" fontId="8" fillId="7" borderId="0" xfId="0" applyNumberFormat="1" applyFont="1" applyFill="1" applyBorder="1"/>
    <xf numFmtId="2" fontId="8" fillId="7" borderId="0" xfId="0" applyNumberFormat="1" applyFont="1" applyFill="1"/>
    <xf numFmtId="167" fontId="4" fillId="7" borderId="2" xfId="0" quotePrefix="1" applyNumberFormat="1" applyFont="1" applyFill="1" applyBorder="1" applyAlignment="1" applyProtection="1">
      <alignment horizontal="left"/>
    </xf>
    <xf numFmtId="2" fontId="13" fillId="7" borderId="2" xfId="0" applyNumberFormat="1" applyFont="1" applyFill="1" applyBorder="1" applyAlignment="1" applyProtection="1">
      <alignment horizontal="center"/>
    </xf>
    <xf numFmtId="173" fontId="0" fillId="7" borderId="2" xfId="2" applyNumberFormat="1" applyFont="1" applyFill="1" applyBorder="1" applyAlignment="1">
      <alignment horizontal="center"/>
    </xf>
    <xf numFmtId="168" fontId="13" fillId="7" borderId="2" xfId="0" applyNumberFormat="1" applyFont="1" applyFill="1" applyBorder="1" applyAlignment="1" applyProtection="1">
      <alignment horizontal="center"/>
    </xf>
    <xf numFmtId="43" fontId="4" fillId="7" borderId="2" xfId="1" applyFont="1" applyFill="1" applyBorder="1"/>
    <xf numFmtId="43" fontId="13" fillId="7" borderId="2" xfId="1" applyFont="1" applyFill="1" applyBorder="1"/>
    <xf numFmtId="43" fontId="0" fillId="7" borderId="2" xfId="1" applyFont="1" applyFill="1" applyBorder="1"/>
    <xf numFmtId="167" fontId="8" fillId="7" borderId="2" xfId="0" applyNumberFormat="1" applyFont="1" applyFill="1" applyBorder="1" applyAlignment="1" applyProtection="1">
      <alignment horizontal="left"/>
    </xf>
    <xf numFmtId="0" fontId="0" fillId="7" borderId="0" xfId="0" applyFill="1" applyAlignment="1">
      <alignment horizontal="center"/>
    </xf>
    <xf numFmtId="0" fontId="4" fillId="7" borderId="2" xfId="0" applyFont="1" applyFill="1" applyBorder="1" applyAlignment="1"/>
    <xf numFmtId="0" fontId="4" fillId="0" borderId="8" xfId="0" applyFont="1" applyFill="1" applyBorder="1" applyAlignment="1"/>
    <xf numFmtId="0" fontId="4" fillId="4" borderId="2" xfId="0" applyFont="1" applyFill="1" applyBorder="1" applyAlignment="1">
      <alignment horizontal="left"/>
    </xf>
    <xf numFmtId="0" fontId="23" fillId="4" borderId="13" xfId="0" applyFont="1" applyFill="1" applyBorder="1" applyAlignment="1">
      <alignment horizontal="center" vertical="top" wrapText="1"/>
    </xf>
    <xf numFmtId="0" fontId="6" fillId="4" borderId="11" xfId="0" applyFont="1" applyFill="1" applyBorder="1" applyAlignment="1">
      <alignment vertical="top" wrapText="1"/>
    </xf>
    <xf numFmtId="171" fontId="0" fillId="0" borderId="0" xfId="0" applyNumberFormat="1" applyBorder="1"/>
    <xf numFmtId="0" fontId="0" fillId="0" borderId="7" xfId="0" applyFill="1" applyBorder="1"/>
    <xf numFmtId="0" fontId="0" fillId="0" borderId="7" xfId="0" applyBorder="1"/>
    <xf numFmtId="0" fontId="0" fillId="0" borderId="13" xfId="0" quotePrefix="1" applyFill="1" applyBorder="1"/>
    <xf numFmtId="0" fontId="8" fillId="4" borderId="2" xfId="0" applyFont="1" applyFill="1" applyBorder="1" applyAlignment="1"/>
    <xf numFmtId="0" fontId="0" fillId="4" borderId="10" xfId="0" applyFill="1" applyBorder="1"/>
    <xf numFmtId="1" fontId="5" fillId="0" borderId="0" xfId="0" applyNumberFormat="1" applyFont="1"/>
    <xf numFmtId="0" fontId="6" fillId="3" borderId="11" xfId="0" applyNumberFormat="1" applyFont="1" applyFill="1" applyBorder="1" applyAlignment="1">
      <alignment vertical="top"/>
    </xf>
    <xf numFmtId="0" fontId="23" fillId="7" borderId="13" xfId="0" applyFont="1" applyFill="1" applyBorder="1" applyAlignment="1">
      <alignment horizontal="center" vertical="top" wrapText="1"/>
    </xf>
    <xf numFmtId="43" fontId="0" fillId="4" borderId="0" xfId="1" applyFont="1" applyFill="1" applyBorder="1"/>
    <xf numFmtId="4" fontId="13" fillId="4" borderId="0" xfId="1" applyNumberFormat="1" applyFont="1" applyFill="1" applyBorder="1"/>
    <xf numFmtId="43" fontId="13" fillId="4" borderId="0" xfId="0" applyNumberFormat="1" applyFont="1" applyFill="1" applyBorder="1"/>
    <xf numFmtId="0" fontId="6" fillId="6" borderId="2" xfId="0" applyNumberFormat="1" applyFont="1" applyFill="1" applyBorder="1" applyAlignment="1">
      <alignment vertical="top"/>
    </xf>
    <xf numFmtId="0" fontId="4" fillId="4" borderId="2" xfId="0" applyFont="1" applyFill="1" applyBorder="1" applyAlignment="1"/>
    <xf numFmtId="0" fontId="0" fillId="4" borderId="0" xfId="0" applyFill="1"/>
    <xf numFmtId="196" fontId="4" fillId="19" borderId="2" xfId="1" applyNumberFormat="1" applyFont="1" applyFill="1" applyBorder="1" applyAlignment="1"/>
    <xf numFmtId="196" fontId="0" fillId="0" borderId="0" xfId="0" applyNumberFormat="1"/>
    <xf numFmtId="1" fontId="4" fillId="0" borderId="3" xfId="0" applyNumberFormat="1" applyFont="1" applyBorder="1"/>
    <xf numFmtId="1" fontId="4" fillId="0" borderId="0" xfId="0" applyNumberFormat="1" applyFont="1" applyBorder="1"/>
    <xf numFmtId="1" fontId="4" fillId="0" borderId="12" xfId="0" applyNumberFormat="1" applyFont="1" applyBorder="1"/>
    <xf numFmtId="185" fontId="0" fillId="7" borderId="2" xfId="0" applyNumberFormat="1" applyFill="1" applyBorder="1"/>
    <xf numFmtId="17" fontId="0" fillId="12" borderId="2" xfId="0" applyNumberFormat="1" applyFill="1" applyBorder="1" applyAlignment="1">
      <alignment horizontal="center"/>
    </xf>
    <xf numFmtId="1" fontId="0" fillId="12" borderId="2" xfId="0" applyNumberFormat="1" applyFill="1" applyBorder="1" applyAlignment="1"/>
    <xf numFmtId="1" fontId="0" fillId="12" borderId="0" xfId="0" applyNumberFormat="1" applyFill="1"/>
    <xf numFmtId="0" fontId="6" fillId="5" borderId="2" xfId="0" applyFont="1" applyFill="1" applyBorder="1"/>
    <xf numFmtId="0" fontId="4" fillId="19" borderId="2" xfId="0" applyFont="1" applyFill="1" applyBorder="1"/>
    <xf numFmtId="0" fontId="0" fillId="19" borderId="2" xfId="0" applyFill="1" applyBorder="1"/>
    <xf numFmtId="3" fontId="0" fillId="19" borderId="2" xfId="0" applyNumberFormat="1" applyFill="1" applyBorder="1"/>
    <xf numFmtId="196" fontId="0" fillId="19" borderId="2" xfId="1" applyNumberFormat="1" applyFont="1" applyFill="1" applyBorder="1"/>
    <xf numFmtId="171" fontId="0" fillId="19" borderId="2" xfId="0" applyNumberFormat="1" applyFill="1" applyBorder="1"/>
    <xf numFmtId="4" fontId="0" fillId="19" borderId="2" xfId="0" applyNumberFormat="1" applyFill="1" applyBorder="1"/>
    <xf numFmtId="0" fontId="2" fillId="6" borderId="2" xfId="0" applyFont="1" applyFill="1" applyBorder="1"/>
    <xf numFmtId="0" fontId="0" fillId="21" borderId="2" xfId="0" applyFill="1" applyBorder="1"/>
    <xf numFmtId="0" fontId="8" fillId="13" borderId="2" xfId="0" applyFont="1" applyFill="1" applyBorder="1"/>
    <xf numFmtId="14" fontId="9" fillId="7" borderId="0" xfId="0" applyNumberFormat="1" applyFont="1" applyFill="1"/>
    <xf numFmtId="0" fontId="5" fillId="7" borderId="0" xfId="0" applyFont="1" applyFill="1"/>
    <xf numFmtId="0" fontId="0" fillId="21" borderId="0" xfId="0" applyFill="1"/>
    <xf numFmtId="2" fontId="0" fillId="19" borderId="0" xfId="0" applyNumberFormat="1" applyFill="1"/>
    <xf numFmtId="1" fontId="8" fillId="19" borderId="0" xfId="0" applyNumberFormat="1" applyFont="1" applyFill="1"/>
    <xf numFmtId="2" fontId="0" fillId="6" borderId="0" xfId="0" applyNumberFormat="1" applyFill="1"/>
    <xf numFmtId="14" fontId="8" fillId="0" borderId="0" xfId="0" applyNumberFormat="1" applyFont="1" applyFill="1"/>
    <xf numFmtId="0" fontId="0" fillId="19" borderId="0" xfId="0" applyFill="1" applyBorder="1"/>
    <xf numFmtId="0" fontId="8" fillId="6" borderId="2" xfId="0" applyFont="1" applyFill="1" applyBorder="1" applyAlignment="1">
      <alignment horizontal="center"/>
    </xf>
    <xf numFmtId="1" fontId="4" fillId="6" borderId="2" xfId="0" applyNumberFormat="1" applyFont="1" applyFill="1" applyBorder="1" applyAlignment="1">
      <alignment horizontal="center"/>
    </xf>
    <xf numFmtId="43" fontId="0" fillId="6" borderId="2" xfId="1" applyFont="1" applyFill="1" applyBorder="1"/>
    <xf numFmtId="173" fontId="0" fillId="6" borderId="2" xfId="2" applyNumberFormat="1" applyFont="1" applyFill="1" applyBorder="1"/>
    <xf numFmtId="43" fontId="4" fillId="6" borderId="2" xfId="0" applyNumberFormat="1" applyFont="1" applyFill="1" applyBorder="1" applyAlignment="1">
      <alignment horizontal="center"/>
    </xf>
    <xf numFmtId="0" fontId="4" fillId="19" borderId="2" xfId="0" applyFont="1" applyFill="1" applyBorder="1" applyAlignment="1">
      <alignment horizontal="center"/>
    </xf>
    <xf numFmtId="0" fontId="0" fillId="20" borderId="2" xfId="0" applyFill="1" applyBorder="1"/>
    <xf numFmtId="0" fontId="8" fillId="20" borderId="2" xfId="0" applyFont="1" applyFill="1" applyBorder="1" applyAlignment="1">
      <alignment horizontal="center"/>
    </xf>
    <xf numFmtId="1" fontId="4" fillId="20" borderId="2" xfId="0" applyNumberFormat="1" applyFont="1" applyFill="1" applyBorder="1" applyAlignment="1">
      <alignment horizontal="center"/>
    </xf>
    <xf numFmtId="196" fontId="4" fillId="20" borderId="2" xfId="1" applyNumberFormat="1" applyFont="1" applyFill="1" applyBorder="1" applyAlignment="1"/>
    <xf numFmtId="43" fontId="0" fillId="20" borderId="2" xfId="1" applyFont="1" applyFill="1" applyBorder="1"/>
    <xf numFmtId="173" fontId="0" fillId="20" borderId="2" xfId="2" applyNumberFormat="1" applyFont="1" applyFill="1" applyBorder="1"/>
    <xf numFmtId="43" fontId="4" fillId="20" borderId="2" xfId="0" applyNumberFormat="1" applyFont="1" applyFill="1" applyBorder="1" applyAlignment="1">
      <alignment horizontal="center"/>
    </xf>
    <xf numFmtId="0" fontId="8" fillId="20" borderId="0" xfId="0" applyFont="1" applyFill="1" applyBorder="1"/>
    <xf numFmtId="171" fontId="4" fillId="4" borderId="2" xfId="0" applyNumberFormat="1" applyFont="1" applyFill="1" applyBorder="1"/>
    <xf numFmtId="39" fontId="4" fillId="4" borderId="2" xfId="2" applyNumberFormat="1" applyFont="1" applyFill="1" applyBorder="1"/>
    <xf numFmtId="43" fontId="0" fillId="4" borderId="2" xfId="1" applyFont="1" applyFill="1" applyBorder="1"/>
    <xf numFmtId="173" fontId="0" fillId="4" borderId="2" xfId="2" applyNumberFormat="1" applyFont="1" applyFill="1" applyBorder="1"/>
    <xf numFmtId="43" fontId="4" fillId="4" borderId="2" xfId="0" applyNumberFormat="1" applyFont="1" applyFill="1" applyBorder="1" applyAlignment="1">
      <alignment horizontal="center"/>
    </xf>
    <xf numFmtId="197" fontId="4" fillId="20" borderId="2" xfId="1" applyNumberFormat="1" applyFont="1" applyFill="1" applyBorder="1" applyAlignment="1"/>
    <xf numFmtId="0" fontId="0" fillId="15" borderId="0" xfId="0" applyFill="1"/>
    <xf numFmtId="0" fontId="6" fillId="6" borderId="11" xfId="0" applyNumberFormat="1" applyFont="1" applyFill="1" applyBorder="1" applyAlignment="1">
      <alignment vertical="top"/>
    </xf>
    <xf numFmtId="0" fontId="8" fillId="6" borderId="2" xfId="0" applyFont="1" applyFill="1" applyBorder="1"/>
    <xf numFmtId="0" fontId="4" fillId="6" borderId="11" xfId="0" applyNumberFormat="1" applyFont="1" applyFill="1" applyBorder="1" applyAlignment="1"/>
    <xf numFmtId="0" fontId="9" fillId="9" borderId="13" xfId="0" applyFont="1" applyFill="1" applyBorder="1" applyAlignment="1">
      <alignment horizontal="center" vertical="top" wrapText="1"/>
    </xf>
    <xf numFmtId="0" fontId="5" fillId="9" borderId="11" xfId="0" applyNumberFormat="1" applyFont="1" applyFill="1" applyBorder="1" applyAlignment="1">
      <alignment vertical="top"/>
    </xf>
    <xf numFmtId="178" fontId="9" fillId="0" borderId="2" xfId="2" applyNumberFormat="1" applyFont="1" applyFill="1" applyBorder="1"/>
    <xf numFmtId="2" fontId="5" fillId="0" borderId="2" xfId="0" applyNumberFormat="1" applyFont="1" applyFill="1" applyBorder="1"/>
    <xf numFmtId="171" fontId="5" fillId="0" borderId="2" xfId="0" applyNumberFormat="1" applyFont="1" applyFill="1" applyBorder="1"/>
    <xf numFmtId="0" fontId="8" fillId="19" borderId="0" xfId="0" applyFont="1" applyFill="1" applyBorder="1"/>
    <xf numFmtId="0" fontId="4" fillId="19" borderId="0" xfId="0" applyFont="1" applyFill="1"/>
    <xf numFmtId="167" fontId="13" fillId="16" borderId="2" xfId="0" quotePrefix="1" applyNumberFormat="1" applyFont="1" applyFill="1" applyBorder="1" applyAlignment="1" applyProtection="1">
      <alignment horizontal="left"/>
    </xf>
    <xf numFmtId="3" fontId="0" fillId="0" borderId="12" xfId="0" applyNumberFormat="1" applyBorder="1"/>
    <xf numFmtId="8" fontId="4" fillId="18" borderId="2" xfId="0" applyNumberFormat="1" applyFont="1" applyFill="1" applyBorder="1" applyAlignment="1" applyProtection="1">
      <alignment horizontal="center"/>
    </xf>
    <xf numFmtId="4" fontId="0" fillId="10" borderId="2" xfId="0" applyNumberFormat="1" applyFill="1" applyBorder="1"/>
    <xf numFmtId="0" fontId="8" fillId="19" borderId="0" xfId="0" applyNumberFormat="1" applyFont="1" applyFill="1"/>
    <xf numFmtId="0" fontId="8" fillId="15" borderId="0" xfId="0" applyFont="1" applyFill="1"/>
    <xf numFmtId="0" fontId="8" fillId="6" borderId="0" xfId="0" applyFont="1" applyFill="1" applyBorder="1" applyAlignment="1">
      <alignment horizontal="center"/>
    </xf>
    <xf numFmtId="167" fontId="4" fillId="7" borderId="2" xfId="0" applyNumberFormat="1" applyFont="1" applyFill="1" applyBorder="1" applyAlignment="1" applyProtection="1">
      <alignment horizontal="left"/>
    </xf>
    <xf numFmtId="0" fontId="4" fillId="12" borderId="2" xfId="0" applyNumberFormat="1" applyFont="1" applyFill="1" applyBorder="1" applyAlignment="1"/>
    <xf numFmtId="178" fontId="8" fillId="12" borderId="2" xfId="2" applyNumberFormat="1" applyFont="1" applyFill="1" applyBorder="1"/>
    <xf numFmtId="2" fontId="4" fillId="12" borderId="2" xfId="0" applyNumberFormat="1" applyFont="1" applyFill="1" applyBorder="1"/>
    <xf numFmtId="171" fontId="4" fillId="12" borderId="2" xfId="0" applyNumberFormat="1" applyFont="1" applyFill="1" applyBorder="1"/>
    <xf numFmtId="39" fontId="4" fillId="12" borderId="2" xfId="2" applyNumberFormat="1" applyFont="1" applyFill="1" applyBorder="1"/>
    <xf numFmtId="0" fontId="4" fillId="6" borderId="2" xfId="0" applyFont="1" applyFill="1" applyBorder="1"/>
    <xf numFmtId="2" fontId="0" fillId="12" borderId="2" xfId="0" applyNumberFormat="1" applyFill="1" applyBorder="1"/>
    <xf numFmtId="171" fontId="13" fillId="7" borderId="2" xfId="0" applyNumberFormat="1" applyFont="1" applyFill="1" applyBorder="1" applyAlignment="1" applyProtection="1">
      <alignment horizontal="center"/>
    </xf>
    <xf numFmtId="0" fontId="0" fillId="0" borderId="0" xfId="0" applyProtection="1">
      <protection locked="0"/>
    </xf>
    <xf numFmtId="0" fontId="5" fillId="0" borderId="0" xfId="0" applyFont="1" applyAlignment="1">
      <alignment horizontal="center"/>
    </xf>
    <xf numFmtId="167" fontId="4" fillId="18" borderId="2" xfId="0" quotePrefix="1" applyNumberFormat="1" applyFont="1" applyFill="1" applyBorder="1" applyAlignment="1" applyProtection="1">
      <alignment horizontal="left"/>
    </xf>
    <xf numFmtId="167" fontId="13" fillId="18" borderId="2" xfId="0" applyNumberFormat="1" applyFont="1" applyFill="1" applyBorder="1" applyAlignment="1" applyProtection="1">
      <alignment horizontal="center"/>
    </xf>
    <xf numFmtId="2" fontId="13" fillId="18" borderId="2" xfId="0" applyNumberFormat="1" applyFont="1" applyFill="1" applyBorder="1" applyAlignment="1" applyProtection="1">
      <alignment horizontal="center"/>
    </xf>
    <xf numFmtId="173" fontId="0" fillId="18" borderId="2" xfId="2" applyNumberFormat="1" applyFont="1" applyFill="1" applyBorder="1" applyAlignment="1">
      <alignment horizontal="center"/>
    </xf>
    <xf numFmtId="168" fontId="13" fillId="18" borderId="2" xfId="0" applyNumberFormat="1" applyFont="1" applyFill="1" applyBorder="1" applyAlignment="1" applyProtection="1">
      <alignment horizontal="center"/>
    </xf>
    <xf numFmtId="43" fontId="4" fillId="18" borderId="2" xfId="1" applyFont="1" applyFill="1" applyBorder="1"/>
    <xf numFmtId="43" fontId="13" fillId="18" borderId="2" xfId="1" applyFont="1" applyFill="1" applyBorder="1"/>
    <xf numFmtId="0" fontId="34" fillId="0" borderId="0" xfId="0" applyFont="1" applyAlignment="1"/>
    <xf numFmtId="173" fontId="4" fillId="0" borderId="2" xfId="2" applyNumberFormat="1" applyFont="1" applyFill="1" applyBorder="1"/>
    <xf numFmtId="43" fontId="4" fillId="0" borderId="0" xfId="1" applyFont="1" applyFill="1" applyBorder="1"/>
    <xf numFmtId="43" fontId="0" fillId="19" borderId="2" xfId="1" applyFont="1" applyFill="1" applyBorder="1"/>
    <xf numFmtId="4" fontId="13" fillId="19" borderId="0" xfId="1" applyNumberFormat="1" applyFont="1" applyFill="1" applyBorder="1"/>
    <xf numFmtId="43" fontId="13" fillId="19" borderId="0" xfId="0" applyNumberFormat="1" applyFont="1" applyFill="1" applyBorder="1"/>
    <xf numFmtId="193" fontId="27" fillId="0" borderId="0" xfId="0" applyNumberFormat="1" applyFont="1"/>
    <xf numFmtId="0" fontId="27" fillId="0" borderId="0" xfId="0" applyFont="1"/>
    <xf numFmtId="0" fontId="27" fillId="0" borderId="0" xfId="0" applyFont="1" applyAlignment="1">
      <alignment horizontal="center"/>
    </xf>
    <xf numFmtId="0" fontId="4" fillId="7" borderId="11" xfId="0" applyFont="1" applyFill="1" applyBorder="1"/>
    <xf numFmtId="0" fontId="6" fillId="7" borderId="2" xfId="0" applyNumberFormat="1" applyFont="1" applyFill="1" applyBorder="1" applyAlignment="1">
      <alignment vertical="top"/>
    </xf>
    <xf numFmtId="0" fontId="4" fillId="7" borderId="11" xfId="0" applyNumberFormat="1" applyFont="1" applyFill="1" applyBorder="1" applyAlignment="1" applyProtection="1"/>
    <xf numFmtId="167" fontId="4" fillId="7" borderId="2" xfId="0" quotePrefix="1" applyNumberFormat="1" applyFont="1" applyFill="1" applyBorder="1" applyAlignment="1" applyProtection="1"/>
    <xf numFmtId="2" fontId="4" fillId="7" borderId="2" xfId="0" applyNumberFormat="1" applyFont="1" applyFill="1" applyBorder="1"/>
    <xf numFmtId="171" fontId="4" fillId="7" borderId="2" xfId="0" applyNumberFormat="1" applyFont="1" applyFill="1" applyBorder="1"/>
    <xf numFmtId="39" fontId="4" fillId="7" borderId="2" xfId="2" applyNumberFormat="1" applyFont="1" applyFill="1" applyBorder="1"/>
    <xf numFmtId="7" fontId="4" fillId="7" borderId="2" xfId="0" applyNumberFormat="1" applyFont="1" applyFill="1" applyBorder="1" applyAlignment="1" applyProtection="1">
      <alignment horizontal="center"/>
    </xf>
    <xf numFmtId="0" fontId="4" fillId="7" borderId="0" xfId="0" applyFont="1" applyFill="1"/>
    <xf numFmtId="0" fontId="9" fillId="7" borderId="0" xfId="0" applyFont="1" applyFill="1"/>
    <xf numFmtId="0" fontId="9" fillId="0" borderId="14" xfId="0" applyFont="1" applyFill="1" applyBorder="1"/>
    <xf numFmtId="0" fontId="9" fillId="0" borderId="15" xfId="0" applyFont="1" applyFill="1" applyBorder="1"/>
    <xf numFmtId="0" fontId="9" fillId="0" borderId="16" xfId="0" applyFont="1" applyFill="1" applyBorder="1"/>
    <xf numFmtId="0" fontId="4" fillId="19" borderId="2" xfId="0" applyFont="1" applyFill="1" applyBorder="1" applyAlignment="1"/>
    <xf numFmtId="167" fontId="4" fillId="19" borderId="2" xfId="0" quotePrefix="1" applyNumberFormat="1" applyFont="1" applyFill="1" applyBorder="1" applyAlignment="1" applyProtection="1">
      <alignment horizontal="left"/>
    </xf>
    <xf numFmtId="167" fontId="13" fillId="19" borderId="2" xfId="0" applyNumberFormat="1" applyFont="1" applyFill="1" applyBorder="1" applyAlignment="1" applyProtection="1">
      <alignment horizontal="center"/>
    </xf>
    <xf numFmtId="171" fontId="13" fillId="19" borderId="2" xfId="0" applyNumberFormat="1" applyFont="1" applyFill="1" applyBorder="1" applyAlignment="1" applyProtection="1">
      <alignment horizontal="center"/>
    </xf>
    <xf numFmtId="2" fontId="13" fillId="19" borderId="2" xfId="0" applyNumberFormat="1" applyFont="1" applyFill="1" applyBorder="1" applyAlignment="1" applyProtection="1">
      <alignment horizontal="center"/>
    </xf>
    <xf numFmtId="173" fontId="0" fillId="19" borderId="2" xfId="2" applyNumberFormat="1" applyFont="1" applyFill="1" applyBorder="1" applyAlignment="1">
      <alignment horizontal="center"/>
    </xf>
    <xf numFmtId="168" fontId="13" fillId="19" borderId="2" xfId="0" applyNumberFormat="1" applyFont="1" applyFill="1" applyBorder="1" applyAlignment="1" applyProtection="1">
      <alignment horizontal="center"/>
    </xf>
    <xf numFmtId="43" fontId="4" fillId="19" borderId="2" xfId="1" applyFont="1" applyFill="1" applyBorder="1"/>
    <xf numFmtId="43" fontId="13" fillId="19" borderId="2" xfId="1" applyFont="1" applyFill="1" applyBorder="1"/>
    <xf numFmtId="0" fontId="0" fillId="19" borderId="2" xfId="0" applyFill="1" applyBorder="1" applyAlignment="1">
      <alignment horizontal="center"/>
    </xf>
    <xf numFmtId="167" fontId="2" fillId="0" borderId="2" xfId="0" applyNumberFormat="1" applyFont="1" applyFill="1" applyBorder="1" applyAlignment="1" applyProtection="1">
      <alignment horizontal="left"/>
    </xf>
    <xf numFmtId="0" fontId="4" fillId="5" borderId="2" xfId="0" applyFont="1" applyFill="1" applyBorder="1"/>
    <xf numFmtId="3" fontId="0" fillId="5" borderId="2" xfId="0" applyNumberFormat="1" applyFill="1" applyBorder="1"/>
    <xf numFmtId="196" fontId="0" fillId="5" borderId="2" xfId="1" applyNumberFormat="1" applyFont="1" applyFill="1" applyBorder="1"/>
    <xf numFmtId="171" fontId="0" fillId="5" borderId="2" xfId="0" applyNumberFormat="1" applyFill="1" applyBorder="1"/>
    <xf numFmtId="4" fontId="0" fillId="5" borderId="2" xfId="0" applyNumberFormat="1" applyFill="1" applyBorder="1"/>
    <xf numFmtId="43" fontId="4" fillId="11" borderId="2" xfId="1" applyFont="1" applyFill="1" applyBorder="1"/>
    <xf numFmtId="167" fontId="2" fillId="6" borderId="2" xfId="0" applyNumberFormat="1" applyFont="1" applyFill="1" applyBorder="1" applyAlignment="1" applyProtection="1">
      <alignment horizontal="center"/>
    </xf>
    <xf numFmtId="0" fontId="13" fillId="6" borderId="0" xfId="0" applyFont="1" applyFill="1" applyBorder="1"/>
    <xf numFmtId="0" fontId="2" fillId="6" borderId="0" xfId="0" applyFont="1" applyFill="1" applyBorder="1"/>
    <xf numFmtId="0" fontId="0" fillId="18" borderId="2" xfId="0" applyFill="1" applyBorder="1" applyAlignment="1">
      <alignment horizontal="center"/>
    </xf>
    <xf numFmtId="0" fontId="4" fillId="18" borderId="2" xfId="0" applyFont="1" applyFill="1" applyBorder="1" applyAlignment="1"/>
    <xf numFmtId="167" fontId="13" fillId="10" borderId="2" xfId="0" applyNumberFormat="1" applyFont="1" applyFill="1" applyBorder="1" applyAlignment="1" applyProtection="1">
      <alignment horizontal="center"/>
    </xf>
    <xf numFmtId="171" fontId="13" fillId="10" borderId="2" xfId="0" applyNumberFormat="1" applyFont="1" applyFill="1" applyBorder="1" applyAlignment="1" applyProtection="1">
      <alignment horizontal="center"/>
    </xf>
    <xf numFmtId="43" fontId="0" fillId="10" borderId="2" xfId="1" applyFont="1" applyFill="1" applyBorder="1"/>
    <xf numFmtId="167" fontId="8" fillId="10" borderId="2" xfId="0" applyNumberFormat="1" applyFont="1" applyFill="1" applyBorder="1" applyAlignment="1" applyProtection="1">
      <alignment horizontal="left"/>
    </xf>
    <xf numFmtId="0" fontId="0" fillId="22" borderId="3" xfId="0" applyFill="1" applyBorder="1"/>
    <xf numFmtId="196" fontId="0" fillId="22" borderId="3" xfId="1" applyNumberFormat="1" applyFont="1" applyFill="1" applyBorder="1"/>
    <xf numFmtId="2" fontId="0" fillId="19" borderId="2" xfId="0" applyNumberFormat="1" applyFill="1" applyBorder="1"/>
    <xf numFmtId="0" fontId="8" fillId="19" borderId="2" xfId="0" applyFont="1" applyFill="1" applyBorder="1" applyAlignment="1">
      <alignment horizontal="center"/>
    </xf>
    <xf numFmtId="167" fontId="8" fillId="14" borderId="2" xfId="0" applyNumberFormat="1" applyFont="1" applyFill="1" applyBorder="1" applyAlignment="1" applyProtection="1"/>
    <xf numFmtId="0" fontId="4" fillId="0" borderId="0" xfId="0" quotePrefix="1" applyFont="1" applyFill="1"/>
    <xf numFmtId="178" fontId="8" fillId="19" borderId="2" xfId="2" applyNumberFormat="1" applyFont="1" applyFill="1" applyBorder="1"/>
    <xf numFmtId="2" fontId="4" fillId="19" borderId="2" xfId="0" applyNumberFormat="1" applyFont="1" applyFill="1" applyBorder="1"/>
    <xf numFmtId="171" fontId="4" fillId="19" borderId="2" xfId="0" applyNumberFormat="1" applyFont="1" applyFill="1" applyBorder="1"/>
    <xf numFmtId="39" fontId="4" fillId="19" borderId="2" xfId="2" applyNumberFormat="1" applyFont="1" applyFill="1" applyBorder="1"/>
    <xf numFmtId="1" fontId="4" fillId="19" borderId="2" xfId="0" applyNumberFormat="1" applyFont="1" applyFill="1" applyBorder="1" applyAlignment="1">
      <alignment horizontal="center"/>
    </xf>
    <xf numFmtId="173" fontId="0" fillId="19" borderId="2" xfId="2" applyNumberFormat="1" applyFont="1" applyFill="1" applyBorder="1"/>
    <xf numFmtId="43" fontId="4" fillId="19" borderId="2" xfId="0" applyNumberFormat="1" applyFont="1" applyFill="1" applyBorder="1" applyAlignment="1">
      <alignment horizontal="center"/>
    </xf>
    <xf numFmtId="0" fontId="0" fillId="6" borderId="22" xfId="0" applyFill="1" applyBorder="1"/>
    <xf numFmtId="43" fontId="0" fillId="6" borderId="0" xfId="1" applyFont="1" applyFill="1" applyBorder="1"/>
    <xf numFmtId="0" fontId="4" fillId="0" borderId="22" xfId="0" applyFont="1" applyFill="1" applyBorder="1" applyAlignment="1">
      <alignment horizontal="center"/>
    </xf>
    <xf numFmtId="176" fontId="34" fillId="0" borderId="0" xfId="0" applyNumberFormat="1" applyFont="1"/>
    <xf numFmtId="171" fontId="0" fillId="4" borderId="2" xfId="0" applyNumberFormat="1" applyFill="1" applyBorder="1"/>
    <xf numFmtId="4" fontId="0" fillId="4" borderId="2" xfId="0" applyNumberFormat="1" applyFill="1" applyBorder="1"/>
    <xf numFmtId="4" fontId="4" fillId="4" borderId="2" xfId="0" applyNumberFormat="1" applyFont="1" applyFill="1" applyBorder="1"/>
    <xf numFmtId="22" fontId="0" fillId="0" borderId="0" xfId="0" applyNumberFormat="1"/>
    <xf numFmtId="1" fontId="0" fillId="7" borderId="2" xfId="0" applyNumberFormat="1" applyFill="1" applyBorder="1" applyAlignment="1"/>
    <xf numFmtId="1" fontId="0" fillId="7" borderId="0" xfId="0" applyNumberFormat="1" applyFill="1"/>
    <xf numFmtId="0" fontId="0" fillId="7" borderId="0" xfId="0" applyFill="1" applyProtection="1">
      <protection locked="0"/>
    </xf>
    <xf numFmtId="0" fontId="0" fillId="10" borderId="2" xfId="0" applyFill="1" applyBorder="1" applyAlignment="1">
      <alignment horizontal="center"/>
    </xf>
    <xf numFmtId="0" fontId="4" fillId="10" borderId="2" xfId="0" applyFont="1" applyFill="1" applyBorder="1" applyAlignment="1"/>
    <xf numFmtId="167" fontId="4" fillId="10" borderId="2" xfId="0" quotePrefix="1" applyNumberFormat="1" applyFont="1" applyFill="1" applyBorder="1" applyAlignment="1" applyProtection="1">
      <alignment horizontal="left"/>
    </xf>
    <xf numFmtId="0" fontId="4" fillId="10" borderId="2" xfId="0" applyFont="1" applyFill="1" applyBorder="1" applyAlignment="1">
      <alignment horizontal="center"/>
    </xf>
    <xf numFmtId="2" fontId="13" fillId="10" borderId="2" xfId="0" applyNumberFormat="1" applyFont="1" applyFill="1" applyBorder="1" applyAlignment="1" applyProtection="1">
      <alignment horizontal="center"/>
    </xf>
    <xf numFmtId="173" fontId="0" fillId="10" borderId="2" xfId="2" applyNumberFormat="1" applyFont="1" applyFill="1" applyBorder="1" applyAlignment="1">
      <alignment horizontal="center"/>
    </xf>
    <xf numFmtId="168" fontId="13" fillId="10" borderId="2" xfId="0" applyNumberFormat="1" applyFont="1" applyFill="1" applyBorder="1" applyAlignment="1" applyProtection="1">
      <alignment horizontal="center"/>
    </xf>
    <xf numFmtId="43" fontId="4" fillId="10" borderId="2" xfId="1" applyFont="1" applyFill="1" applyBorder="1"/>
    <xf numFmtId="43" fontId="13" fillId="10" borderId="2" xfId="1" applyFont="1" applyFill="1" applyBorder="1"/>
    <xf numFmtId="0" fontId="13" fillId="10" borderId="0" xfId="0" applyFont="1" applyFill="1" applyBorder="1"/>
    <xf numFmtId="0" fontId="13" fillId="10" borderId="2" xfId="0" applyFont="1" applyFill="1" applyBorder="1"/>
    <xf numFmtId="0" fontId="13" fillId="10" borderId="0" xfId="0" applyFont="1" applyFill="1"/>
    <xf numFmtId="167" fontId="2" fillId="19" borderId="2" xfId="0" applyNumberFormat="1" applyFont="1" applyFill="1" applyBorder="1" applyAlignment="1" applyProtection="1">
      <alignment horizontal="center"/>
    </xf>
    <xf numFmtId="167" fontId="4" fillId="19" borderId="2" xfId="0" applyNumberFormat="1" applyFont="1" applyFill="1" applyBorder="1" applyAlignment="1" applyProtection="1"/>
    <xf numFmtId="171" fontId="2" fillId="19" borderId="2" xfId="0" applyNumberFormat="1" applyFont="1" applyFill="1" applyBorder="1" applyAlignment="1" applyProtection="1">
      <alignment horizontal="center"/>
    </xf>
    <xf numFmtId="2" fontId="2" fillId="19" borderId="2" xfId="0" applyNumberFormat="1" applyFont="1" applyFill="1" applyBorder="1" applyAlignment="1" applyProtection="1">
      <alignment horizontal="center"/>
    </xf>
    <xf numFmtId="168" fontId="2" fillId="19" borderId="2" xfId="0" applyNumberFormat="1" applyFont="1" applyFill="1" applyBorder="1" applyAlignment="1" applyProtection="1">
      <alignment horizontal="center"/>
    </xf>
    <xf numFmtId="43" fontId="2" fillId="19" borderId="2" xfId="1" applyFont="1" applyFill="1" applyBorder="1"/>
    <xf numFmtId="1" fontId="4" fillId="18" borderId="2" xfId="0" applyNumberFormat="1" applyFont="1" applyFill="1" applyBorder="1" applyAlignment="1">
      <alignment horizontal="center"/>
    </xf>
    <xf numFmtId="9" fontId="0" fillId="18" borderId="2" xfId="0" applyNumberFormat="1" applyFill="1" applyBorder="1" applyAlignment="1">
      <alignment horizontal="center"/>
    </xf>
    <xf numFmtId="0" fontId="0" fillId="18" borderId="0" xfId="0" applyFill="1" applyBorder="1"/>
    <xf numFmtId="0" fontId="6" fillId="17" borderId="1" xfId="0" applyFont="1" applyFill="1" applyBorder="1" applyAlignment="1">
      <alignment vertical="top"/>
    </xf>
    <xf numFmtId="22" fontId="6" fillId="17" borderId="1" xfId="0" applyNumberFormat="1" applyFont="1" applyFill="1" applyBorder="1" applyAlignment="1">
      <alignment vertical="top"/>
    </xf>
    <xf numFmtId="0" fontId="6" fillId="17" borderId="1" xfId="0" applyFont="1" applyFill="1" applyBorder="1" applyAlignment="1">
      <alignment horizontal="right" vertical="top"/>
    </xf>
    <xf numFmtId="0" fontId="4" fillId="14" borderId="2" xfId="0" applyFont="1" applyFill="1" applyBorder="1"/>
    <xf numFmtId="0" fontId="4" fillId="14" borderId="2" xfId="0" applyFont="1" applyFill="1" applyBorder="1" applyAlignment="1">
      <alignment horizontal="center"/>
    </xf>
    <xf numFmtId="0" fontId="8" fillId="14" borderId="2" xfId="0" applyFont="1" applyFill="1" applyBorder="1" applyAlignment="1">
      <alignment horizontal="center"/>
    </xf>
    <xf numFmtId="0" fontId="4" fillId="14" borderId="2" xfId="0" applyNumberFormat="1" applyFont="1" applyFill="1" applyBorder="1" applyAlignment="1"/>
    <xf numFmtId="178" fontId="8" fillId="14" borderId="2" xfId="2" applyNumberFormat="1" applyFont="1" applyFill="1" applyBorder="1"/>
    <xf numFmtId="2" fontId="4" fillId="14" borderId="2" xfId="0" applyNumberFormat="1" applyFont="1" applyFill="1" applyBorder="1"/>
    <xf numFmtId="171" fontId="4" fillId="14" borderId="2" xfId="0" applyNumberFormat="1" applyFont="1" applyFill="1" applyBorder="1"/>
    <xf numFmtId="39" fontId="4" fillId="14" borderId="2" xfId="2" applyNumberFormat="1" applyFont="1" applyFill="1" applyBorder="1"/>
    <xf numFmtId="0" fontId="4" fillId="14" borderId="0" xfId="0" applyFont="1" applyFill="1"/>
    <xf numFmtId="0" fontId="23" fillId="14" borderId="2" xfId="0" applyFont="1" applyFill="1" applyBorder="1" applyAlignment="1">
      <alignment horizontal="center" vertical="top" wrapText="1"/>
    </xf>
    <xf numFmtId="0" fontId="6" fillId="14" borderId="2" xfId="0" applyNumberFormat="1" applyFont="1" applyFill="1" applyBorder="1" applyAlignment="1">
      <alignment vertical="top"/>
    </xf>
    <xf numFmtId="193" fontId="0" fillId="19" borderId="0" xfId="1" applyNumberFormat="1" applyFont="1" applyFill="1" applyBorder="1"/>
    <xf numFmtId="0" fontId="8" fillId="4" borderId="0" xfId="0" applyFont="1" applyFill="1"/>
    <xf numFmtId="4" fontId="8" fillId="4" borderId="0" xfId="0" applyNumberFormat="1" applyFont="1" applyFill="1"/>
    <xf numFmtId="0" fontId="8" fillId="4" borderId="0" xfId="0" applyFont="1" applyFill="1" applyAlignment="1">
      <alignment horizontal="center"/>
    </xf>
    <xf numFmtId="196" fontId="0" fillId="18" borderId="0" xfId="1" applyNumberFormat="1" applyFont="1" applyFill="1" applyBorder="1"/>
    <xf numFmtId="171" fontId="4" fillId="4" borderId="2" xfId="0" applyNumberFormat="1" applyFont="1" applyFill="1" applyBorder="1" applyAlignment="1" applyProtection="1">
      <alignment horizontal="center"/>
    </xf>
    <xf numFmtId="0" fontId="9" fillId="19" borderId="0" xfId="0" applyFont="1" applyFill="1"/>
    <xf numFmtId="17" fontId="8" fillId="19" borderId="0" xfId="0" applyNumberFormat="1" applyFont="1" applyFill="1"/>
    <xf numFmtId="167" fontId="2" fillId="5" borderId="2" xfId="0" applyNumberFormat="1" applyFont="1" applyFill="1" applyBorder="1" applyAlignment="1" applyProtection="1">
      <alignment horizontal="center"/>
    </xf>
    <xf numFmtId="167" fontId="4" fillId="5" borderId="2" xfId="0" applyNumberFormat="1" applyFont="1" applyFill="1" applyBorder="1" applyAlignment="1" applyProtection="1"/>
    <xf numFmtId="171" fontId="2" fillId="5" borderId="2" xfId="0" applyNumberFormat="1" applyFont="1" applyFill="1" applyBorder="1" applyAlignment="1" applyProtection="1">
      <alignment horizontal="center"/>
    </xf>
    <xf numFmtId="168" fontId="2" fillId="5" borderId="2" xfId="0" applyNumberFormat="1" applyFont="1" applyFill="1" applyBorder="1" applyAlignment="1" applyProtection="1">
      <alignment horizontal="center"/>
    </xf>
    <xf numFmtId="43" fontId="4" fillId="5" borderId="2" xfId="1" applyFont="1" applyFill="1" applyBorder="1"/>
    <xf numFmtId="43" fontId="2" fillId="5" borderId="2" xfId="1" applyFont="1" applyFill="1" applyBorder="1"/>
    <xf numFmtId="43" fontId="0" fillId="5" borderId="2" xfId="1" applyFont="1" applyFill="1" applyBorder="1"/>
    <xf numFmtId="0" fontId="13" fillId="5" borderId="0" xfId="0" applyFont="1" applyFill="1" applyBorder="1"/>
    <xf numFmtId="178" fontId="8" fillId="5" borderId="2" xfId="2" applyNumberFormat="1" applyFont="1" applyFill="1" applyBorder="1"/>
    <xf numFmtId="2" fontId="4" fillId="5" borderId="2" xfId="0" applyNumberFormat="1" applyFont="1" applyFill="1" applyBorder="1"/>
    <xf numFmtId="171" fontId="4" fillId="5" borderId="2" xfId="0" applyNumberFormat="1" applyFont="1" applyFill="1" applyBorder="1"/>
    <xf numFmtId="39" fontId="4" fillId="5" borderId="2" xfId="2" applyNumberFormat="1" applyFont="1" applyFill="1" applyBorder="1"/>
    <xf numFmtId="0" fontId="4" fillId="5" borderId="0" xfId="0" applyFont="1" applyFill="1"/>
    <xf numFmtId="0" fontId="23" fillId="5" borderId="2" xfId="0" applyFont="1" applyFill="1" applyBorder="1" applyAlignment="1">
      <alignment horizontal="center" vertical="top" wrapText="1"/>
    </xf>
    <xf numFmtId="0" fontId="4" fillId="5" borderId="2" xfId="0" applyNumberFormat="1" applyFont="1" applyFill="1" applyBorder="1" applyAlignment="1" applyProtection="1"/>
    <xf numFmtId="0" fontId="0" fillId="0" borderId="0" xfId="0" quotePrefix="1"/>
    <xf numFmtId="38" fontId="0" fillId="0" borderId="0" xfId="0" applyNumberFormat="1" applyAlignment="1">
      <alignment horizontal="center"/>
    </xf>
    <xf numFmtId="38" fontId="0" fillId="0" borderId="0" xfId="0" applyNumberFormat="1"/>
    <xf numFmtId="0" fontId="8" fillId="6" borderId="13" xfId="0" applyFont="1" applyFill="1" applyBorder="1" applyAlignment="1">
      <alignment horizontal="center"/>
    </xf>
    <xf numFmtId="0" fontId="4" fillId="6" borderId="0" xfId="0" applyFont="1" applyFill="1"/>
    <xf numFmtId="1" fontId="4" fillId="2" borderId="0" xfId="0" applyNumberFormat="1" applyFont="1" applyFill="1" applyBorder="1" applyAlignment="1">
      <alignment horizontal="center"/>
    </xf>
    <xf numFmtId="1" fontId="9" fillId="7" borderId="0" xfId="0" applyNumberFormat="1" applyFont="1" applyFill="1" applyBorder="1" applyAlignment="1">
      <alignment horizontal="center"/>
    </xf>
    <xf numFmtId="1" fontId="4" fillId="2" borderId="2" xfId="0" applyNumberFormat="1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center"/>
    </xf>
    <xf numFmtId="1" fontId="4" fillId="14" borderId="2" xfId="0" applyNumberFormat="1" applyFont="1" applyFill="1" applyBorder="1" applyAlignment="1">
      <alignment horizontal="center"/>
    </xf>
    <xf numFmtId="1" fontId="4" fillId="5" borderId="2" xfId="0" applyNumberFormat="1" applyFont="1" applyFill="1" applyBorder="1" applyAlignment="1">
      <alignment horizontal="center"/>
    </xf>
    <xf numFmtId="1" fontId="4" fillId="12" borderId="2" xfId="0" applyNumberFormat="1" applyFont="1" applyFill="1" applyBorder="1" applyAlignment="1">
      <alignment horizontal="center"/>
    </xf>
    <xf numFmtId="1" fontId="4" fillId="7" borderId="2" xfId="0" applyNumberFormat="1" applyFont="1" applyFill="1" applyBorder="1" applyAlignment="1">
      <alignment horizontal="center"/>
    </xf>
    <xf numFmtId="1" fontId="4" fillId="0" borderId="0" xfId="0" applyNumberFormat="1" applyFont="1" applyAlignment="1">
      <alignment horizontal="center"/>
    </xf>
    <xf numFmtId="196" fontId="4" fillId="6" borderId="0" xfId="1" applyNumberFormat="1" applyFont="1" applyFill="1"/>
    <xf numFmtId="0" fontId="6" fillId="0" borderId="2" xfId="0" applyFont="1" applyFill="1" applyBorder="1" applyAlignment="1">
      <alignment vertical="top" wrapText="1"/>
    </xf>
    <xf numFmtId="0" fontId="6" fillId="0" borderId="2" xfId="0" applyFont="1" applyFill="1" applyBorder="1" applyAlignment="1">
      <alignment vertical="top"/>
    </xf>
    <xf numFmtId="0" fontId="0" fillId="0" borderId="2" xfId="0" quotePrefix="1" applyFill="1" applyBorder="1" applyAlignment="1">
      <alignment horizontal="center"/>
    </xf>
    <xf numFmtId="0" fontId="9" fillId="0" borderId="2" xfId="0" applyFont="1" applyFill="1" applyBorder="1"/>
    <xf numFmtId="0" fontId="0" fillId="0" borderId="10" xfId="0" applyBorder="1"/>
    <xf numFmtId="213" fontId="0" fillId="13" borderId="0" xfId="0" applyNumberFormat="1" applyFill="1"/>
    <xf numFmtId="213" fontId="5" fillId="7" borderId="0" xfId="0" applyNumberFormat="1" applyFont="1" applyFill="1"/>
    <xf numFmtId="213" fontId="0" fillId="0" borderId="23" xfId="0" applyNumberFormat="1" applyFill="1" applyBorder="1"/>
    <xf numFmtId="213" fontId="0" fillId="0" borderId="0" xfId="0" applyNumberFormat="1" applyFill="1"/>
    <xf numFmtId="213" fontId="0" fillId="18" borderId="23" xfId="0" applyNumberFormat="1" applyFill="1" applyBorder="1"/>
    <xf numFmtId="0" fontId="0" fillId="14" borderId="2" xfId="0" applyFill="1" applyBorder="1"/>
    <xf numFmtId="213" fontId="0" fillId="14" borderId="23" xfId="0" applyNumberFormat="1" applyFill="1" applyBorder="1"/>
    <xf numFmtId="0" fontId="8" fillId="18" borderId="2" xfId="0" applyFont="1" applyFill="1" applyBorder="1"/>
    <xf numFmtId="213" fontId="0" fillId="23" borderId="23" xfId="0" applyNumberFormat="1" applyFill="1" applyBorder="1"/>
    <xf numFmtId="0" fontId="0" fillId="23" borderId="2" xfId="0" applyFill="1" applyBorder="1"/>
    <xf numFmtId="171" fontId="9" fillId="7" borderId="4" xfId="3" applyNumberFormat="1" applyFont="1" applyFill="1" applyBorder="1" applyAlignment="1" applyProtection="1">
      <alignment horizontal="center"/>
    </xf>
    <xf numFmtId="49" fontId="0" fillId="6" borderId="0" xfId="0" applyNumberFormat="1" applyFill="1"/>
    <xf numFmtId="4" fontId="0" fillId="6" borderId="0" xfId="0" applyNumberFormat="1" applyFill="1"/>
  </cellXfs>
  <cellStyles count="4">
    <cellStyle name="Comma" xfId="1" builtinId="3"/>
    <cellStyle name="Currency" xfId="2" builtinId="4"/>
    <cellStyle name="headings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>
      <selection activeCell="A4" sqref="A4"/>
    </sheetView>
  </sheetViews>
  <sheetFormatPr defaultRowHeight="12.75" x14ac:dyDescent="0.2"/>
  <cols>
    <col min="1" max="1" width="9.140625" style="90"/>
  </cols>
  <sheetData>
    <row r="1" spans="1:1" ht="15.75" x14ac:dyDescent="0.25">
      <c r="A1" s="786" t="s">
        <v>1653</v>
      </c>
    </row>
    <row r="2" spans="1:1" ht="15.75" x14ac:dyDescent="0.25">
      <c r="A2" s="786"/>
    </row>
    <row r="3" spans="1:1" ht="15" x14ac:dyDescent="0.2">
      <c r="A3" s="596" t="s">
        <v>1782</v>
      </c>
    </row>
    <row r="4" spans="1:1" ht="15" x14ac:dyDescent="0.2">
      <c r="A4" s="596" t="s">
        <v>1638</v>
      </c>
    </row>
    <row r="5" spans="1:1" ht="15" x14ac:dyDescent="0.2">
      <c r="A5" s="596" t="s">
        <v>1639</v>
      </c>
    </row>
    <row r="6" spans="1:1" ht="15" x14ac:dyDescent="0.2">
      <c r="A6" s="596" t="s">
        <v>1640</v>
      </c>
    </row>
    <row r="7" spans="1:1" ht="15" x14ac:dyDescent="0.2">
      <c r="A7" s="596" t="s">
        <v>1641</v>
      </c>
    </row>
    <row r="8" spans="1:1" ht="15" x14ac:dyDescent="0.2">
      <c r="A8" s="596" t="s">
        <v>1642</v>
      </c>
    </row>
    <row r="9" spans="1:1" ht="15" x14ac:dyDescent="0.2">
      <c r="A9" s="596" t="s">
        <v>1643</v>
      </c>
    </row>
    <row r="10" spans="1:1" ht="15" x14ac:dyDescent="0.2">
      <c r="A10" s="596" t="s">
        <v>1644</v>
      </c>
    </row>
    <row r="11" spans="1:1" ht="15" x14ac:dyDescent="0.2">
      <c r="A11" s="596"/>
    </row>
    <row r="12" spans="1:1" ht="15.75" x14ac:dyDescent="0.25">
      <c r="A12" s="786" t="s">
        <v>1652</v>
      </c>
    </row>
    <row r="13" spans="1:1" ht="15" x14ac:dyDescent="0.2">
      <c r="A13" s="596"/>
    </row>
    <row r="14" spans="1:1" ht="15" x14ac:dyDescent="0.2">
      <c r="A14" s="596" t="s">
        <v>1645</v>
      </c>
    </row>
    <row r="15" spans="1:1" ht="15" x14ac:dyDescent="0.2">
      <c r="A15" s="596" t="s">
        <v>2314</v>
      </c>
    </row>
    <row r="16" spans="1:1" ht="15" x14ac:dyDescent="0.2">
      <c r="A16" s="596" t="s">
        <v>1648</v>
      </c>
    </row>
    <row r="17" spans="1:1" ht="15" x14ac:dyDescent="0.2">
      <c r="A17" s="596" t="s">
        <v>1649</v>
      </c>
    </row>
    <row r="18" spans="1:1" ht="15" x14ac:dyDescent="0.2">
      <c r="A18" s="596" t="s">
        <v>1650</v>
      </c>
    </row>
    <row r="19" spans="1:1" ht="15" x14ac:dyDescent="0.2">
      <c r="A19" s="596" t="s">
        <v>1651</v>
      </c>
    </row>
    <row r="20" spans="1:1" ht="15" x14ac:dyDescent="0.2">
      <c r="A20" s="596"/>
    </row>
    <row r="21" spans="1:1" ht="15.75" x14ac:dyDescent="0.25">
      <c r="A21" s="786" t="s">
        <v>1654</v>
      </c>
    </row>
    <row r="23" spans="1:1" ht="15" x14ac:dyDescent="0.2">
      <c r="A23" s="596" t="s">
        <v>15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S287"/>
  <sheetViews>
    <sheetView zoomScale="85" workbookViewId="0">
      <pane ySplit="4" topLeftCell="A278" activePane="bottomLeft" state="frozen"/>
      <selection pane="bottomLeft" activeCell="P76" sqref="P76:P77"/>
    </sheetView>
  </sheetViews>
  <sheetFormatPr defaultRowHeight="15" customHeight="1" x14ac:dyDescent="0.2"/>
  <cols>
    <col min="1" max="1" width="7" style="4" customWidth="1"/>
    <col min="2" max="2" width="6.28515625" style="4" customWidth="1"/>
    <col min="3" max="3" width="19.7109375" style="4" customWidth="1"/>
    <col min="4" max="4" width="4.42578125" style="4" customWidth="1"/>
    <col min="5" max="5" width="4.140625" style="4" customWidth="1"/>
    <col min="6" max="6" width="8.140625" style="4" bestFit="1" customWidth="1"/>
    <col min="7" max="7" width="15.7109375" style="7" customWidth="1"/>
    <col min="8" max="8" width="8.28515625" style="225" customWidth="1"/>
    <col min="9" max="10" width="8.7109375" style="4" bestFit="1" customWidth="1"/>
    <col min="11" max="11" width="9.5703125" style="346" bestFit="1" customWidth="1"/>
    <col min="12" max="12" width="6.7109375" style="220" bestFit="1" customWidth="1"/>
    <col min="13" max="13" width="6.28515625" style="220" customWidth="1"/>
    <col min="14" max="14" width="8.28515625" style="184" bestFit="1" customWidth="1"/>
    <col min="15" max="15" width="7.5703125" style="520" customWidth="1"/>
    <col min="16" max="16" width="12.140625" style="220" bestFit="1" customWidth="1"/>
    <col min="17" max="17" width="10.28515625" style="4" customWidth="1"/>
    <col min="18" max="18" width="12.140625" style="4" bestFit="1" customWidth="1"/>
    <col min="19" max="16384" width="9.140625" style="4"/>
  </cols>
  <sheetData>
    <row r="1" spans="1:18" ht="15" customHeight="1" x14ac:dyDescent="0.2">
      <c r="A1" s="5">
        <f>cgas!J6</f>
        <v>37258</v>
      </c>
      <c r="B1" s="5"/>
      <c r="C1" s="3"/>
      <c r="D1" s="3"/>
      <c r="E1" s="3"/>
      <c r="F1" s="3"/>
      <c r="G1" s="133"/>
      <c r="H1" s="94"/>
      <c r="I1" s="3"/>
      <c r="J1" s="3"/>
      <c r="K1" s="340">
        <f>A1</f>
        <v>37258</v>
      </c>
      <c r="L1" s="217"/>
      <c r="M1" s="217"/>
      <c r="N1" s="11"/>
      <c r="O1" s="517"/>
      <c r="P1" s="217"/>
    </row>
    <row r="2" spans="1:18" ht="15" customHeight="1" x14ac:dyDescent="0.2">
      <c r="A2" s="115" t="s">
        <v>627</v>
      </c>
      <c r="B2" s="115"/>
      <c r="C2" s="124"/>
      <c r="D2" s="3"/>
      <c r="E2" s="3"/>
      <c r="F2" s="3"/>
      <c r="G2" s="133"/>
      <c r="H2" s="116"/>
      <c r="I2" s="3"/>
      <c r="J2" s="2" t="s">
        <v>1404</v>
      </c>
      <c r="K2" s="341">
        <f>+cgas!J4</f>
        <v>2.11</v>
      </c>
      <c r="L2" s="217"/>
      <c r="M2" s="217"/>
      <c r="N2" s="11"/>
      <c r="O2" s="517"/>
      <c r="P2" s="217"/>
    </row>
    <row r="3" spans="1:18" ht="15" customHeight="1" x14ac:dyDescent="0.2">
      <c r="A3" s="3"/>
      <c r="B3" s="3"/>
      <c r="C3" s="3"/>
      <c r="D3" s="3"/>
      <c r="E3" s="3"/>
      <c r="F3" s="3"/>
      <c r="G3" s="133"/>
      <c r="H3" s="94"/>
      <c r="I3" s="3"/>
      <c r="J3" s="2" t="s">
        <v>1428</v>
      </c>
      <c r="K3" s="341">
        <f>+cgas!J5</f>
        <v>2.14</v>
      </c>
      <c r="L3" s="217"/>
      <c r="M3" s="217"/>
      <c r="N3" s="11"/>
      <c r="O3" s="517"/>
      <c r="P3" s="217"/>
    </row>
    <row r="4" spans="1:18" ht="15" customHeight="1" x14ac:dyDescent="0.2">
      <c r="A4" s="2" t="s">
        <v>1455</v>
      </c>
      <c r="B4" s="2"/>
      <c r="C4" s="2" t="s">
        <v>1432</v>
      </c>
      <c r="D4" s="2" t="s">
        <v>1414</v>
      </c>
      <c r="E4" s="2" t="s">
        <v>1433</v>
      </c>
      <c r="F4" s="2" t="s">
        <v>1430</v>
      </c>
      <c r="G4" s="125" t="s">
        <v>1438</v>
      </c>
      <c r="H4" s="95" t="s">
        <v>1431</v>
      </c>
      <c r="I4" s="125" t="s">
        <v>1416</v>
      </c>
      <c r="J4" s="125" t="s">
        <v>1439</v>
      </c>
      <c r="K4" s="342"/>
      <c r="L4" s="218" t="s">
        <v>1440</v>
      </c>
      <c r="M4" s="218" t="s">
        <v>1451</v>
      </c>
      <c r="N4" s="12" t="s">
        <v>1441</v>
      </c>
      <c r="O4" s="518" t="s">
        <v>1452</v>
      </c>
      <c r="P4" s="218" t="s">
        <v>1442</v>
      </c>
    </row>
    <row r="5" spans="1:18" s="135" customFormat="1" ht="15" customHeight="1" x14ac:dyDescent="0.2">
      <c r="A5" s="6" t="s">
        <v>547</v>
      </c>
      <c r="B5" s="329" t="s">
        <v>548</v>
      </c>
      <c r="C5" s="666" t="s">
        <v>552</v>
      </c>
      <c r="D5" s="666">
        <v>1786</v>
      </c>
      <c r="E5" s="666" t="s">
        <v>262</v>
      </c>
      <c r="F5" s="666"/>
      <c r="G5" s="877" t="s">
        <v>1424</v>
      </c>
      <c r="H5" s="339">
        <v>834673</v>
      </c>
      <c r="I5" s="876">
        <f t="shared" ref="I5:I27" si="0">IF(ISNA(VLOOKUP(H5,CNRGas,4,FALSE)),"na",VLOOKUP(H5,CNRGas,4,FALSE))</f>
        <v>0</v>
      </c>
      <c r="J5" s="536">
        <f t="shared" ref="J5:J25" si="1">IF(ISNA(VLOOKUP(H5,CNRGas,3,FALSE)),"na",VLOOKUP(H5,CNRGas,3,FALSE))</f>
        <v>0</v>
      </c>
      <c r="K5" s="344">
        <f>$K$3</f>
        <v>2.14</v>
      </c>
      <c r="L5" s="347">
        <v>0.32</v>
      </c>
      <c r="M5" s="347">
        <v>0.03</v>
      </c>
      <c r="N5" s="13">
        <f t="shared" ref="N5:N36" si="2">+K5-L5-M5</f>
        <v>1.79</v>
      </c>
      <c r="O5" s="519">
        <v>25</v>
      </c>
      <c r="P5" s="330">
        <f>(+N5*J5)-O5</f>
        <v>-25</v>
      </c>
      <c r="Q5" s="878" t="s">
        <v>2202</v>
      </c>
      <c r="R5" s="4"/>
    </row>
    <row r="6" spans="1:18" s="135" customFormat="1" ht="15" customHeight="1" x14ac:dyDescent="0.2">
      <c r="A6" s="6" t="s">
        <v>1457</v>
      </c>
      <c r="B6" s="6"/>
      <c r="C6" s="142" t="s">
        <v>1769</v>
      </c>
      <c r="D6" s="1"/>
      <c r="E6" s="1"/>
      <c r="F6" s="1">
        <v>163781</v>
      </c>
      <c r="G6" s="252" t="s">
        <v>1453</v>
      </c>
      <c r="H6" s="338">
        <v>829804</v>
      </c>
      <c r="I6" s="183">
        <f t="shared" si="0"/>
        <v>0</v>
      </c>
      <c r="J6" s="17">
        <f t="shared" si="1"/>
        <v>0</v>
      </c>
      <c r="K6" s="343">
        <f>$K$3</f>
        <v>2.14</v>
      </c>
      <c r="L6" s="219">
        <v>0.32</v>
      </c>
      <c r="M6" s="219">
        <v>0</v>
      </c>
      <c r="N6" s="13">
        <f t="shared" si="2"/>
        <v>1.82</v>
      </c>
      <c r="O6" s="519">
        <f t="shared" ref="O6:O67" si="3">IF(ISNA(VLOOKUP(H6,CNRGas,5,FALSE)),"na",VLOOKUP(H6,CNRGas,5,FALSE))</f>
        <v>0</v>
      </c>
      <c r="P6" s="330">
        <f t="shared" ref="P6:P69" si="4">(+N6*J6)-O6</f>
        <v>0</v>
      </c>
      <c r="Q6" s="269">
        <f>(-P6)*0.045</f>
        <v>0</v>
      </c>
      <c r="R6" s="269">
        <f>+P6+Q6</f>
        <v>0</v>
      </c>
    </row>
    <row r="7" spans="1:18" s="135" customFormat="1" ht="15" customHeight="1" x14ac:dyDescent="0.2">
      <c r="A7" s="6" t="s">
        <v>1457</v>
      </c>
      <c r="B7" s="6"/>
      <c r="C7" s="1" t="s">
        <v>1808</v>
      </c>
      <c r="D7" s="1"/>
      <c r="E7" s="1"/>
      <c r="F7" s="1">
        <v>163790</v>
      </c>
      <c r="G7" s="252" t="s">
        <v>1418</v>
      </c>
      <c r="H7" s="338">
        <v>827984</v>
      </c>
      <c r="I7" s="183">
        <f t="shared" si="0"/>
        <v>0</v>
      </c>
      <c r="J7" s="17">
        <f t="shared" si="1"/>
        <v>0</v>
      </c>
      <c r="K7" s="343">
        <f>+$K$3*0.98</f>
        <v>2.0972</v>
      </c>
      <c r="L7" s="219">
        <v>0.32</v>
      </c>
      <c r="M7" s="219">
        <v>0</v>
      </c>
      <c r="N7" s="13">
        <f t="shared" si="2"/>
        <v>1.7771999999999999</v>
      </c>
      <c r="O7" s="519">
        <f t="shared" si="3"/>
        <v>25</v>
      </c>
      <c r="P7" s="330">
        <f t="shared" si="4"/>
        <v>-25</v>
      </c>
    </row>
    <row r="8" spans="1:18" ht="15" customHeight="1" x14ac:dyDescent="0.2">
      <c r="A8" s="6" t="s">
        <v>1457</v>
      </c>
      <c r="B8" s="6"/>
      <c r="C8" s="1" t="s">
        <v>1756</v>
      </c>
      <c r="D8" s="1"/>
      <c r="E8" s="1"/>
      <c r="F8" s="1">
        <v>163810</v>
      </c>
      <c r="G8" s="252" t="s">
        <v>1453</v>
      </c>
      <c r="H8" s="338">
        <v>802041</v>
      </c>
      <c r="I8" s="183">
        <f t="shared" si="0"/>
        <v>0</v>
      </c>
      <c r="J8" s="17">
        <f t="shared" si="1"/>
        <v>2025</v>
      </c>
      <c r="K8" s="343">
        <f>+$K$3</f>
        <v>2.14</v>
      </c>
      <c r="L8" s="219">
        <v>0.32</v>
      </c>
      <c r="M8" s="219">
        <v>0</v>
      </c>
      <c r="N8" s="13">
        <f t="shared" si="2"/>
        <v>1.82</v>
      </c>
      <c r="O8" s="519">
        <f t="shared" si="3"/>
        <v>25</v>
      </c>
      <c r="P8" s="330">
        <f t="shared" si="4"/>
        <v>3660.5</v>
      </c>
      <c r="Q8" s="135"/>
      <c r="R8" s="135"/>
    </row>
    <row r="9" spans="1:18" s="135" customFormat="1" ht="15" customHeight="1" x14ac:dyDescent="0.2">
      <c r="A9" s="714" t="s">
        <v>1457</v>
      </c>
      <c r="B9" s="714"/>
      <c r="C9" s="847" t="s">
        <v>2265</v>
      </c>
      <c r="D9" s="714" t="s">
        <v>1386</v>
      </c>
      <c r="E9" s="714"/>
      <c r="F9" s="714">
        <v>163797</v>
      </c>
      <c r="G9" s="817" t="s">
        <v>1453</v>
      </c>
      <c r="H9" s="837">
        <v>818727</v>
      </c>
      <c r="I9" s="844">
        <f t="shared" si="0"/>
        <v>0</v>
      </c>
      <c r="J9" s="735">
        <f t="shared" si="1"/>
        <v>0</v>
      </c>
      <c r="K9" s="703">
        <f>+$K$3</f>
        <v>2.14</v>
      </c>
      <c r="L9" s="789">
        <v>0.32</v>
      </c>
      <c r="M9" s="789">
        <v>0</v>
      </c>
      <c r="N9" s="845">
        <f t="shared" si="2"/>
        <v>1.82</v>
      </c>
      <c r="O9" s="846">
        <f t="shared" si="3"/>
        <v>0</v>
      </c>
      <c r="P9" s="330">
        <f t="shared" si="4"/>
        <v>0</v>
      </c>
      <c r="Q9" s="729" t="s">
        <v>2264</v>
      </c>
      <c r="R9" s="729"/>
    </row>
    <row r="10" spans="1:18" s="135" customFormat="1" ht="15" customHeight="1" thickBot="1" x14ac:dyDescent="0.25">
      <c r="A10" s="6" t="s">
        <v>553</v>
      </c>
      <c r="B10" s="329" t="s">
        <v>554</v>
      </c>
      <c r="C10" s="6" t="s">
        <v>555</v>
      </c>
      <c r="D10" s="6">
        <v>8241</v>
      </c>
      <c r="E10" s="6" t="s">
        <v>556</v>
      </c>
      <c r="F10" s="6"/>
      <c r="G10" s="9" t="s">
        <v>273</v>
      </c>
      <c r="H10" s="312">
        <v>800536</v>
      </c>
      <c r="I10" s="183">
        <f t="shared" si="0"/>
        <v>0</v>
      </c>
      <c r="J10" s="17">
        <f t="shared" si="1"/>
        <v>0</v>
      </c>
      <c r="K10" s="344">
        <f>$K$3*0.95</f>
        <v>2.0329999999999999</v>
      </c>
      <c r="L10" s="347">
        <v>0.32</v>
      </c>
      <c r="M10" s="347">
        <v>0.03</v>
      </c>
      <c r="N10" s="13">
        <f t="shared" si="2"/>
        <v>1.6829999999999998</v>
      </c>
      <c r="O10" s="519">
        <f t="shared" si="3"/>
        <v>0</v>
      </c>
      <c r="P10" s="330">
        <f t="shared" si="4"/>
        <v>0</v>
      </c>
      <c r="Q10" s="4"/>
      <c r="R10" s="4"/>
    </row>
    <row r="11" spans="1:18" s="135" customFormat="1" ht="15" customHeight="1" x14ac:dyDescent="0.2">
      <c r="A11" s="6" t="s">
        <v>1457</v>
      </c>
      <c r="B11" s="6"/>
      <c r="C11" s="464" t="s">
        <v>1771</v>
      </c>
      <c r="D11" s="464"/>
      <c r="E11" s="464"/>
      <c r="F11" s="464">
        <v>145315</v>
      </c>
      <c r="G11" s="521" t="s">
        <v>1829</v>
      </c>
      <c r="H11" s="522">
        <v>800794</v>
      </c>
      <c r="I11" s="523">
        <f t="shared" si="0"/>
        <v>0</v>
      </c>
      <c r="J11" s="268">
        <f t="shared" si="1"/>
        <v>0</v>
      </c>
      <c r="K11" s="424">
        <f>+$K$3-0.0025</f>
        <v>2.1375000000000002</v>
      </c>
      <c r="L11" s="524">
        <v>0.32</v>
      </c>
      <c r="M11" s="524">
        <v>0</v>
      </c>
      <c r="N11" s="525">
        <f t="shared" si="2"/>
        <v>1.8175000000000001</v>
      </c>
      <c r="O11" s="526">
        <f t="shared" si="3"/>
        <v>0</v>
      </c>
      <c r="P11" s="330">
        <f t="shared" si="4"/>
        <v>0</v>
      </c>
      <c r="Q11" s="805" t="s">
        <v>1409</v>
      </c>
    </row>
    <row r="12" spans="1:18" s="135" customFormat="1" ht="15" customHeight="1" x14ac:dyDescent="0.2">
      <c r="A12" s="6" t="s">
        <v>1457</v>
      </c>
      <c r="B12" s="6"/>
      <c r="C12" s="464" t="s">
        <v>1771</v>
      </c>
      <c r="D12" s="464"/>
      <c r="E12" s="464"/>
      <c r="F12" s="464">
        <v>145315</v>
      </c>
      <c r="G12" s="521" t="s">
        <v>1829</v>
      </c>
      <c r="H12" s="522">
        <v>800913</v>
      </c>
      <c r="I12" s="523">
        <f t="shared" si="0"/>
        <v>0</v>
      </c>
      <c r="J12" s="268">
        <f t="shared" si="1"/>
        <v>0</v>
      </c>
      <c r="K12" s="424">
        <f t="shared" ref="K12:K19" si="5">+$K$3-0.0025</f>
        <v>2.1375000000000002</v>
      </c>
      <c r="L12" s="524">
        <v>0.32</v>
      </c>
      <c r="M12" s="524">
        <v>0</v>
      </c>
      <c r="N12" s="525">
        <f t="shared" si="2"/>
        <v>1.8175000000000001</v>
      </c>
      <c r="O12" s="526">
        <f t="shared" si="3"/>
        <v>0</v>
      </c>
      <c r="P12" s="330">
        <f t="shared" si="4"/>
        <v>0</v>
      </c>
      <c r="Q12" s="806" t="s">
        <v>1857</v>
      </c>
    </row>
    <row r="13" spans="1:18" s="47" customFormat="1" ht="15" customHeight="1" x14ac:dyDescent="0.2">
      <c r="A13" s="6" t="s">
        <v>1457</v>
      </c>
      <c r="B13" s="6"/>
      <c r="C13" s="464" t="s">
        <v>1771</v>
      </c>
      <c r="D13" s="464"/>
      <c r="E13" s="464"/>
      <c r="F13" s="464">
        <v>145315</v>
      </c>
      <c r="G13" s="521" t="s">
        <v>1829</v>
      </c>
      <c r="H13" s="522">
        <v>804831</v>
      </c>
      <c r="I13" s="523">
        <f t="shared" si="0"/>
        <v>0</v>
      </c>
      <c r="J13" s="268">
        <f t="shared" si="1"/>
        <v>0</v>
      </c>
      <c r="K13" s="424">
        <f t="shared" si="5"/>
        <v>2.1375000000000002</v>
      </c>
      <c r="L13" s="524">
        <v>0.32</v>
      </c>
      <c r="M13" s="524">
        <v>0</v>
      </c>
      <c r="N13" s="525">
        <f t="shared" si="2"/>
        <v>1.8175000000000001</v>
      </c>
      <c r="O13" s="526">
        <f t="shared" si="3"/>
        <v>0</v>
      </c>
      <c r="P13" s="330">
        <f t="shared" si="4"/>
        <v>0</v>
      </c>
      <c r="Q13" s="806" t="s">
        <v>1858</v>
      </c>
      <c r="R13" s="135"/>
    </row>
    <row r="14" spans="1:18" s="135" customFormat="1" ht="15" customHeight="1" x14ac:dyDescent="0.2">
      <c r="A14" s="6" t="s">
        <v>1457</v>
      </c>
      <c r="B14" s="6"/>
      <c r="C14" s="464" t="s">
        <v>1771</v>
      </c>
      <c r="D14" s="464"/>
      <c r="E14" s="464"/>
      <c r="F14" s="464">
        <v>145315</v>
      </c>
      <c r="G14" s="521" t="s">
        <v>1829</v>
      </c>
      <c r="H14" s="522">
        <v>819183</v>
      </c>
      <c r="I14" s="523">
        <f t="shared" si="0"/>
        <v>0</v>
      </c>
      <c r="J14" s="268">
        <f t="shared" si="1"/>
        <v>0</v>
      </c>
      <c r="K14" s="424">
        <f t="shared" si="5"/>
        <v>2.1375000000000002</v>
      </c>
      <c r="L14" s="524">
        <v>0.32</v>
      </c>
      <c r="M14" s="524">
        <v>0</v>
      </c>
      <c r="N14" s="525">
        <f t="shared" si="2"/>
        <v>1.8175000000000001</v>
      </c>
      <c r="O14" s="526">
        <f t="shared" si="3"/>
        <v>0</v>
      </c>
      <c r="P14" s="330">
        <f t="shared" si="4"/>
        <v>0</v>
      </c>
      <c r="Q14" s="806" t="s">
        <v>1859</v>
      </c>
    </row>
    <row r="15" spans="1:18" s="135" customFormat="1" ht="15" customHeight="1" x14ac:dyDescent="0.2">
      <c r="A15" s="6" t="s">
        <v>1457</v>
      </c>
      <c r="B15" s="6"/>
      <c r="C15" s="464" t="s">
        <v>1771</v>
      </c>
      <c r="D15" s="464"/>
      <c r="E15" s="464"/>
      <c r="F15" s="464">
        <v>145315</v>
      </c>
      <c r="G15" s="521" t="s">
        <v>1829</v>
      </c>
      <c r="H15" s="522">
        <v>822289</v>
      </c>
      <c r="I15" s="523">
        <f t="shared" si="0"/>
        <v>0</v>
      </c>
      <c r="J15" s="268">
        <f t="shared" si="1"/>
        <v>0</v>
      </c>
      <c r="K15" s="424">
        <f t="shared" si="5"/>
        <v>2.1375000000000002</v>
      </c>
      <c r="L15" s="524">
        <v>0.32</v>
      </c>
      <c r="M15" s="524">
        <v>0</v>
      </c>
      <c r="N15" s="525">
        <f t="shared" si="2"/>
        <v>1.8175000000000001</v>
      </c>
      <c r="O15" s="526">
        <f t="shared" si="3"/>
        <v>0</v>
      </c>
      <c r="P15" s="330">
        <f t="shared" si="4"/>
        <v>0</v>
      </c>
      <c r="Q15" s="806" t="s">
        <v>1860</v>
      </c>
      <c r="R15" s="47"/>
    </row>
    <row r="16" spans="1:18" s="135" customFormat="1" ht="15" customHeight="1" x14ac:dyDescent="0.2">
      <c r="A16" s="6" t="s">
        <v>1457</v>
      </c>
      <c r="B16" s="6"/>
      <c r="C16" s="464" t="s">
        <v>1771</v>
      </c>
      <c r="D16" s="464"/>
      <c r="E16" s="464"/>
      <c r="F16" s="464">
        <v>145315</v>
      </c>
      <c r="G16" s="521" t="s">
        <v>1829</v>
      </c>
      <c r="H16" s="522">
        <v>827900</v>
      </c>
      <c r="I16" s="523">
        <f t="shared" si="0"/>
        <v>0</v>
      </c>
      <c r="J16" s="268">
        <f t="shared" si="1"/>
        <v>0</v>
      </c>
      <c r="K16" s="424">
        <f t="shared" si="5"/>
        <v>2.1375000000000002</v>
      </c>
      <c r="L16" s="524">
        <v>0.32</v>
      </c>
      <c r="M16" s="524">
        <v>0</v>
      </c>
      <c r="N16" s="525">
        <f t="shared" si="2"/>
        <v>1.8175000000000001</v>
      </c>
      <c r="O16" s="526">
        <f t="shared" si="3"/>
        <v>0</v>
      </c>
      <c r="P16" s="330">
        <f t="shared" si="4"/>
        <v>0</v>
      </c>
      <c r="Q16" s="806" t="s">
        <v>1409</v>
      </c>
    </row>
    <row r="17" spans="1:18" s="135" customFormat="1" ht="15" customHeight="1" x14ac:dyDescent="0.2">
      <c r="A17" s="6" t="s">
        <v>1457</v>
      </c>
      <c r="B17" s="6"/>
      <c r="C17" s="464" t="s">
        <v>1771</v>
      </c>
      <c r="D17" s="464"/>
      <c r="E17" s="464"/>
      <c r="F17" s="464">
        <v>145315</v>
      </c>
      <c r="G17" s="521" t="s">
        <v>1829</v>
      </c>
      <c r="H17" s="522">
        <v>828684</v>
      </c>
      <c r="I17" s="523">
        <f t="shared" si="0"/>
        <v>0</v>
      </c>
      <c r="J17" s="268">
        <f t="shared" si="1"/>
        <v>0</v>
      </c>
      <c r="K17" s="424">
        <f t="shared" si="5"/>
        <v>2.1375000000000002</v>
      </c>
      <c r="L17" s="524">
        <v>0.32</v>
      </c>
      <c r="M17" s="524">
        <v>0</v>
      </c>
      <c r="N17" s="525">
        <f t="shared" si="2"/>
        <v>1.8175000000000001</v>
      </c>
      <c r="O17" s="526">
        <f t="shared" si="3"/>
        <v>0</v>
      </c>
      <c r="P17" s="330">
        <f t="shared" si="4"/>
        <v>0</v>
      </c>
      <c r="Q17" s="806" t="s">
        <v>1857</v>
      </c>
    </row>
    <row r="18" spans="1:18" s="135" customFormat="1" ht="15" customHeight="1" x14ac:dyDescent="0.2">
      <c r="A18" s="6" t="s">
        <v>1457</v>
      </c>
      <c r="B18" s="6"/>
      <c r="C18" s="464" t="s">
        <v>1771</v>
      </c>
      <c r="D18" s="464"/>
      <c r="E18" s="464"/>
      <c r="F18" s="464">
        <v>145315</v>
      </c>
      <c r="G18" s="521" t="s">
        <v>1829</v>
      </c>
      <c r="H18" s="522">
        <v>835424</v>
      </c>
      <c r="I18" s="523">
        <f t="shared" si="0"/>
        <v>0</v>
      </c>
      <c r="J18" s="268">
        <f t="shared" si="1"/>
        <v>0</v>
      </c>
      <c r="K18" s="424">
        <f t="shared" si="5"/>
        <v>2.1375000000000002</v>
      </c>
      <c r="L18" s="524">
        <v>0.32</v>
      </c>
      <c r="M18" s="524">
        <v>0</v>
      </c>
      <c r="N18" s="525">
        <f t="shared" si="2"/>
        <v>1.8175000000000001</v>
      </c>
      <c r="O18" s="526">
        <f t="shared" si="3"/>
        <v>0</v>
      </c>
      <c r="P18" s="330">
        <f t="shared" si="4"/>
        <v>0</v>
      </c>
      <c r="Q18" s="806" t="s">
        <v>1858</v>
      </c>
    </row>
    <row r="19" spans="1:18" s="135" customFormat="1" ht="15" customHeight="1" thickBot="1" x14ac:dyDescent="0.25">
      <c r="A19" s="6" t="s">
        <v>1457</v>
      </c>
      <c r="B19" s="6"/>
      <c r="C19" s="464" t="s">
        <v>1771</v>
      </c>
      <c r="D19" s="464"/>
      <c r="E19" s="464"/>
      <c r="F19" s="464">
        <v>145315</v>
      </c>
      <c r="G19" s="521" t="s">
        <v>1829</v>
      </c>
      <c r="H19" s="522">
        <v>835425</v>
      </c>
      <c r="I19" s="523">
        <f t="shared" si="0"/>
        <v>0</v>
      </c>
      <c r="J19" s="268">
        <f t="shared" si="1"/>
        <v>0</v>
      </c>
      <c r="K19" s="424">
        <f t="shared" si="5"/>
        <v>2.1375000000000002</v>
      </c>
      <c r="L19" s="524">
        <v>0.32</v>
      </c>
      <c r="M19" s="524">
        <v>0</v>
      </c>
      <c r="N19" s="525">
        <f t="shared" si="2"/>
        <v>1.8175000000000001</v>
      </c>
      <c r="O19" s="526">
        <f t="shared" si="3"/>
        <v>0</v>
      </c>
      <c r="P19" s="330">
        <f t="shared" si="4"/>
        <v>0</v>
      </c>
      <c r="Q19" s="807" t="s">
        <v>1859</v>
      </c>
    </row>
    <row r="20" spans="1:18" s="135" customFormat="1" ht="15" customHeight="1" x14ac:dyDescent="0.2">
      <c r="A20" s="6" t="s">
        <v>1457</v>
      </c>
      <c r="B20" s="6"/>
      <c r="C20" s="6" t="s">
        <v>1810</v>
      </c>
      <c r="D20" s="6"/>
      <c r="E20" s="6"/>
      <c r="F20" s="6">
        <v>141087</v>
      </c>
      <c r="G20" s="9" t="s">
        <v>1819</v>
      </c>
      <c r="H20" s="312">
        <v>625848</v>
      </c>
      <c r="I20" s="183">
        <f t="shared" si="0"/>
        <v>0</v>
      </c>
      <c r="J20" s="17">
        <f t="shared" si="1"/>
        <v>0</v>
      </c>
      <c r="K20" s="343" t="e">
        <f>+'Special Pricing'!$G$146</f>
        <v>#DIV/0!</v>
      </c>
      <c r="L20" s="219">
        <v>0.32</v>
      </c>
      <c r="M20" s="219">
        <v>0</v>
      </c>
      <c r="N20" s="13" t="e">
        <f t="shared" si="2"/>
        <v>#DIV/0!</v>
      </c>
      <c r="O20" s="519">
        <f t="shared" si="3"/>
        <v>0</v>
      </c>
      <c r="P20" s="330" t="e">
        <f t="shared" si="4"/>
        <v>#DIV/0!</v>
      </c>
    </row>
    <row r="21" spans="1:18" s="135" customFormat="1" ht="15" customHeight="1" x14ac:dyDescent="0.2">
      <c r="A21" s="6" t="s">
        <v>1457</v>
      </c>
      <c r="B21" s="6"/>
      <c r="C21" s="6" t="s">
        <v>1810</v>
      </c>
      <c r="D21" s="6"/>
      <c r="E21" s="6"/>
      <c r="F21" s="6">
        <v>141087</v>
      </c>
      <c r="G21" s="9" t="s">
        <v>1819</v>
      </c>
      <c r="H21" s="312">
        <v>630925</v>
      </c>
      <c r="I21" s="183">
        <f t="shared" si="0"/>
        <v>0</v>
      </c>
      <c r="J21" s="17">
        <f t="shared" si="1"/>
        <v>0</v>
      </c>
      <c r="K21" s="343" t="e">
        <f>+'Special Pricing'!$G$146</f>
        <v>#DIV/0!</v>
      </c>
      <c r="L21" s="219">
        <v>0.32</v>
      </c>
      <c r="M21" s="219">
        <v>0</v>
      </c>
      <c r="N21" s="13" t="e">
        <f t="shared" si="2"/>
        <v>#DIV/0!</v>
      </c>
      <c r="O21" s="519">
        <f t="shared" si="3"/>
        <v>0</v>
      </c>
      <c r="P21" s="330" t="e">
        <f t="shared" si="4"/>
        <v>#DIV/0!</v>
      </c>
    </row>
    <row r="22" spans="1:18" s="135" customFormat="1" ht="15" customHeight="1" x14ac:dyDescent="0.2">
      <c r="A22" s="6" t="s">
        <v>1457</v>
      </c>
      <c r="B22" s="6"/>
      <c r="C22" s="6" t="s">
        <v>1810</v>
      </c>
      <c r="D22" s="6"/>
      <c r="E22" s="6"/>
      <c r="F22" s="6">
        <v>141087</v>
      </c>
      <c r="G22" s="9" t="s">
        <v>1819</v>
      </c>
      <c r="H22" s="312">
        <v>830983</v>
      </c>
      <c r="I22" s="183">
        <f t="shared" si="0"/>
        <v>0</v>
      </c>
      <c r="J22" s="17">
        <f t="shared" si="1"/>
        <v>0</v>
      </c>
      <c r="K22" s="343" t="e">
        <f>+'Special Pricing'!$G$146</f>
        <v>#DIV/0!</v>
      </c>
      <c r="L22" s="219">
        <v>0.32</v>
      </c>
      <c r="M22" s="219">
        <v>0.03</v>
      </c>
      <c r="N22" s="13" t="e">
        <f t="shared" si="2"/>
        <v>#DIV/0!</v>
      </c>
      <c r="O22" s="519">
        <f t="shared" si="3"/>
        <v>0</v>
      </c>
      <c r="P22" s="330" t="e">
        <f t="shared" si="4"/>
        <v>#DIV/0!</v>
      </c>
    </row>
    <row r="23" spans="1:18" s="135" customFormat="1" ht="15" customHeight="1" x14ac:dyDescent="0.2">
      <c r="A23" s="6" t="s">
        <v>557</v>
      </c>
      <c r="B23" s="329" t="s">
        <v>558</v>
      </c>
      <c r="C23" s="6" t="s">
        <v>559</v>
      </c>
      <c r="D23" s="6">
        <v>11132</v>
      </c>
      <c r="E23" s="6" t="s">
        <v>560</v>
      </c>
      <c r="F23" s="6"/>
      <c r="G23" s="9" t="s">
        <v>1453</v>
      </c>
      <c r="H23" s="312">
        <v>801544</v>
      </c>
      <c r="I23" s="183">
        <f t="shared" si="0"/>
        <v>0</v>
      </c>
      <c r="J23" s="17">
        <f t="shared" si="1"/>
        <v>0</v>
      </c>
      <c r="K23" s="344">
        <f t="shared" ref="K23:K37" si="6">+$K$3</f>
        <v>2.14</v>
      </c>
      <c r="L23" s="347">
        <v>0.32</v>
      </c>
      <c r="M23" s="347">
        <v>0.03</v>
      </c>
      <c r="N23" s="13">
        <f t="shared" si="2"/>
        <v>1.79</v>
      </c>
      <c r="O23" s="519">
        <f t="shared" si="3"/>
        <v>0</v>
      </c>
      <c r="P23" s="330">
        <f t="shared" si="4"/>
        <v>0</v>
      </c>
      <c r="Q23" s="269">
        <f>(-P23)*0.045</f>
        <v>0</v>
      </c>
      <c r="R23" s="269">
        <f t="shared" ref="R23:R36" si="7">+P23+Q23</f>
        <v>0</v>
      </c>
    </row>
    <row r="24" spans="1:18" s="135" customFormat="1" ht="15" customHeight="1" x14ac:dyDescent="0.2">
      <c r="A24" s="6" t="s">
        <v>557</v>
      </c>
      <c r="B24" s="329" t="s">
        <v>558</v>
      </c>
      <c r="C24" s="6" t="s">
        <v>559</v>
      </c>
      <c r="D24" s="6">
        <v>11132</v>
      </c>
      <c r="E24" s="6" t="s">
        <v>561</v>
      </c>
      <c r="F24" s="6"/>
      <c r="G24" s="9" t="s">
        <v>1453</v>
      </c>
      <c r="H24" s="312">
        <v>801947</v>
      </c>
      <c r="I24" s="183">
        <f t="shared" si="0"/>
        <v>0</v>
      </c>
      <c r="J24" s="17">
        <f t="shared" si="1"/>
        <v>0</v>
      </c>
      <c r="K24" s="344">
        <f t="shared" si="6"/>
        <v>2.14</v>
      </c>
      <c r="L24" s="347">
        <v>0.32</v>
      </c>
      <c r="M24" s="347">
        <v>0.03</v>
      </c>
      <c r="N24" s="13">
        <f t="shared" si="2"/>
        <v>1.79</v>
      </c>
      <c r="O24" s="519">
        <f t="shared" si="3"/>
        <v>0</v>
      </c>
      <c r="P24" s="330">
        <f t="shared" si="4"/>
        <v>0</v>
      </c>
      <c r="Q24" s="4">
        <v>0</v>
      </c>
      <c r="R24" s="269">
        <f t="shared" si="7"/>
        <v>0</v>
      </c>
    </row>
    <row r="25" spans="1:18" s="135" customFormat="1" ht="15" customHeight="1" x14ac:dyDescent="0.2">
      <c r="A25" s="6" t="s">
        <v>557</v>
      </c>
      <c r="B25" s="329" t="s">
        <v>558</v>
      </c>
      <c r="C25" s="6" t="s">
        <v>559</v>
      </c>
      <c r="D25" s="6">
        <v>11132</v>
      </c>
      <c r="E25" s="6" t="s">
        <v>560</v>
      </c>
      <c r="F25" s="6"/>
      <c r="G25" s="9" t="s">
        <v>1453</v>
      </c>
      <c r="H25" s="312">
        <v>802177</v>
      </c>
      <c r="I25" s="183">
        <f t="shared" si="0"/>
        <v>0</v>
      </c>
      <c r="J25" s="17">
        <f t="shared" si="1"/>
        <v>0</v>
      </c>
      <c r="K25" s="344">
        <f t="shared" si="6"/>
        <v>2.14</v>
      </c>
      <c r="L25" s="347">
        <v>0.32</v>
      </c>
      <c r="M25" s="347">
        <v>0.03</v>
      </c>
      <c r="N25" s="13">
        <f t="shared" si="2"/>
        <v>1.79</v>
      </c>
      <c r="O25" s="519">
        <f t="shared" si="3"/>
        <v>0</v>
      </c>
      <c r="P25" s="330">
        <f t="shared" si="4"/>
        <v>0</v>
      </c>
      <c r="Q25" s="4">
        <v>0</v>
      </c>
      <c r="R25" s="269">
        <f t="shared" si="7"/>
        <v>0</v>
      </c>
    </row>
    <row r="26" spans="1:18" s="135" customFormat="1" ht="15" customHeight="1" x14ac:dyDescent="0.2">
      <c r="A26" s="6" t="s">
        <v>557</v>
      </c>
      <c r="B26" s="329" t="s">
        <v>558</v>
      </c>
      <c r="C26" s="6" t="s">
        <v>559</v>
      </c>
      <c r="D26" s="6">
        <v>11132</v>
      </c>
      <c r="E26" s="6" t="s">
        <v>560</v>
      </c>
      <c r="F26" s="6"/>
      <c r="G26" s="9" t="s">
        <v>1453</v>
      </c>
      <c r="H26" s="312">
        <v>802304</v>
      </c>
      <c r="I26" s="183">
        <f t="shared" si="0"/>
        <v>0</v>
      </c>
      <c r="J26" s="17">
        <f>IF(ISNA(VLOOKUP(H26,CNRGas,3,FALSE)),"na",VLOOKUP(H26,CNRGas,3,FALSE))</f>
        <v>0</v>
      </c>
      <c r="K26" s="344">
        <f t="shared" si="6"/>
        <v>2.14</v>
      </c>
      <c r="L26" s="347">
        <v>0.32</v>
      </c>
      <c r="M26" s="347">
        <v>0.03</v>
      </c>
      <c r="N26" s="13">
        <f t="shared" si="2"/>
        <v>1.79</v>
      </c>
      <c r="O26" s="519">
        <f t="shared" si="3"/>
        <v>0</v>
      </c>
      <c r="P26" s="330">
        <f t="shared" si="4"/>
        <v>0</v>
      </c>
      <c r="Q26" s="269">
        <f>(-P26)*0.045</f>
        <v>0</v>
      </c>
      <c r="R26" s="269">
        <f t="shared" si="7"/>
        <v>0</v>
      </c>
    </row>
    <row r="27" spans="1:18" s="135" customFormat="1" ht="15" customHeight="1" x14ac:dyDescent="0.2">
      <c r="A27" s="6" t="s">
        <v>557</v>
      </c>
      <c r="B27" s="329" t="s">
        <v>558</v>
      </c>
      <c r="C27" s="6" t="s">
        <v>559</v>
      </c>
      <c r="D27" s="6">
        <v>11132</v>
      </c>
      <c r="E27" s="6" t="s">
        <v>560</v>
      </c>
      <c r="F27" s="6"/>
      <c r="G27" s="9" t="s">
        <v>1453</v>
      </c>
      <c r="H27" s="312">
        <v>802334</v>
      </c>
      <c r="I27" s="183">
        <f t="shared" si="0"/>
        <v>0</v>
      </c>
      <c r="J27" s="17">
        <f>IF(ISNA(VLOOKUP(H27,CNRGas,3,FALSE)),"na",VLOOKUP(H27,CNRGas,3,FALSE))</f>
        <v>0</v>
      </c>
      <c r="K27" s="344">
        <f t="shared" si="6"/>
        <v>2.14</v>
      </c>
      <c r="L27" s="347">
        <v>0.32</v>
      </c>
      <c r="M27" s="347">
        <v>0.03</v>
      </c>
      <c r="N27" s="13">
        <f t="shared" si="2"/>
        <v>1.79</v>
      </c>
      <c r="O27" s="519">
        <f t="shared" si="3"/>
        <v>0</v>
      </c>
      <c r="P27" s="330">
        <f t="shared" si="4"/>
        <v>0</v>
      </c>
      <c r="Q27" s="269">
        <f>(-P27)*0.045</f>
        <v>0</v>
      </c>
      <c r="R27" s="269">
        <f t="shared" si="7"/>
        <v>0</v>
      </c>
    </row>
    <row r="28" spans="1:18" s="135" customFormat="1" ht="15" customHeight="1" x14ac:dyDescent="0.2">
      <c r="A28" s="6" t="s">
        <v>557</v>
      </c>
      <c r="B28" s="329" t="s">
        <v>558</v>
      </c>
      <c r="C28" s="6" t="s">
        <v>559</v>
      </c>
      <c r="D28" s="6">
        <v>11132</v>
      </c>
      <c r="E28" s="6" t="s">
        <v>560</v>
      </c>
      <c r="F28" s="6"/>
      <c r="G28" s="9" t="s">
        <v>1453</v>
      </c>
      <c r="H28" s="312">
        <v>802380</v>
      </c>
      <c r="I28" s="183">
        <f t="shared" ref="I28:I48" si="8">IF(ISNA(VLOOKUP(H28,CNRGas,4,FALSE)),"na",VLOOKUP(H28,CNRGas,4,FALSE))</f>
        <v>0</v>
      </c>
      <c r="J28" s="17">
        <f t="shared" ref="J28:J48" si="9">IF(ISNA(VLOOKUP(H28,CNRGas,3,FALSE)),"na",VLOOKUP(H28,CNRGas,3,FALSE))</f>
        <v>0</v>
      </c>
      <c r="K28" s="344">
        <f t="shared" si="6"/>
        <v>2.14</v>
      </c>
      <c r="L28" s="347">
        <v>0.32</v>
      </c>
      <c r="M28" s="347">
        <v>0.03</v>
      </c>
      <c r="N28" s="13">
        <f t="shared" si="2"/>
        <v>1.79</v>
      </c>
      <c r="O28" s="519">
        <f t="shared" si="3"/>
        <v>0</v>
      </c>
      <c r="P28" s="330">
        <f t="shared" si="4"/>
        <v>0</v>
      </c>
      <c r="Q28" s="4">
        <v>0</v>
      </c>
      <c r="R28" s="269">
        <f t="shared" si="7"/>
        <v>0</v>
      </c>
    </row>
    <row r="29" spans="1:18" s="135" customFormat="1" ht="15" customHeight="1" x14ac:dyDescent="0.2">
      <c r="A29" s="6" t="s">
        <v>562</v>
      </c>
      <c r="B29" s="292" t="s">
        <v>563</v>
      </c>
      <c r="C29" s="6" t="s">
        <v>559</v>
      </c>
      <c r="D29" s="6">
        <v>11132</v>
      </c>
      <c r="E29" s="285" t="s">
        <v>560</v>
      </c>
      <c r="F29" s="285"/>
      <c r="G29" s="9" t="s">
        <v>1453</v>
      </c>
      <c r="H29" s="312">
        <v>804252</v>
      </c>
      <c r="I29" s="183">
        <f t="shared" si="8"/>
        <v>0</v>
      </c>
      <c r="J29" s="17">
        <f t="shared" si="9"/>
        <v>0</v>
      </c>
      <c r="K29" s="344">
        <f t="shared" si="6"/>
        <v>2.14</v>
      </c>
      <c r="L29" s="347">
        <v>0.32</v>
      </c>
      <c r="M29" s="347">
        <v>0.03</v>
      </c>
      <c r="N29" s="13">
        <f t="shared" si="2"/>
        <v>1.79</v>
      </c>
      <c r="O29" s="519">
        <f t="shared" si="3"/>
        <v>0</v>
      </c>
      <c r="P29" s="330">
        <f t="shared" si="4"/>
        <v>0</v>
      </c>
      <c r="Q29" s="4">
        <v>0</v>
      </c>
      <c r="R29" s="269">
        <f t="shared" si="7"/>
        <v>0</v>
      </c>
    </row>
    <row r="30" spans="1:18" s="135" customFormat="1" ht="15" customHeight="1" x14ac:dyDescent="0.2">
      <c r="A30" s="6" t="s">
        <v>562</v>
      </c>
      <c r="B30" s="292" t="s">
        <v>563</v>
      </c>
      <c r="C30" s="6" t="s">
        <v>559</v>
      </c>
      <c r="D30" s="6">
        <v>11132</v>
      </c>
      <c r="E30" s="285" t="s">
        <v>560</v>
      </c>
      <c r="F30" s="285"/>
      <c r="G30" s="9" t="s">
        <v>1453</v>
      </c>
      <c r="H30" s="312">
        <v>804311</v>
      </c>
      <c r="I30" s="183">
        <f t="shared" si="8"/>
        <v>0</v>
      </c>
      <c r="J30" s="17">
        <f t="shared" si="9"/>
        <v>0</v>
      </c>
      <c r="K30" s="344">
        <f t="shared" si="6"/>
        <v>2.14</v>
      </c>
      <c r="L30" s="347">
        <v>0.32</v>
      </c>
      <c r="M30" s="347">
        <v>0.03</v>
      </c>
      <c r="N30" s="13">
        <f t="shared" si="2"/>
        <v>1.79</v>
      </c>
      <c r="O30" s="519">
        <f t="shared" si="3"/>
        <v>0</v>
      </c>
      <c r="P30" s="330">
        <f t="shared" si="4"/>
        <v>0</v>
      </c>
      <c r="Q30" s="4">
        <v>0</v>
      </c>
      <c r="R30" s="269">
        <f t="shared" si="7"/>
        <v>0</v>
      </c>
    </row>
    <row r="31" spans="1:18" s="135" customFormat="1" ht="15" customHeight="1" x14ac:dyDescent="0.2">
      <c r="A31" s="6" t="s">
        <v>562</v>
      </c>
      <c r="B31" s="292" t="s">
        <v>563</v>
      </c>
      <c r="C31" s="6" t="s">
        <v>559</v>
      </c>
      <c r="D31" s="6">
        <v>11132</v>
      </c>
      <c r="E31" s="285" t="s">
        <v>560</v>
      </c>
      <c r="F31" s="285"/>
      <c r="G31" s="9" t="s">
        <v>1453</v>
      </c>
      <c r="H31" s="312">
        <v>804619</v>
      </c>
      <c r="I31" s="183">
        <f t="shared" si="8"/>
        <v>0</v>
      </c>
      <c r="J31" s="17">
        <f t="shared" si="9"/>
        <v>0</v>
      </c>
      <c r="K31" s="344">
        <f t="shared" si="6"/>
        <v>2.14</v>
      </c>
      <c r="L31" s="347">
        <v>0.32</v>
      </c>
      <c r="M31" s="347">
        <v>0.03</v>
      </c>
      <c r="N31" s="13">
        <f t="shared" si="2"/>
        <v>1.79</v>
      </c>
      <c r="O31" s="519">
        <f t="shared" si="3"/>
        <v>0</v>
      </c>
      <c r="P31" s="330">
        <f t="shared" si="4"/>
        <v>0</v>
      </c>
      <c r="Q31" s="4">
        <v>0</v>
      </c>
      <c r="R31" s="269">
        <f t="shared" si="7"/>
        <v>0</v>
      </c>
    </row>
    <row r="32" spans="1:18" s="135" customFormat="1" ht="15" customHeight="1" x14ac:dyDescent="0.2">
      <c r="A32" s="6" t="s">
        <v>562</v>
      </c>
      <c r="B32" s="292" t="s">
        <v>563</v>
      </c>
      <c r="C32" s="6" t="s">
        <v>559</v>
      </c>
      <c r="D32" s="6">
        <v>11132</v>
      </c>
      <c r="E32" s="285" t="s">
        <v>560</v>
      </c>
      <c r="F32" s="285"/>
      <c r="G32" s="9" t="s">
        <v>1453</v>
      </c>
      <c r="H32" s="312">
        <v>804796</v>
      </c>
      <c r="I32" s="183">
        <f t="shared" si="8"/>
        <v>0</v>
      </c>
      <c r="J32" s="17">
        <f t="shared" si="9"/>
        <v>0</v>
      </c>
      <c r="K32" s="344">
        <f t="shared" si="6"/>
        <v>2.14</v>
      </c>
      <c r="L32" s="347">
        <v>0.32</v>
      </c>
      <c r="M32" s="347">
        <v>0.03</v>
      </c>
      <c r="N32" s="13">
        <f t="shared" si="2"/>
        <v>1.79</v>
      </c>
      <c r="O32" s="519">
        <f t="shared" si="3"/>
        <v>0</v>
      </c>
      <c r="P32" s="330">
        <f t="shared" si="4"/>
        <v>0</v>
      </c>
      <c r="Q32" s="4">
        <v>0</v>
      </c>
      <c r="R32" s="269">
        <f t="shared" si="7"/>
        <v>0</v>
      </c>
    </row>
    <row r="33" spans="1:18" s="135" customFormat="1" ht="15" customHeight="1" x14ac:dyDescent="0.2">
      <c r="A33" s="6" t="s">
        <v>557</v>
      </c>
      <c r="B33" s="329" t="s">
        <v>558</v>
      </c>
      <c r="C33" s="6" t="s">
        <v>559</v>
      </c>
      <c r="D33" s="6">
        <v>11132</v>
      </c>
      <c r="E33" s="6" t="s">
        <v>560</v>
      </c>
      <c r="F33" s="6"/>
      <c r="G33" s="9" t="s">
        <v>1453</v>
      </c>
      <c r="H33" s="312">
        <v>805102</v>
      </c>
      <c r="I33" s="183">
        <f t="shared" si="8"/>
        <v>0</v>
      </c>
      <c r="J33" s="17">
        <f t="shared" si="9"/>
        <v>0</v>
      </c>
      <c r="K33" s="344">
        <f t="shared" si="6"/>
        <v>2.14</v>
      </c>
      <c r="L33" s="347">
        <v>0.32</v>
      </c>
      <c r="M33" s="347">
        <v>0.03</v>
      </c>
      <c r="N33" s="13">
        <f t="shared" si="2"/>
        <v>1.79</v>
      </c>
      <c r="O33" s="519">
        <f t="shared" si="3"/>
        <v>0</v>
      </c>
      <c r="P33" s="330">
        <f t="shared" si="4"/>
        <v>0</v>
      </c>
      <c r="Q33" s="4">
        <v>0</v>
      </c>
      <c r="R33" s="269">
        <f t="shared" si="7"/>
        <v>0</v>
      </c>
    </row>
    <row r="34" spans="1:18" s="135" customFormat="1" ht="15" customHeight="1" x14ac:dyDescent="0.2">
      <c r="A34" s="6" t="s">
        <v>557</v>
      </c>
      <c r="B34" s="329" t="s">
        <v>558</v>
      </c>
      <c r="C34" s="6" t="s">
        <v>559</v>
      </c>
      <c r="D34" s="6">
        <v>11132</v>
      </c>
      <c r="E34" s="6" t="s">
        <v>560</v>
      </c>
      <c r="F34" s="6"/>
      <c r="G34" s="9" t="s">
        <v>1453</v>
      </c>
      <c r="H34" s="312">
        <v>805229</v>
      </c>
      <c r="I34" s="183">
        <f t="shared" si="8"/>
        <v>0</v>
      </c>
      <c r="J34" s="17">
        <f t="shared" si="9"/>
        <v>0</v>
      </c>
      <c r="K34" s="344">
        <f t="shared" si="6"/>
        <v>2.14</v>
      </c>
      <c r="L34" s="347">
        <v>0.32</v>
      </c>
      <c r="M34" s="347">
        <v>0.03</v>
      </c>
      <c r="N34" s="13">
        <f t="shared" si="2"/>
        <v>1.79</v>
      </c>
      <c r="O34" s="519">
        <f t="shared" si="3"/>
        <v>0</v>
      </c>
      <c r="P34" s="330">
        <f t="shared" si="4"/>
        <v>0</v>
      </c>
      <c r="Q34" s="4">
        <v>0</v>
      </c>
      <c r="R34" s="269">
        <f t="shared" si="7"/>
        <v>0</v>
      </c>
    </row>
    <row r="35" spans="1:18" s="135" customFormat="1" ht="15" customHeight="1" x14ac:dyDescent="0.2">
      <c r="A35" s="6" t="s">
        <v>557</v>
      </c>
      <c r="B35" s="329" t="s">
        <v>558</v>
      </c>
      <c r="C35" s="6" t="s">
        <v>559</v>
      </c>
      <c r="D35" s="6">
        <v>11132</v>
      </c>
      <c r="E35" s="6" t="s">
        <v>560</v>
      </c>
      <c r="F35" s="6"/>
      <c r="G35" s="9" t="s">
        <v>1453</v>
      </c>
      <c r="H35" s="312">
        <v>805235</v>
      </c>
      <c r="I35" s="183">
        <f t="shared" si="8"/>
        <v>0</v>
      </c>
      <c r="J35" s="17">
        <f t="shared" si="9"/>
        <v>0</v>
      </c>
      <c r="K35" s="344">
        <f t="shared" si="6"/>
        <v>2.14</v>
      </c>
      <c r="L35" s="347">
        <v>0.32</v>
      </c>
      <c r="M35" s="347">
        <v>0.03</v>
      </c>
      <c r="N35" s="13">
        <f t="shared" si="2"/>
        <v>1.79</v>
      </c>
      <c r="O35" s="519">
        <f t="shared" si="3"/>
        <v>0</v>
      </c>
      <c r="P35" s="330">
        <f t="shared" si="4"/>
        <v>0</v>
      </c>
      <c r="Q35" s="4">
        <v>0</v>
      </c>
      <c r="R35" s="269">
        <f t="shared" si="7"/>
        <v>0</v>
      </c>
    </row>
    <row r="36" spans="1:18" s="135" customFormat="1" ht="15" customHeight="1" x14ac:dyDescent="0.2">
      <c r="A36" s="6" t="s">
        <v>557</v>
      </c>
      <c r="B36" s="329" t="s">
        <v>558</v>
      </c>
      <c r="C36" s="6" t="s">
        <v>559</v>
      </c>
      <c r="D36" s="6">
        <v>11132</v>
      </c>
      <c r="E36" s="6" t="s">
        <v>560</v>
      </c>
      <c r="F36" s="6"/>
      <c r="G36" s="9" t="s">
        <v>1453</v>
      </c>
      <c r="H36" s="312">
        <v>830923</v>
      </c>
      <c r="I36" s="183">
        <f t="shared" si="8"/>
        <v>0</v>
      </c>
      <c r="J36" s="17">
        <f t="shared" si="9"/>
        <v>0</v>
      </c>
      <c r="K36" s="344">
        <f t="shared" si="6"/>
        <v>2.14</v>
      </c>
      <c r="L36" s="347">
        <v>0.32</v>
      </c>
      <c r="M36" s="347">
        <v>0.03</v>
      </c>
      <c r="N36" s="13">
        <f t="shared" si="2"/>
        <v>1.79</v>
      </c>
      <c r="O36" s="519">
        <f t="shared" si="3"/>
        <v>0</v>
      </c>
      <c r="P36" s="330">
        <f t="shared" si="4"/>
        <v>0</v>
      </c>
      <c r="Q36" s="4">
        <v>0</v>
      </c>
      <c r="R36" s="269">
        <f t="shared" si="7"/>
        <v>0</v>
      </c>
    </row>
    <row r="37" spans="1:18" s="135" customFormat="1" ht="15" customHeight="1" thickBot="1" x14ac:dyDescent="0.25">
      <c r="A37" s="6" t="s">
        <v>1457</v>
      </c>
      <c r="B37" s="6"/>
      <c r="C37" s="1" t="s">
        <v>1764</v>
      </c>
      <c r="D37" s="1"/>
      <c r="E37" s="1"/>
      <c r="F37" s="1" t="s">
        <v>1820</v>
      </c>
      <c r="G37" s="9" t="s">
        <v>1453</v>
      </c>
      <c r="H37" s="338">
        <v>602388</v>
      </c>
      <c r="I37" s="183" t="str">
        <f t="shared" si="8"/>
        <v>na</v>
      </c>
      <c r="J37" s="17" t="str">
        <f t="shared" si="9"/>
        <v>na</v>
      </c>
      <c r="K37" s="343">
        <f t="shared" si="6"/>
        <v>2.14</v>
      </c>
      <c r="L37" s="219">
        <v>0.32</v>
      </c>
      <c r="M37" s="219">
        <v>0</v>
      </c>
      <c r="N37" s="13">
        <f t="shared" ref="N37:N67" si="10">+K37-L37-M37</f>
        <v>1.82</v>
      </c>
      <c r="O37" s="519" t="str">
        <f t="shared" si="3"/>
        <v>na</v>
      </c>
      <c r="P37" s="330" t="e">
        <f t="shared" si="4"/>
        <v>#VALUE!</v>
      </c>
    </row>
    <row r="38" spans="1:18" s="135" customFormat="1" ht="15" customHeight="1" x14ac:dyDescent="0.2">
      <c r="A38" s="6" t="s">
        <v>1457</v>
      </c>
      <c r="B38" s="6"/>
      <c r="C38" s="583" t="s">
        <v>2314</v>
      </c>
      <c r="D38" s="583" t="s">
        <v>1768</v>
      </c>
      <c r="E38" s="583"/>
      <c r="F38" s="583">
        <v>229208</v>
      </c>
      <c r="G38" s="585" t="s">
        <v>1453</v>
      </c>
      <c r="H38" s="586">
        <v>800842</v>
      </c>
      <c r="I38" s="587">
        <f t="shared" si="8"/>
        <v>0</v>
      </c>
      <c r="J38" s="582">
        <f t="shared" si="9"/>
        <v>0</v>
      </c>
      <c r="K38" s="589">
        <v>0</v>
      </c>
      <c r="L38" s="219">
        <v>0.32</v>
      </c>
      <c r="M38" s="219">
        <v>0</v>
      </c>
      <c r="N38" s="13">
        <f t="shared" si="10"/>
        <v>-0.32</v>
      </c>
      <c r="O38" s="519">
        <f t="shared" si="3"/>
        <v>0</v>
      </c>
      <c r="P38" s="330">
        <f t="shared" si="4"/>
        <v>0</v>
      </c>
      <c r="Q38" s="527" t="s">
        <v>1409</v>
      </c>
    </row>
    <row r="39" spans="1:18" s="135" customFormat="1" ht="15" customHeight="1" x14ac:dyDescent="0.2">
      <c r="A39" s="6" t="s">
        <v>1457</v>
      </c>
      <c r="B39" s="6"/>
      <c r="C39" s="583" t="s">
        <v>2314</v>
      </c>
      <c r="D39" s="583" t="s">
        <v>3</v>
      </c>
      <c r="E39" s="583"/>
      <c r="F39" s="583">
        <v>229208</v>
      </c>
      <c r="G39" s="585" t="s">
        <v>1453</v>
      </c>
      <c r="H39" s="586">
        <v>801525</v>
      </c>
      <c r="I39" s="587">
        <f t="shared" si="8"/>
        <v>0</v>
      </c>
      <c r="J39" s="582">
        <f t="shared" si="9"/>
        <v>0</v>
      </c>
      <c r="K39" s="589">
        <v>0</v>
      </c>
      <c r="L39" s="219">
        <v>0.32</v>
      </c>
      <c r="M39" s="219">
        <v>0</v>
      </c>
      <c r="N39" s="13">
        <f t="shared" si="10"/>
        <v>-0.32</v>
      </c>
      <c r="O39" s="519">
        <f t="shared" si="3"/>
        <v>0</v>
      </c>
      <c r="P39" s="330">
        <f t="shared" si="4"/>
        <v>0</v>
      </c>
      <c r="Q39" s="528" t="s">
        <v>1857</v>
      </c>
    </row>
    <row r="40" spans="1:18" s="135" customFormat="1" ht="15" customHeight="1" x14ac:dyDescent="0.2">
      <c r="A40" s="6" t="s">
        <v>1457</v>
      </c>
      <c r="B40" s="6"/>
      <c r="C40" s="583" t="s">
        <v>2314</v>
      </c>
      <c r="D40" s="583" t="s">
        <v>4</v>
      </c>
      <c r="E40" s="583"/>
      <c r="F40" s="583">
        <v>229208</v>
      </c>
      <c r="G40" s="585" t="s">
        <v>1453</v>
      </c>
      <c r="H40" s="586">
        <v>801560</v>
      </c>
      <c r="I40" s="587">
        <f t="shared" si="8"/>
        <v>0</v>
      </c>
      <c r="J40" s="582">
        <f t="shared" si="9"/>
        <v>0</v>
      </c>
      <c r="K40" s="589">
        <v>0</v>
      </c>
      <c r="L40" s="219">
        <v>0.32</v>
      </c>
      <c r="M40" s="219">
        <v>0</v>
      </c>
      <c r="N40" s="13">
        <f t="shared" si="10"/>
        <v>-0.32</v>
      </c>
      <c r="O40" s="519">
        <f t="shared" si="3"/>
        <v>0</v>
      </c>
      <c r="P40" s="330">
        <f t="shared" si="4"/>
        <v>0</v>
      </c>
      <c r="Q40" s="528" t="s">
        <v>1858</v>
      </c>
    </row>
    <row r="41" spans="1:18" s="135" customFormat="1" ht="15" customHeight="1" x14ac:dyDescent="0.2">
      <c r="A41" s="6" t="s">
        <v>1457</v>
      </c>
      <c r="B41" s="6"/>
      <c r="C41" s="583" t="s">
        <v>2314</v>
      </c>
      <c r="D41" s="583" t="s">
        <v>1770</v>
      </c>
      <c r="E41" s="583"/>
      <c r="F41" s="583">
        <v>229208</v>
      </c>
      <c r="G41" s="585" t="s">
        <v>1453</v>
      </c>
      <c r="H41" s="586">
        <v>802320</v>
      </c>
      <c r="I41" s="587">
        <f t="shared" si="8"/>
        <v>0</v>
      </c>
      <c r="J41" s="582">
        <f t="shared" si="9"/>
        <v>0</v>
      </c>
      <c r="K41" s="589">
        <v>0</v>
      </c>
      <c r="L41" s="219">
        <v>0.32</v>
      </c>
      <c r="M41" s="219">
        <v>0</v>
      </c>
      <c r="N41" s="13">
        <f t="shared" si="10"/>
        <v>-0.32</v>
      </c>
      <c r="O41" s="519">
        <f t="shared" si="3"/>
        <v>0</v>
      </c>
      <c r="P41" s="330">
        <f t="shared" si="4"/>
        <v>0</v>
      </c>
      <c r="Q41" s="528" t="s">
        <v>1859</v>
      </c>
    </row>
    <row r="42" spans="1:18" s="135" customFormat="1" ht="15" customHeight="1" x14ac:dyDescent="0.2">
      <c r="A42" s="6" t="s">
        <v>1457</v>
      </c>
      <c r="B42" s="6"/>
      <c r="C42" s="583" t="s">
        <v>2314</v>
      </c>
      <c r="D42" s="583" t="s">
        <v>1770</v>
      </c>
      <c r="E42" s="583"/>
      <c r="F42" s="583">
        <v>229208</v>
      </c>
      <c r="G42" s="585" t="s">
        <v>1453</v>
      </c>
      <c r="H42" s="586">
        <v>802797</v>
      </c>
      <c r="I42" s="587">
        <f t="shared" si="8"/>
        <v>0</v>
      </c>
      <c r="J42" s="582">
        <f t="shared" si="9"/>
        <v>0</v>
      </c>
      <c r="K42" s="589">
        <v>0</v>
      </c>
      <c r="L42" s="219">
        <v>0.32</v>
      </c>
      <c r="M42" s="219">
        <v>0</v>
      </c>
      <c r="N42" s="13">
        <f t="shared" si="10"/>
        <v>-0.32</v>
      </c>
      <c r="O42" s="519">
        <f t="shared" si="3"/>
        <v>0</v>
      </c>
      <c r="P42" s="330">
        <f t="shared" si="4"/>
        <v>0</v>
      </c>
      <c r="Q42" s="528" t="s">
        <v>1860</v>
      </c>
    </row>
    <row r="43" spans="1:18" s="135" customFormat="1" ht="15" customHeight="1" x14ac:dyDescent="0.2">
      <c r="A43" s="6" t="s">
        <v>1457</v>
      </c>
      <c r="B43" s="6"/>
      <c r="C43" s="583" t="s">
        <v>2314</v>
      </c>
      <c r="D43" s="583" t="s">
        <v>1770</v>
      </c>
      <c r="E43" s="583"/>
      <c r="F43" s="583">
        <v>229208</v>
      </c>
      <c r="G43" s="585" t="s">
        <v>1453</v>
      </c>
      <c r="H43" s="586">
        <v>803088</v>
      </c>
      <c r="I43" s="587">
        <f t="shared" si="8"/>
        <v>0</v>
      </c>
      <c r="J43" s="582">
        <f t="shared" si="9"/>
        <v>0</v>
      </c>
      <c r="K43" s="589">
        <v>0</v>
      </c>
      <c r="L43" s="219">
        <v>0.32</v>
      </c>
      <c r="M43" s="219">
        <v>0</v>
      </c>
      <c r="N43" s="13">
        <f t="shared" si="10"/>
        <v>-0.32</v>
      </c>
      <c r="O43" s="519">
        <f t="shared" si="3"/>
        <v>0</v>
      </c>
      <c r="P43" s="330">
        <f t="shared" si="4"/>
        <v>0</v>
      </c>
      <c r="Q43" s="528" t="s">
        <v>1409</v>
      </c>
    </row>
    <row r="44" spans="1:18" s="135" customFormat="1" ht="15" customHeight="1" x14ac:dyDescent="0.2">
      <c r="A44" s="6" t="s">
        <v>1457</v>
      </c>
      <c r="B44" s="6"/>
      <c r="C44" s="583" t="s">
        <v>2314</v>
      </c>
      <c r="D44" s="583" t="s">
        <v>3</v>
      </c>
      <c r="E44" s="583"/>
      <c r="F44" s="583">
        <v>229208</v>
      </c>
      <c r="G44" s="585" t="s">
        <v>1453</v>
      </c>
      <c r="H44" s="586">
        <v>804376</v>
      </c>
      <c r="I44" s="587">
        <f t="shared" si="8"/>
        <v>0</v>
      </c>
      <c r="J44" s="582">
        <f t="shared" si="9"/>
        <v>0</v>
      </c>
      <c r="K44" s="589">
        <v>0</v>
      </c>
      <c r="L44" s="219">
        <v>0.32</v>
      </c>
      <c r="M44" s="219">
        <v>0</v>
      </c>
      <c r="N44" s="13">
        <f t="shared" si="10"/>
        <v>-0.32</v>
      </c>
      <c r="O44" s="519">
        <f t="shared" si="3"/>
        <v>0</v>
      </c>
      <c r="P44" s="330">
        <f t="shared" si="4"/>
        <v>0</v>
      </c>
      <c r="Q44" s="528" t="s">
        <v>1857</v>
      </c>
    </row>
    <row r="45" spans="1:18" s="135" customFormat="1" ht="15" customHeight="1" x14ac:dyDescent="0.2">
      <c r="A45" s="6" t="s">
        <v>1457</v>
      </c>
      <c r="B45" s="6"/>
      <c r="C45" s="583" t="s">
        <v>2314</v>
      </c>
      <c r="D45" s="583" t="s">
        <v>3</v>
      </c>
      <c r="E45" s="583"/>
      <c r="F45" s="583">
        <v>229208</v>
      </c>
      <c r="G45" s="585" t="s">
        <v>1453</v>
      </c>
      <c r="H45" s="586">
        <v>804430</v>
      </c>
      <c r="I45" s="587">
        <f t="shared" si="8"/>
        <v>0</v>
      </c>
      <c r="J45" s="582">
        <f t="shared" si="9"/>
        <v>0</v>
      </c>
      <c r="K45" s="589">
        <v>0</v>
      </c>
      <c r="L45" s="219">
        <v>0.32</v>
      </c>
      <c r="M45" s="219">
        <v>0</v>
      </c>
      <c r="N45" s="13">
        <f t="shared" si="10"/>
        <v>-0.32</v>
      </c>
      <c r="O45" s="519">
        <f t="shared" si="3"/>
        <v>0</v>
      </c>
      <c r="P45" s="330">
        <f t="shared" si="4"/>
        <v>0</v>
      </c>
      <c r="Q45" s="528" t="s">
        <v>1858</v>
      </c>
    </row>
    <row r="46" spans="1:18" s="135" customFormat="1" ht="15" customHeight="1" thickBot="1" x14ac:dyDescent="0.25">
      <c r="A46" s="6" t="s">
        <v>1457</v>
      </c>
      <c r="B46" s="6"/>
      <c r="C46" s="583" t="s">
        <v>2314</v>
      </c>
      <c r="D46" s="583" t="s">
        <v>3</v>
      </c>
      <c r="E46" s="583"/>
      <c r="F46" s="583">
        <v>229208</v>
      </c>
      <c r="G46" s="585" t="s">
        <v>1453</v>
      </c>
      <c r="H46" s="586">
        <v>805176</v>
      </c>
      <c r="I46" s="587">
        <f t="shared" si="8"/>
        <v>0</v>
      </c>
      <c r="J46" s="582">
        <f t="shared" si="9"/>
        <v>0</v>
      </c>
      <c r="K46" s="589">
        <v>0</v>
      </c>
      <c r="L46" s="219">
        <v>0.32</v>
      </c>
      <c r="M46" s="219">
        <v>0</v>
      </c>
      <c r="N46" s="13">
        <f t="shared" si="10"/>
        <v>-0.32</v>
      </c>
      <c r="O46" s="519">
        <f t="shared" si="3"/>
        <v>0</v>
      </c>
      <c r="P46" s="330">
        <f t="shared" si="4"/>
        <v>0</v>
      </c>
      <c r="Q46" s="529" t="s">
        <v>1859</v>
      </c>
    </row>
    <row r="47" spans="1:18" s="135" customFormat="1" ht="15" customHeight="1" x14ac:dyDescent="0.2">
      <c r="A47" s="6" t="s">
        <v>1457</v>
      </c>
      <c r="B47" s="6"/>
      <c r="C47" s="583" t="s">
        <v>2314</v>
      </c>
      <c r="D47" s="583" t="s">
        <v>1768</v>
      </c>
      <c r="E47" s="583"/>
      <c r="F47" s="583">
        <v>229208</v>
      </c>
      <c r="G47" s="585" t="s">
        <v>1453</v>
      </c>
      <c r="H47" s="586">
        <v>805603</v>
      </c>
      <c r="I47" s="587">
        <f t="shared" si="8"/>
        <v>0</v>
      </c>
      <c r="J47" s="582">
        <f t="shared" si="9"/>
        <v>0</v>
      </c>
      <c r="K47" s="589">
        <v>0</v>
      </c>
      <c r="L47" s="219">
        <v>0.32</v>
      </c>
      <c r="M47" s="219">
        <v>0</v>
      </c>
      <c r="N47" s="13">
        <f t="shared" si="10"/>
        <v>-0.32</v>
      </c>
      <c r="O47" s="519">
        <f t="shared" si="3"/>
        <v>0</v>
      </c>
      <c r="P47" s="330">
        <f t="shared" si="4"/>
        <v>0</v>
      </c>
      <c r="Q47" s="527" t="s">
        <v>1409</v>
      </c>
    </row>
    <row r="48" spans="1:18" s="135" customFormat="1" ht="15" customHeight="1" x14ac:dyDescent="0.2">
      <c r="A48" s="6" t="s">
        <v>1457</v>
      </c>
      <c r="B48" s="6"/>
      <c r="C48" s="583" t="s">
        <v>2314</v>
      </c>
      <c r="D48" s="583" t="s">
        <v>1768</v>
      </c>
      <c r="E48" s="583"/>
      <c r="F48" s="583">
        <v>229208</v>
      </c>
      <c r="G48" s="585" t="s">
        <v>1453</v>
      </c>
      <c r="H48" s="586">
        <v>805904</v>
      </c>
      <c r="I48" s="587">
        <f t="shared" si="8"/>
        <v>0</v>
      </c>
      <c r="J48" s="582">
        <f t="shared" si="9"/>
        <v>0</v>
      </c>
      <c r="K48" s="589">
        <v>0</v>
      </c>
      <c r="L48" s="219">
        <v>0.32</v>
      </c>
      <c r="M48" s="219">
        <v>0</v>
      </c>
      <c r="N48" s="13">
        <f t="shared" si="10"/>
        <v>-0.32</v>
      </c>
      <c r="O48" s="519">
        <f t="shared" si="3"/>
        <v>0</v>
      </c>
      <c r="P48" s="330">
        <f t="shared" si="4"/>
        <v>0</v>
      </c>
      <c r="Q48" s="528" t="s">
        <v>1857</v>
      </c>
    </row>
    <row r="49" spans="1:18" s="135" customFormat="1" ht="15" customHeight="1" x14ac:dyDescent="0.2">
      <c r="A49" s="6" t="s">
        <v>1457</v>
      </c>
      <c r="B49" s="6"/>
      <c r="C49" s="583" t="s">
        <v>2314</v>
      </c>
      <c r="D49" s="583" t="s">
        <v>1793</v>
      </c>
      <c r="E49" s="583"/>
      <c r="F49" s="583">
        <v>229208</v>
      </c>
      <c r="G49" s="585" t="s">
        <v>1453</v>
      </c>
      <c r="H49" s="586">
        <v>816769</v>
      </c>
      <c r="I49" s="587">
        <f t="shared" ref="I49:I118" si="11">IF(ISNA(VLOOKUP(H49,CNRGas,4,FALSE)),"na",VLOOKUP(H49,CNRGas,4,FALSE))</f>
        <v>0</v>
      </c>
      <c r="J49" s="582">
        <f t="shared" ref="J49:J82" si="12">IF(ISNA(VLOOKUP(H49,CNRGas,3,FALSE)),"na",VLOOKUP(H49,CNRGas,3,FALSE))</f>
        <v>0</v>
      </c>
      <c r="K49" s="589">
        <v>0</v>
      </c>
      <c r="L49" s="219">
        <v>0.32</v>
      </c>
      <c r="M49" s="219">
        <v>0</v>
      </c>
      <c r="N49" s="13">
        <f t="shared" si="10"/>
        <v>-0.32</v>
      </c>
      <c r="O49" s="519">
        <f t="shared" si="3"/>
        <v>0</v>
      </c>
      <c r="P49" s="330">
        <f t="shared" si="4"/>
        <v>0</v>
      </c>
      <c r="Q49" s="528" t="s">
        <v>1858</v>
      </c>
    </row>
    <row r="50" spans="1:18" s="135" customFormat="1" ht="15" customHeight="1" x14ac:dyDescent="0.2">
      <c r="A50" s="6" t="s">
        <v>1457</v>
      </c>
      <c r="B50" s="6"/>
      <c r="C50" s="583" t="s">
        <v>2314</v>
      </c>
      <c r="D50" s="583" t="s">
        <v>1767</v>
      </c>
      <c r="E50" s="583"/>
      <c r="F50" s="583">
        <v>229208</v>
      </c>
      <c r="G50" s="585" t="s">
        <v>1453</v>
      </c>
      <c r="H50" s="586">
        <v>817162</v>
      </c>
      <c r="I50" s="587">
        <f t="shared" si="11"/>
        <v>0</v>
      </c>
      <c r="J50" s="582">
        <f t="shared" si="12"/>
        <v>0</v>
      </c>
      <c r="K50" s="589">
        <v>0</v>
      </c>
      <c r="L50" s="219">
        <v>0.32</v>
      </c>
      <c r="M50" s="219">
        <v>0</v>
      </c>
      <c r="N50" s="13">
        <f t="shared" si="10"/>
        <v>-0.32</v>
      </c>
      <c r="O50" s="519">
        <f t="shared" si="3"/>
        <v>0</v>
      </c>
      <c r="P50" s="330">
        <f t="shared" si="4"/>
        <v>0</v>
      </c>
      <c r="Q50" s="528" t="s">
        <v>1859</v>
      </c>
    </row>
    <row r="51" spans="1:18" s="135" customFormat="1" ht="15" customHeight="1" x14ac:dyDescent="0.2">
      <c r="A51" s="6" t="s">
        <v>1457</v>
      </c>
      <c r="B51" s="6"/>
      <c r="C51" s="583" t="s">
        <v>2314</v>
      </c>
      <c r="D51" s="583" t="s">
        <v>1789</v>
      </c>
      <c r="E51" s="583"/>
      <c r="F51" s="583" t="s">
        <v>1825</v>
      </c>
      <c r="G51" s="585" t="s">
        <v>1453</v>
      </c>
      <c r="H51" s="586">
        <v>819186</v>
      </c>
      <c r="I51" s="587">
        <f t="shared" si="11"/>
        <v>0</v>
      </c>
      <c r="J51" s="582">
        <f t="shared" si="12"/>
        <v>0</v>
      </c>
      <c r="K51" s="589">
        <v>0</v>
      </c>
      <c r="L51" s="219">
        <v>0.32</v>
      </c>
      <c r="M51" s="219">
        <v>0</v>
      </c>
      <c r="N51" s="13">
        <f t="shared" si="10"/>
        <v>-0.32</v>
      </c>
      <c r="O51" s="519">
        <f t="shared" si="3"/>
        <v>0</v>
      </c>
      <c r="P51" s="330">
        <f t="shared" si="4"/>
        <v>0</v>
      </c>
      <c r="Q51" s="528" t="s">
        <v>1860</v>
      </c>
    </row>
    <row r="52" spans="1:18" s="135" customFormat="1" ht="15" customHeight="1" x14ac:dyDescent="0.2">
      <c r="A52" s="6" t="s">
        <v>1457</v>
      </c>
      <c r="B52" s="6"/>
      <c r="C52" s="583" t="s">
        <v>2314</v>
      </c>
      <c r="D52" s="583" t="s">
        <v>1766</v>
      </c>
      <c r="E52" s="583"/>
      <c r="F52" s="583">
        <v>229208</v>
      </c>
      <c r="G52" s="585" t="s">
        <v>1453</v>
      </c>
      <c r="H52" s="586">
        <v>821201</v>
      </c>
      <c r="I52" s="587">
        <f t="shared" si="11"/>
        <v>0</v>
      </c>
      <c r="J52" s="582">
        <f t="shared" si="12"/>
        <v>0</v>
      </c>
      <c r="K52" s="589">
        <v>0</v>
      </c>
      <c r="L52" s="219">
        <v>0.32</v>
      </c>
      <c r="M52" s="219">
        <v>0</v>
      </c>
      <c r="N52" s="13">
        <f t="shared" si="10"/>
        <v>-0.32</v>
      </c>
      <c r="O52" s="519">
        <f t="shared" si="3"/>
        <v>0</v>
      </c>
      <c r="P52" s="330">
        <f t="shared" si="4"/>
        <v>0</v>
      </c>
      <c r="Q52" s="528" t="s">
        <v>1409</v>
      </c>
    </row>
    <row r="53" spans="1:18" s="135" customFormat="1" ht="15" customHeight="1" x14ac:dyDescent="0.2">
      <c r="A53" s="6" t="s">
        <v>1457</v>
      </c>
      <c r="B53" s="6"/>
      <c r="C53" s="583" t="s">
        <v>2314</v>
      </c>
      <c r="D53" s="583" t="s">
        <v>1767</v>
      </c>
      <c r="E53" s="583"/>
      <c r="F53" s="583">
        <v>229208</v>
      </c>
      <c r="G53" s="585" t="s">
        <v>1453</v>
      </c>
      <c r="H53" s="586">
        <v>821202</v>
      </c>
      <c r="I53" s="587">
        <f t="shared" si="11"/>
        <v>0</v>
      </c>
      <c r="J53" s="582">
        <f t="shared" si="12"/>
        <v>0</v>
      </c>
      <c r="K53" s="589">
        <v>0</v>
      </c>
      <c r="L53" s="219">
        <v>0.32</v>
      </c>
      <c r="M53" s="219">
        <v>0</v>
      </c>
      <c r="N53" s="13">
        <f t="shared" si="10"/>
        <v>-0.32</v>
      </c>
      <c r="O53" s="519">
        <f t="shared" si="3"/>
        <v>0</v>
      </c>
      <c r="P53" s="330">
        <f t="shared" si="4"/>
        <v>0</v>
      </c>
      <c r="Q53" s="528" t="s">
        <v>1857</v>
      </c>
    </row>
    <row r="54" spans="1:18" ht="15" customHeight="1" x14ac:dyDescent="0.2">
      <c r="A54" s="6" t="s">
        <v>1457</v>
      </c>
      <c r="B54" s="6"/>
      <c r="C54" s="583" t="s">
        <v>2314</v>
      </c>
      <c r="D54" s="583" t="s">
        <v>1766</v>
      </c>
      <c r="E54" s="583"/>
      <c r="F54" s="583">
        <v>229208</v>
      </c>
      <c r="G54" s="585" t="s">
        <v>1453</v>
      </c>
      <c r="H54" s="586">
        <v>823408</v>
      </c>
      <c r="I54" s="587">
        <f t="shared" si="11"/>
        <v>0</v>
      </c>
      <c r="J54" s="582">
        <f t="shared" si="12"/>
        <v>0</v>
      </c>
      <c r="K54" s="589">
        <v>0</v>
      </c>
      <c r="L54" s="219">
        <v>0.32</v>
      </c>
      <c r="M54" s="219">
        <v>0</v>
      </c>
      <c r="N54" s="13">
        <f t="shared" si="10"/>
        <v>-0.32</v>
      </c>
      <c r="O54" s="519">
        <f t="shared" si="3"/>
        <v>0</v>
      </c>
      <c r="P54" s="330">
        <f t="shared" si="4"/>
        <v>0</v>
      </c>
      <c r="Q54" s="528" t="s">
        <v>1858</v>
      </c>
      <c r="R54" s="135"/>
    </row>
    <row r="55" spans="1:18" s="135" customFormat="1" ht="15" customHeight="1" thickBot="1" x14ac:dyDescent="0.25">
      <c r="A55" s="6" t="s">
        <v>1457</v>
      </c>
      <c r="B55" s="6"/>
      <c r="C55" s="583" t="s">
        <v>2314</v>
      </c>
      <c r="D55" s="583" t="s">
        <v>1766</v>
      </c>
      <c r="E55" s="583"/>
      <c r="F55" s="583">
        <v>229208</v>
      </c>
      <c r="G55" s="585" t="s">
        <v>1453</v>
      </c>
      <c r="H55" s="586">
        <v>826468</v>
      </c>
      <c r="I55" s="587">
        <f t="shared" si="11"/>
        <v>0</v>
      </c>
      <c r="J55" s="582">
        <f t="shared" si="12"/>
        <v>0</v>
      </c>
      <c r="K55" s="589">
        <v>0</v>
      </c>
      <c r="L55" s="219">
        <v>0.32</v>
      </c>
      <c r="M55" s="219">
        <v>0</v>
      </c>
      <c r="N55" s="13">
        <f t="shared" si="10"/>
        <v>-0.32</v>
      </c>
      <c r="O55" s="519">
        <f t="shared" si="3"/>
        <v>0</v>
      </c>
      <c r="P55" s="330">
        <f t="shared" si="4"/>
        <v>0</v>
      </c>
      <c r="Q55" s="529" t="s">
        <v>1859</v>
      </c>
    </row>
    <row r="56" spans="1:18" s="135" customFormat="1" ht="15" customHeight="1" x14ac:dyDescent="0.2">
      <c r="A56" s="6" t="s">
        <v>1457</v>
      </c>
      <c r="B56" s="6"/>
      <c r="C56" s="583" t="s">
        <v>2314</v>
      </c>
      <c r="D56" s="583" t="s">
        <v>1766</v>
      </c>
      <c r="E56" s="583"/>
      <c r="F56" s="583">
        <v>229208</v>
      </c>
      <c r="G56" s="585" t="s">
        <v>1453</v>
      </c>
      <c r="H56" s="586">
        <v>829086</v>
      </c>
      <c r="I56" s="587">
        <f t="shared" si="11"/>
        <v>0</v>
      </c>
      <c r="J56" s="582">
        <f t="shared" si="12"/>
        <v>0</v>
      </c>
      <c r="K56" s="589">
        <v>0</v>
      </c>
      <c r="L56" s="219">
        <v>0.32</v>
      </c>
      <c r="M56" s="219">
        <v>0</v>
      </c>
      <c r="N56" s="13">
        <f t="shared" si="10"/>
        <v>-0.32</v>
      </c>
      <c r="O56" s="519">
        <f t="shared" si="3"/>
        <v>0</v>
      </c>
      <c r="P56" s="330">
        <f t="shared" si="4"/>
        <v>0</v>
      </c>
      <c r="Q56" s="527" t="s">
        <v>1409</v>
      </c>
    </row>
    <row r="57" spans="1:18" s="135" customFormat="1" ht="15" customHeight="1" x14ac:dyDescent="0.2">
      <c r="A57" s="6" t="s">
        <v>1457</v>
      </c>
      <c r="B57" s="6"/>
      <c r="C57" s="583" t="s">
        <v>2314</v>
      </c>
      <c r="D57" s="583" t="s">
        <v>1766</v>
      </c>
      <c r="E57" s="583"/>
      <c r="F57" s="583">
        <v>229208</v>
      </c>
      <c r="G57" s="585" t="s">
        <v>1453</v>
      </c>
      <c r="H57" s="586">
        <v>829618</v>
      </c>
      <c r="I57" s="587">
        <f t="shared" si="11"/>
        <v>0</v>
      </c>
      <c r="J57" s="582">
        <f t="shared" si="12"/>
        <v>0</v>
      </c>
      <c r="K57" s="589">
        <v>0</v>
      </c>
      <c r="L57" s="219">
        <v>0.32</v>
      </c>
      <c r="M57" s="219">
        <v>0</v>
      </c>
      <c r="N57" s="13">
        <f t="shared" si="10"/>
        <v>-0.32</v>
      </c>
      <c r="O57" s="519">
        <f t="shared" si="3"/>
        <v>0</v>
      </c>
      <c r="P57" s="330">
        <f t="shared" si="4"/>
        <v>0</v>
      </c>
      <c r="Q57" s="528" t="s">
        <v>1858</v>
      </c>
    </row>
    <row r="58" spans="1:18" s="135" customFormat="1" ht="15" customHeight="1" x14ac:dyDescent="0.2">
      <c r="A58" s="6" t="s">
        <v>1457</v>
      </c>
      <c r="B58" s="6"/>
      <c r="C58" s="583" t="s">
        <v>2314</v>
      </c>
      <c r="D58" s="583" t="s">
        <v>1766</v>
      </c>
      <c r="E58" s="583"/>
      <c r="F58" s="583">
        <v>229208</v>
      </c>
      <c r="G58" s="585" t="s">
        <v>1453</v>
      </c>
      <c r="H58" s="586">
        <v>835574</v>
      </c>
      <c r="I58" s="587">
        <f t="shared" si="11"/>
        <v>0</v>
      </c>
      <c r="J58" s="582">
        <f t="shared" si="12"/>
        <v>0</v>
      </c>
      <c r="K58" s="589">
        <v>0</v>
      </c>
      <c r="L58" s="219">
        <v>0.32</v>
      </c>
      <c r="M58" s="219">
        <v>0</v>
      </c>
      <c r="N58" s="13">
        <f t="shared" si="10"/>
        <v>-0.32</v>
      </c>
      <c r="O58" s="519">
        <f t="shared" si="3"/>
        <v>0</v>
      </c>
      <c r="P58" s="330">
        <f t="shared" si="4"/>
        <v>0</v>
      </c>
      <c r="Q58" s="528" t="s">
        <v>1859</v>
      </c>
    </row>
    <row r="59" spans="1:18" s="135" customFormat="1" ht="15" customHeight="1" x14ac:dyDescent="0.2">
      <c r="A59" s="6" t="s">
        <v>1457</v>
      </c>
      <c r="B59" s="6"/>
      <c r="C59" s="250" t="s">
        <v>1811</v>
      </c>
      <c r="D59" s="250"/>
      <c r="E59" s="250"/>
      <c r="F59" s="250">
        <v>230876</v>
      </c>
      <c r="G59" s="44" t="s">
        <v>282</v>
      </c>
      <c r="H59" s="487">
        <v>806255</v>
      </c>
      <c r="I59" s="488">
        <f t="shared" si="11"/>
        <v>0</v>
      </c>
      <c r="J59" s="159">
        <f t="shared" si="12"/>
        <v>0</v>
      </c>
      <c r="K59" s="542" t="e">
        <f>+'Special Pricing'!$G$168</f>
        <v>#DIV/0!</v>
      </c>
      <c r="L59" s="219">
        <v>0.32</v>
      </c>
      <c r="M59" s="219">
        <v>0.03</v>
      </c>
      <c r="N59" s="13" t="e">
        <f t="shared" si="10"/>
        <v>#DIV/0!</v>
      </c>
      <c r="O59" s="519">
        <f t="shared" si="3"/>
        <v>0</v>
      </c>
      <c r="P59" s="330" t="e">
        <f t="shared" si="4"/>
        <v>#DIV/0!</v>
      </c>
    </row>
    <row r="60" spans="1:18" s="135" customFormat="1" ht="15" customHeight="1" x14ac:dyDescent="0.2">
      <c r="A60" s="6" t="s">
        <v>1457</v>
      </c>
      <c r="B60" s="6"/>
      <c r="C60" s="250" t="s">
        <v>1811</v>
      </c>
      <c r="D60" s="250"/>
      <c r="E60" s="250"/>
      <c r="F60" s="250">
        <v>230876</v>
      </c>
      <c r="G60" s="44" t="s">
        <v>282</v>
      </c>
      <c r="H60" s="487">
        <v>830924</v>
      </c>
      <c r="I60" s="488">
        <f t="shared" si="11"/>
        <v>0</v>
      </c>
      <c r="J60" s="159">
        <f t="shared" si="12"/>
        <v>0</v>
      </c>
      <c r="K60" s="542" t="e">
        <f>+'Special Pricing'!$G$168</f>
        <v>#DIV/0!</v>
      </c>
      <c r="L60" s="219">
        <v>0.32</v>
      </c>
      <c r="M60" s="219">
        <v>0.03</v>
      </c>
      <c r="N60" s="13" t="e">
        <f t="shared" si="10"/>
        <v>#DIV/0!</v>
      </c>
      <c r="O60" s="519">
        <f t="shared" si="3"/>
        <v>0</v>
      </c>
      <c r="P60" s="330" t="e">
        <f t="shared" si="4"/>
        <v>#DIV/0!</v>
      </c>
    </row>
    <row r="61" spans="1:18" s="135" customFormat="1" ht="15" customHeight="1" x14ac:dyDescent="0.2">
      <c r="A61" s="6" t="s">
        <v>1457</v>
      </c>
      <c r="B61" s="6"/>
      <c r="C61" s="250" t="s">
        <v>1811</v>
      </c>
      <c r="D61" s="250"/>
      <c r="E61" s="250"/>
      <c r="F61" s="250">
        <v>230876</v>
      </c>
      <c r="G61" s="44" t="s">
        <v>282</v>
      </c>
      <c r="H61" s="487">
        <v>831277</v>
      </c>
      <c r="I61" s="488">
        <f t="shared" si="11"/>
        <v>0</v>
      </c>
      <c r="J61" s="159">
        <f t="shared" si="12"/>
        <v>0</v>
      </c>
      <c r="K61" s="542" t="e">
        <f>+'Special Pricing'!$G$168</f>
        <v>#DIV/0!</v>
      </c>
      <c r="L61" s="219">
        <v>0.32</v>
      </c>
      <c r="M61" s="219">
        <v>0.03</v>
      </c>
      <c r="N61" s="13" t="e">
        <f t="shared" si="10"/>
        <v>#DIV/0!</v>
      </c>
      <c r="O61" s="519">
        <f t="shared" si="3"/>
        <v>0</v>
      </c>
      <c r="P61" s="330" t="e">
        <f t="shared" si="4"/>
        <v>#DIV/0!</v>
      </c>
    </row>
    <row r="62" spans="1:18" s="135" customFormat="1" ht="15" customHeight="1" x14ac:dyDescent="0.2">
      <c r="A62" s="6" t="s">
        <v>1457</v>
      </c>
      <c r="B62" s="6"/>
      <c r="C62" s="250" t="s">
        <v>1811</v>
      </c>
      <c r="D62" s="250"/>
      <c r="E62" s="250"/>
      <c r="F62" s="250">
        <v>230876</v>
      </c>
      <c r="G62" s="44" t="s">
        <v>282</v>
      </c>
      <c r="H62" s="487">
        <v>833507</v>
      </c>
      <c r="I62" s="488">
        <f t="shared" si="11"/>
        <v>0</v>
      </c>
      <c r="J62" s="159">
        <f t="shared" si="12"/>
        <v>0</v>
      </c>
      <c r="K62" s="542" t="e">
        <f>+'Special Pricing'!$G$168</f>
        <v>#DIV/0!</v>
      </c>
      <c r="L62" s="219">
        <v>0.32</v>
      </c>
      <c r="M62" s="219">
        <v>0.03</v>
      </c>
      <c r="N62" s="13" t="e">
        <f t="shared" si="10"/>
        <v>#DIV/0!</v>
      </c>
      <c r="O62" s="519">
        <f t="shared" si="3"/>
        <v>0</v>
      </c>
      <c r="P62" s="330" t="e">
        <f t="shared" si="4"/>
        <v>#DIV/0!</v>
      </c>
    </row>
    <row r="63" spans="1:18" s="135" customFormat="1" ht="15" customHeight="1" x14ac:dyDescent="0.2">
      <c r="A63" s="6" t="s">
        <v>1457</v>
      </c>
      <c r="B63" s="6"/>
      <c r="C63" s="250" t="s">
        <v>1811</v>
      </c>
      <c r="D63" s="250"/>
      <c r="E63" s="250"/>
      <c r="F63" s="250">
        <v>230876</v>
      </c>
      <c r="G63" s="44" t="s">
        <v>282</v>
      </c>
      <c r="H63" s="487">
        <v>833508</v>
      </c>
      <c r="I63" s="488">
        <f t="shared" si="11"/>
        <v>0</v>
      </c>
      <c r="J63" s="159">
        <f t="shared" si="12"/>
        <v>0</v>
      </c>
      <c r="K63" s="542" t="e">
        <f>+'Special Pricing'!$G$168</f>
        <v>#DIV/0!</v>
      </c>
      <c r="L63" s="219">
        <v>0.32</v>
      </c>
      <c r="M63" s="219">
        <v>0.03</v>
      </c>
      <c r="N63" s="13" t="e">
        <f t="shared" si="10"/>
        <v>#DIV/0!</v>
      </c>
      <c r="O63" s="519">
        <f t="shared" si="3"/>
        <v>0</v>
      </c>
      <c r="P63" s="330" t="e">
        <f t="shared" si="4"/>
        <v>#DIV/0!</v>
      </c>
    </row>
    <row r="64" spans="1:18" s="135" customFormat="1" ht="15" customHeight="1" x14ac:dyDescent="0.2">
      <c r="A64" s="6" t="s">
        <v>1457</v>
      </c>
      <c r="B64" s="6"/>
      <c r="C64" s="250" t="s">
        <v>1811</v>
      </c>
      <c r="D64" s="250"/>
      <c r="E64" s="250"/>
      <c r="F64" s="250">
        <v>230876</v>
      </c>
      <c r="G64" s="44" t="s">
        <v>282</v>
      </c>
      <c r="H64" s="487">
        <v>833509</v>
      </c>
      <c r="I64" s="488">
        <f t="shared" si="11"/>
        <v>0</v>
      </c>
      <c r="J64" s="159">
        <f t="shared" si="12"/>
        <v>0</v>
      </c>
      <c r="K64" s="542" t="e">
        <f>+'Special Pricing'!$G$168</f>
        <v>#DIV/0!</v>
      </c>
      <c r="L64" s="219">
        <v>0.32</v>
      </c>
      <c r="M64" s="219">
        <v>0.03</v>
      </c>
      <c r="N64" s="13" t="e">
        <f t="shared" si="10"/>
        <v>#DIV/0!</v>
      </c>
      <c r="O64" s="519">
        <f t="shared" si="3"/>
        <v>0</v>
      </c>
      <c r="P64" s="330" t="e">
        <f t="shared" si="4"/>
        <v>#DIV/0!</v>
      </c>
    </row>
    <row r="65" spans="1:18" ht="15" customHeight="1" x14ac:dyDescent="0.2">
      <c r="A65" s="6" t="s">
        <v>1457</v>
      </c>
      <c r="B65" s="6"/>
      <c r="C65" s="250" t="s">
        <v>1811</v>
      </c>
      <c r="D65" s="250"/>
      <c r="E65" s="250"/>
      <c r="F65" s="250">
        <v>230876</v>
      </c>
      <c r="G65" s="44" t="s">
        <v>282</v>
      </c>
      <c r="H65" s="487">
        <v>834373</v>
      </c>
      <c r="I65" s="488">
        <f t="shared" si="11"/>
        <v>0</v>
      </c>
      <c r="J65" s="159">
        <f t="shared" si="12"/>
        <v>0</v>
      </c>
      <c r="K65" s="542" t="e">
        <f>+'Special Pricing'!$G$168</f>
        <v>#DIV/0!</v>
      </c>
      <c r="L65" s="219">
        <v>0.32</v>
      </c>
      <c r="M65" s="219">
        <v>0.03</v>
      </c>
      <c r="N65" s="13" t="e">
        <f t="shared" si="10"/>
        <v>#DIV/0!</v>
      </c>
      <c r="O65" s="519">
        <f t="shared" si="3"/>
        <v>0</v>
      </c>
      <c r="P65" s="330" t="e">
        <f t="shared" si="4"/>
        <v>#DIV/0!</v>
      </c>
      <c r="Q65" s="135"/>
      <c r="R65" s="135"/>
    </row>
    <row r="66" spans="1:18" ht="15" customHeight="1" x14ac:dyDescent="0.2">
      <c r="A66" s="307"/>
      <c r="B66" s="332" t="s">
        <v>568</v>
      </c>
      <c r="C66" s="286" t="s">
        <v>309</v>
      </c>
      <c r="D66" s="38" t="s">
        <v>310</v>
      </c>
      <c r="E66" s="285" t="s">
        <v>311</v>
      </c>
      <c r="F66" s="285"/>
      <c r="G66" s="285" t="s">
        <v>273</v>
      </c>
      <c r="H66" s="333">
        <v>825004</v>
      </c>
      <c r="I66" s="183">
        <f t="shared" si="11"/>
        <v>0</v>
      </c>
      <c r="J66" s="17">
        <f t="shared" si="12"/>
        <v>0</v>
      </c>
      <c r="K66" s="344">
        <f>$K$2*0.95</f>
        <v>2.0044999999999997</v>
      </c>
      <c r="L66" s="347">
        <v>0.32</v>
      </c>
      <c r="M66" s="347">
        <v>0</v>
      </c>
      <c r="N66" s="13">
        <f t="shared" si="10"/>
        <v>1.6844999999999997</v>
      </c>
      <c r="O66" s="519">
        <f t="shared" si="3"/>
        <v>0</v>
      </c>
      <c r="P66" s="330">
        <f t="shared" si="4"/>
        <v>0</v>
      </c>
    </row>
    <row r="67" spans="1:18" ht="15" customHeight="1" x14ac:dyDescent="0.2">
      <c r="A67" s="6" t="s">
        <v>1457</v>
      </c>
      <c r="B67" s="6"/>
      <c r="C67" s="1" t="s">
        <v>1821</v>
      </c>
      <c r="D67" s="1"/>
      <c r="E67" s="1"/>
      <c r="F67" s="1">
        <v>163807</v>
      </c>
      <c r="G67" s="252" t="s">
        <v>1418</v>
      </c>
      <c r="H67" s="338">
        <v>802129</v>
      </c>
      <c r="I67" s="183">
        <f t="shared" si="11"/>
        <v>0</v>
      </c>
      <c r="J67" s="17">
        <f t="shared" si="12"/>
        <v>0</v>
      </c>
      <c r="K67" s="343">
        <f>+$K$3*0.98</f>
        <v>2.0972</v>
      </c>
      <c r="L67" s="219">
        <v>0.32</v>
      </c>
      <c r="M67" s="219">
        <v>0.03</v>
      </c>
      <c r="N67" s="13">
        <f t="shared" si="10"/>
        <v>1.7471999999999999</v>
      </c>
      <c r="O67" s="519">
        <f t="shared" si="3"/>
        <v>0</v>
      </c>
      <c r="P67" s="330">
        <f t="shared" si="4"/>
        <v>0</v>
      </c>
      <c r="Q67" s="269">
        <f>(-P67)*0.045</f>
        <v>0</v>
      </c>
      <c r="R67" s="269">
        <f>+P67+Q67</f>
        <v>0</v>
      </c>
    </row>
    <row r="68" spans="1:18" ht="15" customHeight="1" x14ac:dyDescent="0.2">
      <c r="A68" s="6" t="s">
        <v>1457</v>
      </c>
      <c r="B68" s="6"/>
      <c r="C68" s="1" t="s">
        <v>1821</v>
      </c>
      <c r="D68" s="1"/>
      <c r="E68" s="1"/>
      <c r="F68" s="1">
        <v>163807</v>
      </c>
      <c r="G68" s="252" t="s">
        <v>1418</v>
      </c>
      <c r="H68" s="338">
        <v>803309</v>
      </c>
      <c r="I68" s="183">
        <f t="shared" si="11"/>
        <v>0</v>
      </c>
      <c r="J68" s="17">
        <f t="shared" si="12"/>
        <v>0</v>
      </c>
      <c r="K68" s="343">
        <f>+$K$3*0.98</f>
        <v>2.0972</v>
      </c>
      <c r="L68" s="219">
        <v>0.32</v>
      </c>
      <c r="M68" s="219">
        <v>0.03</v>
      </c>
      <c r="N68" s="13">
        <f t="shared" ref="N68:N98" si="13">+K68-L68-M68</f>
        <v>1.7471999999999999</v>
      </c>
      <c r="O68" s="519">
        <f t="shared" ref="O68:O125" si="14">IF(ISNA(VLOOKUP(H68,CNRGas,5,FALSE)),"na",VLOOKUP(H68,CNRGas,5,FALSE))</f>
        <v>0</v>
      </c>
      <c r="P68" s="330">
        <f t="shared" si="4"/>
        <v>0</v>
      </c>
      <c r="Q68" s="269">
        <f>(-P68)*0.045</f>
        <v>0</v>
      </c>
      <c r="R68" s="269">
        <f>+P68+Q68</f>
        <v>0</v>
      </c>
    </row>
    <row r="69" spans="1:18" ht="15" customHeight="1" x14ac:dyDescent="0.2">
      <c r="A69" s="6" t="s">
        <v>1457</v>
      </c>
      <c r="B69" s="6"/>
      <c r="C69" s="1" t="s">
        <v>1821</v>
      </c>
      <c r="D69" s="1"/>
      <c r="E69" s="1"/>
      <c r="F69" s="1">
        <v>163807</v>
      </c>
      <c r="G69" s="252" t="s">
        <v>1418</v>
      </c>
      <c r="H69" s="338">
        <v>830507</v>
      </c>
      <c r="I69" s="183">
        <f t="shared" si="11"/>
        <v>0</v>
      </c>
      <c r="J69" s="17">
        <f t="shared" si="12"/>
        <v>0</v>
      </c>
      <c r="K69" s="343">
        <f>+$K$3*0.98</f>
        <v>2.0972</v>
      </c>
      <c r="L69" s="219">
        <v>0.32</v>
      </c>
      <c r="M69" s="219">
        <v>0.03</v>
      </c>
      <c r="N69" s="13">
        <f t="shared" si="13"/>
        <v>1.7471999999999999</v>
      </c>
      <c r="O69" s="519">
        <f t="shared" si="14"/>
        <v>0</v>
      </c>
      <c r="P69" s="330">
        <f t="shared" si="4"/>
        <v>0</v>
      </c>
      <c r="Q69" s="269">
        <f>(-P69)*0.045</f>
        <v>0</v>
      </c>
      <c r="R69" s="269">
        <f>+P69+Q69</f>
        <v>0</v>
      </c>
    </row>
    <row r="70" spans="1:18" ht="15" customHeight="1" x14ac:dyDescent="0.2">
      <c r="A70" s="6" t="s">
        <v>1457</v>
      </c>
      <c r="B70" s="6"/>
      <c r="C70" s="250" t="s">
        <v>1790</v>
      </c>
      <c r="D70" s="250"/>
      <c r="E70" s="250"/>
      <c r="F70" s="250">
        <v>164428</v>
      </c>
      <c r="G70" s="185" t="s">
        <v>136</v>
      </c>
      <c r="H70" s="338">
        <v>804555</v>
      </c>
      <c r="I70" s="183">
        <f t="shared" si="11"/>
        <v>0</v>
      </c>
      <c r="J70" s="17">
        <f t="shared" si="12"/>
        <v>0</v>
      </c>
      <c r="K70" s="417" t="e">
        <f>+'Special Pricing'!$G$179</f>
        <v>#DIV/0!</v>
      </c>
      <c r="L70" s="219">
        <v>0.32</v>
      </c>
      <c r="M70" s="219">
        <v>0</v>
      </c>
      <c r="N70" s="13" t="e">
        <f t="shared" si="13"/>
        <v>#DIV/0!</v>
      </c>
      <c r="O70" s="519">
        <f t="shared" si="14"/>
        <v>0</v>
      </c>
      <c r="P70" s="330" t="e">
        <f t="shared" ref="P70:P133" si="15">(+N70*J70)-O70</f>
        <v>#DIV/0!</v>
      </c>
      <c r="Q70" s="135"/>
      <c r="R70" s="135"/>
    </row>
    <row r="71" spans="1:18" ht="15" customHeight="1" x14ac:dyDescent="0.2">
      <c r="A71" s="6" t="s">
        <v>1457</v>
      </c>
      <c r="B71" s="6"/>
      <c r="C71" s="250" t="s">
        <v>1790</v>
      </c>
      <c r="D71" s="250"/>
      <c r="E71" s="250"/>
      <c r="F71" s="250">
        <v>164428</v>
      </c>
      <c r="G71" s="185" t="s">
        <v>136</v>
      </c>
      <c r="H71" s="338">
        <v>804679</v>
      </c>
      <c r="I71" s="183">
        <f t="shared" si="11"/>
        <v>0</v>
      </c>
      <c r="J71" s="17">
        <f>IF(ISNA(VLOOKUP(H71,CNRGas,3,FALSE)),"na",VLOOKUP(H71,CNRGas,3,FALSE))</f>
        <v>0</v>
      </c>
      <c r="K71" s="417" t="e">
        <f>+'Special Pricing'!$G$179</f>
        <v>#DIV/0!</v>
      </c>
      <c r="L71" s="219">
        <v>0.32</v>
      </c>
      <c r="M71" s="219">
        <v>0</v>
      </c>
      <c r="N71" s="13" t="e">
        <f>+K71-L71-M71</f>
        <v>#DIV/0!</v>
      </c>
      <c r="O71" s="519">
        <f>IF(ISNA(VLOOKUP(H71,CNRGas,5,FALSE)),"na",VLOOKUP(H71,CNRGas,5,FALSE))</f>
        <v>0</v>
      </c>
      <c r="P71" s="330" t="e">
        <f t="shared" si="15"/>
        <v>#DIV/0!</v>
      </c>
      <c r="Q71" s="135"/>
      <c r="R71" s="135"/>
    </row>
    <row r="72" spans="1:18" ht="15" customHeight="1" x14ac:dyDescent="0.2">
      <c r="A72" s="6" t="s">
        <v>1457</v>
      </c>
      <c r="B72" s="6"/>
      <c r="C72" s="250" t="s">
        <v>1790</v>
      </c>
      <c r="D72" s="250"/>
      <c r="E72" s="250"/>
      <c r="F72" s="250">
        <v>164428</v>
      </c>
      <c r="G72" s="185" t="s">
        <v>136</v>
      </c>
      <c r="H72" s="338">
        <v>836854</v>
      </c>
      <c r="I72" s="183" t="str">
        <f t="shared" si="11"/>
        <v>na</v>
      </c>
      <c r="J72" s="17" t="str">
        <f t="shared" si="12"/>
        <v>na</v>
      </c>
      <c r="K72" s="417" t="e">
        <f>+'Special Pricing'!$G$179</f>
        <v>#DIV/0!</v>
      </c>
      <c r="L72" s="219">
        <v>0.32</v>
      </c>
      <c r="M72" s="219">
        <v>0</v>
      </c>
      <c r="N72" s="13" t="e">
        <f t="shared" si="13"/>
        <v>#DIV/0!</v>
      </c>
      <c r="O72" s="519" t="str">
        <f t="shared" si="14"/>
        <v>na</v>
      </c>
      <c r="P72" s="330" t="e">
        <f t="shared" si="15"/>
        <v>#DIV/0!</v>
      </c>
      <c r="Q72" s="135"/>
      <c r="R72" s="135"/>
    </row>
    <row r="73" spans="1:18" ht="15" customHeight="1" x14ac:dyDescent="0.2">
      <c r="A73" s="6" t="s">
        <v>1457</v>
      </c>
      <c r="B73" s="6"/>
      <c r="C73" s="1" t="s">
        <v>1803</v>
      </c>
      <c r="D73" s="186" t="s">
        <v>1797</v>
      </c>
      <c r="E73" s="1"/>
      <c r="F73" s="1">
        <v>168969</v>
      </c>
      <c r="G73" s="252" t="s">
        <v>1418</v>
      </c>
      <c r="H73" s="338">
        <v>835432</v>
      </c>
      <c r="I73" s="183">
        <f t="shared" si="11"/>
        <v>0</v>
      </c>
      <c r="J73" s="17">
        <f t="shared" si="12"/>
        <v>0</v>
      </c>
      <c r="K73" s="343">
        <f>+$K$3*0.98</f>
        <v>2.0972</v>
      </c>
      <c r="L73" s="219">
        <v>0.32</v>
      </c>
      <c r="M73" s="219">
        <v>0</v>
      </c>
      <c r="N73" s="13">
        <f t="shared" si="13"/>
        <v>1.7771999999999999</v>
      </c>
      <c r="O73" s="519">
        <f t="shared" si="14"/>
        <v>0</v>
      </c>
      <c r="P73" s="330">
        <f t="shared" si="15"/>
        <v>0</v>
      </c>
      <c r="Q73" s="269">
        <f>(-P73)*0.045</f>
        <v>0</v>
      </c>
      <c r="R73" s="269">
        <f>+P73+Q73</f>
        <v>0</v>
      </c>
    </row>
    <row r="74" spans="1:18" ht="15" customHeight="1" x14ac:dyDescent="0.2">
      <c r="A74" s="6" t="s">
        <v>1457</v>
      </c>
      <c r="B74" s="6"/>
      <c r="C74" s="1" t="s">
        <v>1803</v>
      </c>
      <c r="D74" s="1"/>
      <c r="E74" s="1"/>
      <c r="F74" s="1">
        <v>226488</v>
      </c>
      <c r="G74" s="252" t="s">
        <v>1418</v>
      </c>
      <c r="H74" s="338">
        <v>835443</v>
      </c>
      <c r="I74" s="183">
        <f t="shared" si="11"/>
        <v>0</v>
      </c>
      <c r="J74" s="17">
        <f t="shared" si="12"/>
        <v>0</v>
      </c>
      <c r="K74" s="343">
        <f>+$K$3*0.98</f>
        <v>2.0972</v>
      </c>
      <c r="L74" s="219">
        <v>0.32</v>
      </c>
      <c r="M74" s="219">
        <v>0</v>
      </c>
      <c r="N74" s="13">
        <f>+K74-L74-M74</f>
        <v>1.7771999999999999</v>
      </c>
      <c r="O74" s="519">
        <f t="shared" si="14"/>
        <v>0</v>
      </c>
      <c r="P74" s="330">
        <f t="shared" si="15"/>
        <v>0</v>
      </c>
      <c r="Q74" s="269">
        <f>(-P74)*0.045</f>
        <v>0</v>
      </c>
      <c r="R74" s="269">
        <f>+P74+Q74</f>
        <v>0</v>
      </c>
    </row>
    <row r="75" spans="1:18" ht="15" customHeight="1" x14ac:dyDescent="0.2">
      <c r="A75" s="6" t="s">
        <v>1457</v>
      </c>
      <c r="B75" s="6"/>
      <c r="C75" s="1" t="s">
        <v>1803</v>
      </c>
      <c r="D75" s="1"/>
      <c r="E75" s="1"/>
      <c r="F75" s="1">
        <v>226488</v>
      </c>
      <c r="G75" s="252" t="s">
        <v>1418</v>
      </c>
      <c r="H75" s="338">
        <v>836654</v>
      </c>
      <c r="I75" s="183">
        <f t="shared" si="11"/>
        <v>0</v>
      </c>
      <c r="J75" s="17">
        <f t="shared" si="12"/>
        <v>0</v>
      </c>
      <c r="K75" s="343">
        <f>+$K$3*0.98</f>
        <v>2.0972</v>
      </c>
      <c r="L75" s="219">
        <v>0.32</v>
      </c>
      <c r="M75" s="219">
        <v>0</v>
      </c>
      <c r="N75" s="13">
        <f t="shared" si="13"/>
        <v>1.7771999999999999</v>
      </c>
      <c r="O75" s="519">
        <f t="shared" si="14"/>
        <v>0</v>
      </c>
      <c r="P75" s="330">
        <f t="shared" si="15"/>
        <v>0</v>
      </c>
      <c r="Q75" s="269">
        <f>(-P75)*0.045</f>
        <v>0</v>
      </c>
      <c r="R75" s="269">
        <f>+P75+Q75</f>
        <v>0</v>
      </c>
    </row>
    <row r="76" spans="1:18" ht="15" customHeight="1" x14ac:dyDescent="0.2">
      <c r="A76" s="6" t="s">
        <v>1457</v>
      </c>
      <c r="B76" s="329" t="s">
        <v>569</v>
      </c>
      <c r="C76" s="6" t="s">
        <v>317</v>
      </c>
      <c r="D76" s="38">
        <v>353680</v>
      </c>
      <c r="E76" s="285" t="s">
        <v>318</v>
      </c>
      <c r="F76" s="285"/>
      <c r="G76" s="285" t="s">
        <v>295</v>
      </c>
      <c r="H76" s="312">
        <v>824366</v>
      </c>
      <c r="I76" s="183">
        <f t="shared" si="11"/>
        <v>0</v>
      </c>
      <c r="J76" s="17">
        <f t="shared" si="12"/>
        <v>0</v>
      </c>
      <c r="K76" s="421" t="e">
        <f>+'Special Pricing'!$G$188</f>
        <v>#DIV/0!</v>
      </c>
      <c r="L76" s="347">
        <v>0.32</v>
      </c>
      <c r="M76" s="347">
        <v>0.26</v>
      </c>
      <c r="N76" s="13" t="e">
        <f t="shared" si="13"/>
        <v>#DIV/0!</v>
      </c>
      <c r="O76" s="519">
        <f t="shared" si="14"/>
        <v>0</v>
      </c>
      <c r="P76" s="330" t="e">
        <f t="shared" si="15"/>
        <v>#DIV/0!</v>
      </c>
    </row>
    <row r="77" spans="1:18" ht="15" customHeight="1" x14ac:dyDescent="0.2">
      <c r="A77" s="6" t="s">
        <v>1457</v>
      </c>
      <c r="B77" s="329" t="s">
        <v>569</v>
      </c>
      <c r="C77" s="6" t="s">
        <v>317</v>
      </c>
      <c r="D77" s="38">
        <v>353680</v>
      </c>
      <c r="E77" s="285" t="s">
        <v>318</v>
      </c>
      <c r="F77" s="285"/>
      <c r="G77" s="285" t="s">
        <v>295</v>
      </c>
      <c r="H77" s="312">
        <v>825640</v>
      </c>
      <c r="I77" s="183">
        <f t="shared" si="11"/>
        <v>0</v>
      </c>
      <c r="J77" s="17">
        <f>IF(ISNA(VLOOKUP(H77,CNRGas,3,FALSE)),"na",VLOOKUP(H77,CNRGas,3,FALSE))</f>
        <v>0</v>
      </c>
      <c r="K77" s="421" t="e">
        <f>+'Special Pricing'!$G$188</f>
        <v>#DIV/0!</v>
      </c>
      <c r="L77" s="347">
        <v>0.32</v>
      </c>
      <c r="M77" s="347">
        <v>0.26</v>
      </c>
      <c r="N77" s="13" t="e">
        <f>+K77-L77-M77</f>
        <v>#DIV/0!</v>
      </c>
      <c r="O77" s="519">
        <f>IF(ISNA(VLOOKUP(H77,CNRGas,5,FALSE)),"na",VLOOKUP(H77,CNRGas,5,FALSE))</f>
        <v>0</v>
      </c>
      <c r="P77" s="330" t="e">
        <f t="shared" si="15"/>
        <v>#DIV/0!</v>
      </c>
    </row>
    <row r="78" spans="1:18" ht="15" customHeight="1" x14ac:dyDescent="0.2">
      <c r="A78" s="6" t="s">
        <v>1457</v>
      </c>
      <c r="B78" s="329" t="s">
        <v>2291</v>
      </c>
      <c r="C78" s="6" t="s">
        <v>317</v>
      </c>
      <c r="D78" s="38">
        <v>353680</v>
      </c>
      <c r="E78" s="285" t="s">
        <v>318</v>
      </c>
      <c r="F78" s="285"/>
      <c r="G78" s="285" t="s">
        <v>295</v>
      </c>
      <c r="H78" s="730">
        <v>625033</v>
      </c>
      <c r="I78" s="183" t="str">
        <f t="shared" si="11"/>
        <v>na</v>
      </c>
      <c r="J78" s="17" t="str">
        <f t="shared" si="12"/>
        <v>na</v>
      </c>
      <c r="K78" s="421" t="e">
        <f>+'Special Pricing'!$G$188</f>
        <v>#DIV/0!</v>
      </c>
      <c r="L78" s="347">
        <v>0.32</v>
      </c>
      <c r="M78" s="347">
        <v>0.26</v>
      </c>
      <c r="N78" s="13" t="e">
        <f t="shared" si="13"/>
        <v>#DIV/0!</v>
      </c>
      <c r="O78" s="519" t="str">
        <f t="shared" si="14"/>
        <v>na</v>
      </c>
      <c r="P78" s="330" t="e">
        <f t="shared" si="15"/>
        <v>#DIV/0!</v>
      </c>
    </row>
    <row r="79" spans="1:18" ht="15" customHeight="1" x14ac:dyDescent="0.2">
      <c r="A79" s="6" t="s">
        <v>557</v>
      </c>
      <c r="B79" s="6"/>
      <c r="C79" s="6" t="s">
        <v>570</v>
      </c>
      <c r="D79" s="334" t="s">
        <v>320</v>
      </c>
      <c r="E79" s="8" t="s">
        <v>321</v>
      </c>
      <c r="F79" s="8"/>
      <c r="G79" s="10" t="s">
        <v>322</v>
      </c>
      <c r="H79" s="312">
        <v>833898</v>
      </c>
      <c r="I79" s="183" t="str">
        <f t="shared" si="11"/>
        <v>na</v>
      </c>
      <c r="J79" s="17" t="str">
        <f t="shared" si="12"/>
        <v>na</v>
      </c>
      <c r="K79" s="344">
        <f>$K$3*0.99</f>
        <v>2.1186000000000003</v>
      </c>
      <c r="L79" s="347">
        <v>0.32</v>
      </c>
      <c r="M79" s="347">
        <v>0</v>
      </c>
      <c r="N79" s="13">
        <f t="shared" si="13"/>
        <v>1.7986000000000002</v>
      </c>
      <c r="O79" s="519" t="str">
        <f t="shared" si="14"/>
        <v>na</v>
      </c>
      <c r="P79" s="330" t="e">
        <f t="shared" si="15"/>
        <v>#VALUE!</v>
      </c>
    </row>
    <row r="80" spans="1:18" ht="15" customHeight="1" x14ac:dyDescent="0.2">
      <c r="A80" s="6" t="s">
        <v>547</v>
      </c>
      <c r="B80" s="329" t="s">
        <v>571</v>
      </c>
      <c r="C80" s="6" t="s">
        <v>572</v>
      </c>
      <c r="D80" s="6">
        <v>20747</v>
      </c>
      <c r="E80" s="6" t="s">
        <v>573</v>
      </c>
      <c r="F80" s="6"/>
      <c r="G80" s="9" t="s">
        <v>574</v>
      </c>
      <c r="H80" s="312">
        <v>800650</v>
      </c>
      <c r="I80" s="183">
        <f t="shared" si="11"/>
        <v>0</v>
      </c>
      <c r="J80" s="17">
        <f t="shared" si="12"/>
        <v>0</v>
      </c>
      <c r="K80" s="344">
        <f>$K$3*0.95</f>
        <v>2.0329999999999999</v>
      </c>
      <c r="L80" s="347">
        <v>0.32</v>
      </c>
      <c r="M80" s="347">
        <v>0.03</v>
      </c>
      <c r="N80" s="13">
        <f t="shared" si="13"/>
        <v>1.6829999999999998</v>
      </c>
      <c r="O80" s="519">
        <f t="shared" si="14"/>
        <v>0</v>
      </c>
      <c r="P80" s="330">
        <f t="shared" si="15"/>
        <v>0</v>
      </c>
    </row>
    <row r="81" spans="1:18" ht="15" customHeight="1" x14ac:dyDescent="0.2">
      <c r="A81" s="689" t="s">
        <v>1457</v>
      </c>
      <c r="B81" s="689"/>
      <c r="C81" s="690" t="s">
        <v>1772</v>
      </c>
      <c r="D81" s="690"/>
      <c r="E81" s="1"/>
      <c r="F81" s="1">
        <v>163778</v>
      </c>
      <c r="G81" s="252" t="s">
        <v>1454</v>
      </c>
      <c r="H81" s="338">
        <v>800740</v>
      </c>
      <c r="I81" s="183">
        <f t="shared" si="11"/>
        <v>0</v>
      </c>
      <c r="J81" s="17">
        <f t="shared" si="12"/>
        <v>0</v>
      </c>
      <c r="K81" s="343">
        <f>+$K$3*0.97</f>
        <v>2.0758000000000001</v>
      </c>
      <c r="L81" s="219">
        <v>0.32</v>
      </c>
      <c r="M81" s="219">
        <v>0</v>
      </c>
      <c r="N81" s="13">
        <f t="shared" si="13"/>
        <v>1.7558</v>
      </c>
      <c r="O81" s="519">
        <f t="shared" si="14"/>
        <v>0</v>
      </c>
      <c r="P81" s="330">
        <f t="shared" si="15"/>
        <v>0</v>
      </c>
      <c r="Q81" s="269">
        <f>(-P81)*0.045</f>
        <v>0</v>
      </c>
      <c r="R81" s="269">
        <f>+P81+Q81</f>
        <v>0</v>
      </c>
    </row>
    <row r="82" spans="1:18" ht="15" customHeight="1" x14ac:dyDescent="0.2">
      <c r="A82" s="6" t="s">
        <v>1457</v>
      </c>
      <c r="B82" s="312"/>
      <c r="C82" s="250" t="s">
        <v>1805</v>
      </c>
      <c r="D82" s="692"/>
      <c r="E82" s="693"/>
      <c r="F82" s="250">
        <v>140970</v>
      </c>
      <c r="G82" s="185" t="s">
        <v>1292</v>
      </c>
      <c r="H82" s="487">
        <v>801478</v>
      </c>
      <c r="I82" s="488">
        <f t="shared" si="11"/>
        <v>0</v>
      </c>
      <c r="J82" s="159">
        <f t="shared" si="12"/>
        <v>0</v>
      </c>
      <c r="K82" s="542" t="e">
        <f>+'Special Pricing'!$G$199</f>
        <v>#DIV/0!</v>
      </c>
      <c r="L82" s="219">
        <v>0.32</v>
      </c>
      <c r="M82" s="219">
        <v>0</v>
      </c>
      <c r="N82" s="13" t="e">
        <f t="shared" si="13"/>
        <v>#DIV/0!</v>
      </c>
      <c r="O82" s="519">
        <f t="shared" si="14"/>
        <v>0</v>
      </c>
      <c r="P82" s="330" t="e">
        <f t="shared" si="15"/>
        <v>#DIV/0!</v>
      </c>
      <c r="Q82" s="269" t="e">
        <f>(-P82)*0.045</f>
        <v>#DIV/0!</v>
      </c>
      <c r="R82" s="697" t="e">
        <f>+P82+Q82</f>
        <v>#DIV/0!</v>
      </c>
    </row>
    <row r="83" spans="1:18" ht="15" customHeight="1" x14ac:dyDescent="0.2">
      <c r="A83" s="6" t="s">
        <v>1457</v>
      </c>
      <c r="B83" s="312"/>
      <c r="C83" s="250" t="s">
        <v>1805</v>
      </c>
      <c r="D83" s="692"/>
      <c r="E83" s="693"/>
      <c r="F83" s="250">
        <v>140970</v>
      </c>
      <c r="G83" s="185" t="s">
        <v>1292</v>
      </c>
      <c r="H83" s="487">
        <v>835444</v>
      </c>
      <c r="I83" s="488">
        <f t="shared" si="11"/>
        <v>0</v>
      </c>
      <c r="J83" s="159">
        <f t="shared" ref="J83:J103" si="16">IF(ISNA(VLOOKUP(H83,CNRGas,3,FALSE)),"na",VLOOKUP(H83,CNRGas,3,FALSE))</f>
        <v>0</v>
      </c>
      <c r="K83" s="542" t="e">
        <f>+'Special Pricing'!$G$199</f>
        <v>#DIV/0!</v>
      </c>
      <c r="L83" s="219">
        <v>0.32</v>
      </c>
      <c r="M83" s="219">
        <v>0</v>
      </c>
      <c r="N83" s="13" t="e">
        <f>+K83-L83-M83</f>
        <v>#DIV/0!</v>
      </c>
      <c r="O83" s="519">
        <f>IF(ISNA(VLOOKUP(H83,CNRGas,5,FALSE)),"na",VLOOKUP(H83,CNRGas,5,FALSE))</f>
        <v>0</v>
      </c>
      <c r="P83" s="330" t="e">
        <f t="shared" si="15"/>
        <v>#DIV/0!</v>
      </c>
      <c r="Q83" s="269" t="e">
        <f>(-P83)*0.045</f>
        <v>#DIV/0!</v>
      </c>
      <c r="R83" s="697" t="e">
        <f>+P83+Q83</f>
        <v>#DIV/0!</v>
      </c>
    </row>
    <row r="84" spans="1:18" ht="15" customHeight="1" x14ac:dyDescent="0.2">
      <c r="A84" s="6" t="s">
        <v>1457</v>
      </c>
      <c r="B84" s="312"/>
      <c r="C84" s="250" t="s">
        <v>1805</v>
      </c>
      <c r="D84" s="692"/>
      <c r="E84" s="693"/>
      <c r="F84" s="250">
        <v>140970</v>
      </c>
      <c r="G84" s="185" t="s">
        <v>1292</v>
      </c>
      <c r="H84" s="487">
        <v>835997</v>
      </c>
      <c r="I84" s="488">
        <f t="shared" si="11"/>
        <v>0</v>
      </c>
      <c r="J84" s="159">
        <f t="shared" si="16"/>
        <v>0</v>
      </c>
      <c r="K84" s="542" t="e">
        <f>+'Special Pricing'!$G$199</f>
        <v>#DIV/0!</v>
      </c>
      <c r="L84" s="219">
        <v>0.32</v>
      </c>
      <c r="M84" s="219">
        <v>0</v>
      </c>
      <c r="N84" s="13" t="e">
        <f t="shared" si="13"/>
        <v>#DIV/0!</v>
      </c>
      <c r="O84" s="519">
        <f t="shared" si="14"/>
        <v>0</v>
      </c>
      <c r="P84" s="330" t="e">
        <f t="shared" si="15"/>
        <v>#DIV/0!</v>
      </c>
      <c r="Q84" s="269" t="e">
        <f>(-P84)*0.045</f>
        <v>#DIV/0!</v>
      </c>
      <c r="R84" s="697" t="e">
        <f>+P84+Q84</f>
        <v>#DIV/0!</v>
      </c>
    </row>
    <row r="85" spans="1:18" ht="15" customHeight="1" x14ac:dyDescent="0.2">
      <c r="A85" s="331" t="s">
        <v>547</v>
      </c>
      <c r="B85" s="691" t="s">
        <v>575</v>
      </c>
      <c r="C85" s="331" t="s">
        <v>576</v>
      </c>
      <c r="D85" s="331">
        <v>37148</v>
      </c>
      <c r="E85" s="6" t="s">
        <v>371</v>
      </c>
      <c r="F85" s="6"/>
      <c r="G85" s="9" t="s">
        <v>1424</v>
      </c>
      <c r="H85" s="312">
        <v>821780</v>
      </c>
      <c r="I85" s="183">
        <f t="shared" si="11"/>
        <v>0</v>
      </c>
      <c r="J85" s="17">
        <f t="shared" si="16"/>
        <v>2549</v>
      </c>
      <c r="K85" s="344">
        <f>$K$3</f>
        <v>2.14</v>
      </c>
      <c r="L85" s="347">
        <v>0.32</v>
      </c>
      <c r="M85" s="347">
        <v>0.03</v>
      </c>
      <c r="N85" s="13">
        <f t="shared" si="13"/>
        <v>1.79</v>
      </c>
      <c r="O85" s="519">
        <f t="shared" si="14"/>
        <v>25</v>
      </c>
      <c r="P85" s="330">
        <f t="shared" si="15"/>
        <v>4537.71</v>
      </c>
    </row>
    <row r="86" spans="1:18" ht="15" customHeight="1" x14ac:dyDescent="0.2">
      <c r="A86" s="6" t="s">
        <v>1457</v>
      </c>
      <c r="B86" s="6"/>
      <c r="C86" s="1" t="s">
        <v>256</v>
      </c>
      <c r="D86" s="1"/>
      <c r="E86" s="1"/>
      <c r="F86" s="1">
        <v>310531</v>
      </c>
      <c r="G86" s="252" t="s">
        <v>137</v>
      </c>
      <c r="H86" s="338">
        <v>801535</v>
      </c>
      <c r="I86" s="183">
        <f t="shared" si="11"/>
        <v>0</v>
      </c>
      <c r="J86" s="17">
        <f t="shared" si="16"/>
        <v>0</v>
      </c>
      <c r="K86" s="343">
        <f>+$K$3*0.99</f>
        <v>2.1186000000000003</v>
      </c>
      <c r="L86" s="219">
        <v>0.32</v>
      </c>
      <c r="M86" s="219">
        <v>0</v>
      </c>
      <c r="N86" s="13">
        <f t="shared" si="13"/>
        <v>1.7986000000000002</v>
      </c>
      <c r="O86" s="519">
        <f t="shared" si="14"/>
        <v>0</v>
      </c>
      <c r="P86" s="330">
        <f t="shared" si="15"/>
        <v>0</v>
      </c>
      <c r="Q86" s="135"/>
      <c r="R86" s="135"/>
    </row>
    <row r="87" spans="1:18" ht="15" customHeight="1" x14ac:dyDescent="0.2">
      <c r="A87" s="6" t="s">
        <v>557</v>
      </c>
      <c r="B87" s="329" t="s">
        <v>577</v>
      </c>
      <c r="C87" s="6" t="s">
        <v>578</v>
      </c>
      <c r="D87" s="6">
        <v>25611</v>
      </c>
      <c r="E87" s="6" t="s">
        <v>579</v>
      </c>
      <c r="F87" s="6"/>
      <c r="G87" s="9" t="s">
        <v>580</v>
      </c>
      <c r="H87" s="312">
        <v>801548</v>
      </c>
      <c r="I87" s="183" t="str">
        <f t="shared" si="11"/>
        <v>na</v>
      </c>
      <c r="J87" s="17" t="str">
        <f t="shared" si="16"/>
        <v>na</v>
      </c>
      <c r="K87" s="344">
        <f>$K$2*0.98</f>
        <v>2.0677999999999996</v>
      </c>
      <c r="L87" s="347">
        <v>0.32</v>
      </c>
      <c r="M87" s="347">
        <v>0.03</v>
      </c>
      <c r="N87" s="13">
        <f t="shared" si="13"/>
        <v>1.7177999999999995</v>
      </c>
      <c r="O87" s="519" t="str">
        <f t="shared" si="14"/>
        <v>na</v>
      </c>
      <c r="P87" s="330" t="e">
        <f t="shared" si="15"/>
        <v>#VALUE!</v>
      </c>
    </row>
    <row r="88" spans="1:18" ht="15" customHeight="1" x14ac:dyDescent="0.2">
      <c r="A88" s="6"/>
      <c r="B88" s="329" t="s">
        <v>577</v>
      </c>
      <c r="C88" s="6" t="s">
        <v>578</v>
      </c>
      <c r="D88" s="6">
        <v>25611</v>
      </c>
      <c r="E88" s="6" t="s">
        <v>579</v>
      </c>
      <c r="F88" s="6"/>
      <c r="G88" s="9" t="s">
        <v>580</v>
      </c>
      <c r="H88" s="312">
        <v>802781</v>
      </c>
      <c r="I88" s="183" t="str">
        <f t="shared" si="11"/>
        <v>na</v>
      </c>
      <c r="J88" s="17" t="str">
        <f t="shared" si="16"/>
        <v>na</v>
      </c>
      <c r="K88" s="344">
        <f>$K$2*0.98</f>
        <v>2.0677999999999996</v>
      </c>
      <c r="L88" s="347">
        <v>0.32</v>
      </c>
      <c r="M88" s="347">
        <v>0.03</v>
      </c>
      <c r="N88" s="13">
        <f t="shared" si="13"/>
        <v>1.7177999999999995</v>
      </c>
      <c r="O88" s="519" t="str">
        <f t="shared" si="14"/>
        <v>na</v>
      </c>
      <c r="P88" s="330" t="e">
        <f t="shared" si="15"/>
        <v>#VALUE!</v>
      </c>
    </row>
    <row r="89" spans="1:18" ht="15" customHeight="1" x14ac:dyDescent="0.2">
      <c r="A89" s="6" t="s">
        <v>557</v>
      </c>
      <c r="B89" s="329" t="s">
        <v>577</v>
      </c>
      <c r="C89" s="6" t="s">
        <v>578</v>
      </c>
      <c r="D89" s="6">
        <v>25611</v>
      </c>
      <c r="E89" s="6" t="s">
        <v>579</v>
      </c>
      <c r="F89" s="6"/>
      <c r="G89" s="9" t="s">
        <v>580</v>
      </c>
      <c r="H89" s="312">
        <v>804476</v>
      </c>
      <c r="I89" s="183" t="str">
        <f t="shared" si="11"/>
        <v>na</v>
      </c>
      <c r="J89" s="17" t="str">
        <f t="shared" si="16"/>
        <v>na</v>
      </c>
      <c r="K89" s="344">
        <f>$K$2*0.98</f>
        <v>2.0677999999999996</v>
      </c>
      <c r="L89" s="347">
        <v>0.32</v>
      </c>
      <c r="M89" s="347">
        <v>0.03</v>
      </c>
      <c r="N89" s="13">
        <f t="shared" si="13"/>
        <v>1.7177999999999995</v>
      </c>
      <c r="O89" s="519" t="str">
        <f t="shared" si="14"/>
        <v>na</v>
      </c>
      <c r="P89" s="330" t="e">
        <f t="shared" si="15"/>
        <v>#VALUE!</v>
      </c>
    </row>
    <row r="90" spans="1:18" ht="15" customHeight="1" x14ac:dyDescent="0.2">
      <c r="A90" s="6" t="s">
        <v>557</v>
      </c>
      <c r="B90" s="329" t="s">
        <v>577</v>
      </c>
      <c r="C90" s="6" t="s">
        <v>578</v>
      </c>
      <c r="D90" s="6">
        <v>25611</v>
      </c>
      <c r="E90" s="6" t="s">
        <v>579</v>
      </c>
      <c r="F90" s="6"/>
      <c r="G90" s="9" t="s">
        <v>580</v>
      </c>
      <c r="H90" s="312">
        <v>834107</v>
      </c>
      <c r="I90" s="183" t="str">
        <f t="shared" si="11"/>
        <v>na</v>
      </c>
      <c r="J90" s="17" t="str">
        <f t="shared" si="16"/>
        <v>na</v>
      </c>
      <c r="K90" s="344">
        <f>$K$2*0.98</f>
        <v>2.0677999999999996</v>
      </c>
      <c r="L90" s="347">
        <v>0.32</v>
      </c>
      <c r="M90" s="347">
        <v>0.03</v>
      </c>
      <c r="N90" s="13">
        <f t="shared" si="13"/>
        <v>1.7177999999999995</v>
      </c>
      <c r="O90" s="519" t="str">
        <f t="shared" si="14"/>
        <v>na</v>
      </c>
      <c r="P90" s="330" t="e">
        <f t="shared" si="15"/>
        <v>#VALUE!</v>
      </c>
    </row>
    <row r="91" spans="1:18" s="135" customFormat="1" ht="15" customHeight="1" x14ac:dyDescent="0.2">
      <c r="A91" s="16" t="s">
        <v>1457</v>
      </c>
      <c r="B91" s="16"/>
      <c r="C91" s="16" t="s">
        <v>1773</v>
      </c>
      <c r="D91" s="16"/>
      <c r="E91" s="16"/>
      <c r="F91" s="16">
        <v>164498</v>
      </c>
      <c r="G91" s="17" t="s">
        <v>1453</v>
      </c>
      <c r="H91" s="312">
        <v>834284</v>
      </c>
      <c r="I91" s="183">
        <f t="shared" si="11"/>
        <v>0</v>
      </c>
      <c r="J91" s="17">
        <f t="shared" si="16"/>
        <v>0</v>
      </c>
      <c r="K91" s="343">
        <f t="shared" ref="K91:K97" si="17">+$K$3</f>
        <v>2.14</v>
      </c>
      <c r="L91" s="211">
        <v>0</v>
      </c>
      <c r="M91" s="211">
        <v>0</v>
      </c>
      <c r="N91" s="787">
        <f t="shared" si="13"/>
        <v>2.14</v>
      </c>
      <c r="O91" s="519">
        <f t="shared" si="14"/>
        <v>0</v>
      </c>
      <c r="P91" s="330">
        <f t="shared" si="15"/>
        <v>0</v>
      </c>
      <c r="Q91" s="269">
        <f t="shared" ref="Q91:Q97" si="18">(-P91)*0.045</f>
        <v>0</v>
      </c>
      <c r="R91" s="788">
        <f t="shared" ref="R91:R97" si="19">+P91+Q91</f>
        <v>0</v>
      </c>
    </row>
    <row r="92" spans="1:18" s="135" customFormat="1" ht="15" customHeight="1" x14ac:dyDescent="0.2">
      <c r="A92" s="16" t="s">
        <v>1457</v>
      </c>
      <c r="B92" s="16"/>
      <c r="C92" s="16" t="s">
        <v>1773</v>
      </c>
      <c r="D92" s="16"/>
      <c r="E92" s="16"/>
      <c r="F92" s="16">
        <v>164498</v>
      </c>
      <c r="G92" s="17" t="s">
        <v>1453</v>
      </c>
      <c r="H92" s="312">
        <v>834285</v>
      </c>
      <c r="I92" s="183">
        <f t="shared" si="11"/>
        <v>0</v>
      </c>
      <c r="J92" s="17">
        <f t="shared" si="16"/>
        <v>0</v>
      </c>
      <c r="K92" s="343">
        <f t="shared" si="17"/>
        <v>2.14</v>
      </c>
      <c r="L92" s="211">
        <v>0.32</v>
      </c>
      <c r="M92" s="211">
        <v>0</v>
      </c>
      <c r="N92" s="787">
        <f t="shared" si="13"/>
        <v>1.82</v>
      </c>
      <c r="O92" s="519">
        <f t="shared" si="14"/>
        <v>0</v>
      </c>
      <c r="P92" s="330">
        <f t="shared" si="15"/>
        <v>0</v>
      </c>
      <c r="Q92" s="269">
        <f t="shared" si="18"/>
        <v>0</v>
      </c>
      <c r="R92" s="788">
        <f t="shared" si="19"/>
        <v>0</v>
      </c>
    </row>
    <row r="93" spans="1:18" s="135" customFormat="1" ht="15" customHeight="1" x14ac:dyDescent="0.2">
      <c r="A93" s="16" t="s">
        <v>1457</v>
      </c>
      <c r="B93" s="16"/>
      <c r="C93" s="16" t="s">
        <v>1773</v>
      </c>
      <c r="D93" s="16"/>
      <c r="E93" s="16"/>
      <c r="F93" s="16">
        <v>164498</v>
      </c>
      <c r="G93" s="17" t="s">
        <v>1453</v>
      </c>
      <c r="H93" s="312">
        <v>834286</v>
      </c>
      <c r="I93" s="183">
        <f t="shared" si="11"/>
        <v>0</v>
      </c>
      <c r="J93" s="17">
        <f t="shared" si="16"/>
        <v>0</v>
      </c>
      <c r="K93" s="343">
        <f t="shared" si="17"/>
        <v>2.14</v>
      </c>
      <c r="L93" s="211">
        <v>0.32</v>
      </c>
      <c r="M93" s="211">
        <v>0</v>
      </c>
      <c r="N93" s="787">
        <f t="shared" si="13"/>
        <v>1.82</v>
      </c>
      <c r="O93" s="519">
        <f t="shared" si="14"/>
        <v>0</v>
      </c>
      <c r="P93" s="330">
        <f t="shared" si="15"/>
        <v>0</v>
      </c>
      <c r="Q93" s="269">
        <f t="shared" si="18"/>
        <v>0</v>
      </c>
      <c r="R93" s="788">
        <f t="shared" si="19"/>
        <v>0</v>
      </c>
    </row>
    <row r="94" spans="1:18" s="135" customFormat="1" ht="15" customHeight="1" x14ac:dyDescent="0.2">
      <c r="A94" s="16" t="s">
        <v>1457</v>
      </c>
      <c r="B94" s="16"/>
      <c r="C94" s="16" t="s">
        <v>1773</v>
      </c>
      <c r="D94" s="16"/>
      <c r="E94" s="16"/>
      <c r="F94" s="16">
        <v>164498</v>
      </c>
      <c r="G94" s="17" t="s">
        <v>1453</v>
      </c>
      <c r="H94" s="312">
        <v>834503</v>
      </c>
      <c r="I94" s="183">
        <f t="shared" si="11"/>
        <v>0</v>
      </c>
      <c r="J94" s="17">
        <f t="shared" si="16"/>
        <v>0</v>
      </c>
      <c r="K94" s="343">
        <f t="shared" si="17"/>
        <v>2.14</v>
      </c>
      <c r="L94" s="211">
        <v>0.32</v>
      </c>
      <c r="M94" s="211">
        <v>0</v>
      </c>
      <c r="N94" s="787">
        <f t="shared" si="13"/>
        <v>1.82</v>
      </c>
      <c r="O94" s="519">
        <f t="shared" si="14"/>
        <v>0</v>
      </c>
      <c r="P94" s="330">
        <f t="shared" si="15"/>
        <v>0</v>
      </c>
      <c r="Q94" s="269">
        <f t="shared" si="18"/>
        <v>0</v>
      </c>
      <c r="R94" s="788">
        <f t="shared" si="19"/>
        <v>0</v>
      </c>
    </row>
    <row r="95" spans="1:18" s="135" customFormat="1" ht="15" customHeight="1" x14ac:dyDescent="0.2">
      <c r="A95" s="16" t="s">
        <v>1457</v>
      </c>
      <c r="B95" s="16"/>
      <c r="C95" s="16" t="s">
        <v>1773</v>
      </c>
      <c r="D95" s="16"/>
      <c r="E95" s="16"/>
      <c r="F95" s="16">
        <v>164498</v>
      </c>
      <c r="G95" s="17" t="s">
        <v>1453</v>
      </c>
      <c r="H95" s="312">
        <v>834505</v>
      </c>
      <c r="I95" s="183">
        <f t="shared" si="11"/>
        <v>0</v>
      </c>
      <c r="J95" s="17">
        <f t="shared" si="16"/>
        <v>0</v>
      </c>
      <c r="K95" s="343">
        <f t="shared" si="17"/>
        <v>2.14</v>
      </c>
      <c r="L95" s="211">
        <v>0.32</v>
      </c>
      <c r="M95" s="211">
        <v>0</v>
      </c>
      <c r="N95" s="787">
        <f t="shared" si="13"/>
        <v>1.82</v>
      </c>
      <c r="O95" s="519">
        <f t="shared" si="14"/>
        <v>0</v>
      </c>
      <c r="P95" s="330">
        <f t="shared" si="15"/>
        <v>0</v>
      </c>
      <c r="Q95" s="269">
        <f t="shared" si="18"/>
        <v>0</v>
      </c>
      <c r="R95" s="788">
        <f t="shared" si="19"/>
        <v>0</v>
      </c>
    </row>
    <row r="96" spans="1:18" s="135" customFormat="1" ht="15" customHeight="1" x14ac:dyDescent="0.2">
      <c r="A96" s="16" t="s">
        <v>1457</v>
      </c>
      <c r="B96" s="16"/>
      <c r="C96" s="16" t="s">
        <v>1773</v>
      </c>
      <c r="D96" s="16"/>
      <c r="E96" s="16"/>
      <c r="F96" s="16">
        <v>164498</v>
      </c>
      <c r="G96" s="17" t="s">
        <v>1453</v>
      </c>
      <c r="H96" s="312">
        <v>834606</v>
      </c>
      <c r="I96" s="183">
        <f t="shared" si="11"/>
        <v>0</v>
      </c>
      <c r="J96" s="17">
        <f t="shared" si="16"/>
        <v>0</v>
      </c>
      <c r="K96" s="343">
        <f t="shared" si="17"/>
        <v>2.14</v>
      </c>
      <c r="L96" s="211">
        <v>0.32</v>
      </c>
      <c r="M96" s="211">
        <v>0</v>
      </c>
      <c r="N96" s="787">
        <f t="shared" si="13"/>
        <v>1.82</v>
      </c>
      <c r="O96" s="519">
        <f t="shared" si="14"/>
        <v>0</v>
      </c>
      <c r="P96" s="330">
        <f t="shared" si="15"/>
        <v>0</v>
      </c>
      <c r="Q96" s="269">
        <f t="shared" si="18"/>
        <v>0</v>
      </c>
      <c r="R96" s="788">
        <f t="shared" si="19"/>
        <v>0</v>
      </c>
    </row>
    <row r="97" spans="1:18" ht="15" customHeight="1" x14ac:dyDescent="0.2">
      <c r="A97" s="6" t="s">
        <v>1457</v>
      </c>
      <c r="B97" s="6"/>
      <c r="C97" s="1" t="s">
        <v>1775</v>
      </c>
      <c r="D97" s="1"/>
      <c r="E97" s="1"/>
      <c r="F97" s="1">
        <v>163824</v>
      </c>
      <c r="G97" s="252" t="s">
        <v>1453</v>
      </c>
      <c r="H97" s="338">
        <v>817515</v>
      </c>
      <c r="I97" s="183">
        <f t="shared" si="11"/>
        <v>0</v>
      </c>
      <c r="J97" s="17">
        <f t="shared" si="16"/>
        <v>0</v>
      </c>
      <c r="K97" s="343">
        <f t="shared" si="17"/>
        <v>2.14</v>
      </c>
      <c r="L97" s="219">
        <v>0.32</v>
      </c>
      <c r="M97" s="219">
        <v>0</v>
      </c>
      <c r="N97" s="13">
        <f t="shared" si="13"/>
        <v>1.82</v>
      </c>
      <c r="O97" s="519">
        <f t="shared" si="14"/>
        <v>0</v>
      </c>
      <c r="P97" s="330">
        <f t="shared" si="15"/>
        <v>0</v>
      </c>
      <c r="Q97" s="269">
        <f t="shared" si="18"/>
        <v>0</v>
      </c>
      <c r="R97" s="269">
        <f t="shared" si="19"/>
        <v>0</v>
      </c>
    </row>
    <row r="98" spans="1:18" ht="15" customHeight="1" x14ac:dyDescent="0.2">
      <c r="A98" s="6" t="s">
        <v>557</v>
      </c>
      <c r="B98" s="329" t="s">
        <v>581</v>
      </c>
      <c r="C98" s="6" t="s">
        <v>582</v>
      </c>
      <c r="D98" s="6">
        <v>26720</v>
      </c>
      <c r="E98" s="6" t="s">
        <v>583</v>
      </c>
      <c r="F98" s="6"/>
      <c r="G98" s="9" t="s">
        <v>1454</v>
      </c>
      <c r="H98" s="312">
        <v>804526</v>
      </c>
      <c r="I98" s="183">
        <f t="shared" si="11"/>
        <v>0</v>
      </c>
      <c r="J98" s="17">
        <f t="shared" si="16"/>
        <v>0</v>
      </c>
      <c r="K98" s="344">
        <f>$K$3*0.97</f>
        <v>2.0758000000000001</v>
      </c>
      <c r="L98" s="347">
        <v>0.32</v>
      </c>
      <c r="M98" s="347">
        <v>0</v>
      </c>
      <c r="N98" s="13">
        <f t="shared" si="13"/>
        <v>1.7558</v>
      </c>
      <c r="O98" s="519">
        <f t="shared" si="14"/>
        <v>0</v>
      </c>
      <c r="P98" s="330">
        <f t="shared" si="15"/>
        <v>0</v>
      </c>
    </row>
    <row r="99" spans="1:18" ht="15" customHeight="1" x14ac:dyDescent="0.2">
      <c r="A99" s="6" t="s">
        <v>1457</v>
      </c>
      <c r="B99" s="6"/>
      <c r="C99" s="271" t="s">
        <v>1437</v>
      </c>
      <c r="D99" s="271"/>
      <c r="E99" s="271"/>
      <c r="F99" s="271">
        <v>551133</v>
      </c>
      <c r="G99" s="270" t="s">
        <v>1453</v>
      </c>
      <c r="H99" s="730">
        <v>830099</v>
      </c>
      <c r="I99" s="731">
        <f t="shared" si="11"/>
        <v>0</v>
      </c>
      <c r="J99" s="88">
        <f t="shared" si="16"/>
        <v>0</v>
      </c>
      <c r="K99" s="417">
        <f>+$K$3</f>
        <v>2.14</v>
      </c>
      <c r="L99" s="732">
        <v>0.32</v>
      </c>
      <c r="M99" s="732"/>
      <c r="N99" s="733">
        <f>+K99-L99-M99</f>
        <v>1.82</v>
      </c>
      <c r="O99" s="734">
        <f>IF(ISNA(VLOOKUP(H99,CNRGas,5,FALSE)),"na",VLOOKUP(H99,CNRGas,5,FALSE))</f>
        <v>0</v>
      </c>
      <c r="P99" s="330">
        <f t="shared" si="15"/>
        <v>0</v>
      </c>
      <c r="Q99" s="269"/>
      <c r="R99" s="269"/>
    </row>
    <row r="100" spans="1:18" ht="15" customHeight="1" x14ac:dyDescent="0.2">
      <c r="A100" s="6" t="s">
        <v>1457</v>
      </c>
      <c r="B100" s="6"/>
      <c r="C100" s="250" t="s">
        <v>1794</v>
      </c>
      <c r="D100" s="250"/>
      <c r="E100" s="250"/>
      <c r="F100" s="250">
        <v>168967</v>
      </c>
      <c r="G100" s="185" t="s">
        <v>1453</v>
      </c>
      <c r="H100" s="487">
        <v>833927</v>
      </c>
      <c r="I100" s="488">
        <f t="shared" si="11"/>
        <v>0</v>
      </c>
      <c r="J100" s="159">
        <f t="shared" si="16"/>
        <v>0</v>
      </c>
      <c r="K100" s="542" t="e">
        <f>+'Special Pricing'!$G$271</f>
        <v>#DIV/0!</v>
      </c>
      <c r="L100" s="746">
        <v>0.32</v>
      </c>
      <c r="M100" s="746">
        <v>0</v>
      </c>
      <c r="N100" s="747" t="e">
        <f t="shared" ref="N100:N118" si="20">+K100-L100-M100</f>
        <v>#DIV/0!</v>
      </c>
      <c r="O100" s="748">
        <f t="shared" si="14"/>
        <v>0</v>
      </c>
      <c r="P100" s="330" t="e">
        <f t="shared" si="15"/>
        <v>#DIV/0!</v>
      </c>
      <c r="Q100" s="269" t="e">
        <f t="shared" ref="Q100:Q115" si="21">(-P100)*0.045</f>
        <v>#DIV/0!</v>
      </c>
      <c r="R100" s="697" t="e">
        <f t="shared" ref="R100:R115" si="22">+P100+Q100</f>
        <v>#DIV/0!</v>
      </c>
    </row>
    <row r="101" spans="1:18" ht="15" customHeight="1" x14ac:dyDescent="0.2">
      <c r="A101" s="6" t="s">
        <v>1457</v>
      </c>
      <c r="B101" s="6"/>
      <c r="C101" s="250" t="s">
        <v>1794</v>
      </c>
      <c r="D101" s="250"/>
      <c r="E101" s="250"/>
      <c r="F101" s="250">
        <v>168967</v>
      </c>
      <c r="G101" s="185" t="s">
        <v>1453</v>
      </c>
      <c r="H101" s="487">
        <v>834216</v>
      </c>
      <c r="I101" s="488">
        <f t="shared" si="11"/>
        <v>0</v>
      </c>
      <c r="J101" s="159">
        <f t="shared" si="16"/>
        <v>0</v>
      </c>
      <c r="K101" s="542" t="e">
        <f>+'Special Pricing'!$G$271</f>
        <v>#DIV/0!</v>
      </c>
      <c r="L101" s="746">
        <v>0.32</v>
      </c>
      <c r="M101" s="746">
        <v>0</v>
      </c>
      <c r="N101" s="747" t="e">
        <f t="shared" si="20"/>
        <v>#DIV/0!</v>
      </c>
      <c r="O101" s="748">
        <f t="shared" si="14"/>
        <v>0</v>
      </c>
      <c r="P101" s="330" t="e">
        <f t="shared" si="15"/>
        <v>#DIV/0!</v>
      </c>
      <c r="Q101" s="269" t="e">
        <f t="shared" si="21"/>
        <v>#DIV/0!</v>
      </c>
      <c r="R101" s="697" t="e">
        <f t="shared" si="22"/>
        <v>#DIV/0!</v>
      </c>
    </row>
    <row r="102" spans="1:18" ht="15" customHeight="1" x14ac:dyDescent="0.2">
      <c r="A102" s="6" t="s">
        <v>1457</v>
      </c>
      <c r="B102" s="6"/>
      <c r="C102" s="250" t="s">
        <v>1794</v>
      </c>
      <c r="D102" s="250"/>
      <c r="E102" s="250"/>
      <c r="F102" s="250">
        <v>168967</v>
      </c>
      <c r="G102" s="185" t="s">
        <v>1453</v>
      </c>
      <c r="H102" s="487">
        <v>834265</v>
      </c>
      <c r="I102" s="488">
        <f t="shared" si="11"/>
        <v>0</v>
      </c>
      <c r="J102" s="159">
        <f t="shared" si="16"/>
        <v>0</v>
      </c>
      <c r="K102" s="542" t="e">
        <f>+'Special Pricing'!$G$271</f>
        <v>#DIV/0!</v>
      </c>
      <c r="L102" s="746">
        <v>0.32</v>
      </c>
      <c r="M102" s="746">
        <v>0</v>
      </c>
      <c r="N102" s="747" t="e">
        <f t="shared" si="20"/>
        <v>#DIV/0!</v>
      </c>
      <c r="O102" s="748">
        <f t="shared" si="14"/>
        <v>0</v>
      </c>
      <c r="P102" s="330" t="e">
        <f t="shared" si="15"/>
        <v>#DIV/0!</v>
      </c>
      <c r="Q102" s="269" t="e">
        <f t="shared" si="21"/>
        <v>#DIV/0!</v>
      </c>
      <c r="R102" s="697" t="e">
        <f t="shared" si="22"/>
        <v>#DIV/0!</v>
      </c>
    </row>
    <row r="103" spans="1:18" ht="15" customHeight="1" x14ac:dyDescent="0.2">
      <c r="A103" s="6" t="s">
        <v>1457</v>
      </c>
      <c r="B103" s="6"/>
      <c r="C103" s="250" t="s">
        <v>1794</v>
      </c>
      <c r="D103" s="250"/>
      <c r="E103" s="250"/>
      <c r="F103" s="250">
        <v>168967</v>
      </c>
      <c r="G103" s="185" t="s">
        <v>1453</v>
      </c>
      <c r="H103" s="487">
        <v>834448</v>
      </c>
      <c r="I103" s="488">
        <f t="shared" si="11"/>
        <v>0</v>
      </c>
      <c r="J103" s="159">
        <f t="shared" si="16"/>
        <v>0</v>
      </c>
      <c r="K103" s="542" t="e">
        <f>+'Special Pricing'!$G$271</f>
        <v>#DIV/0!</v>
      </c>
      <c r="L103" s="746">
        <v>0.32</v>
      </c>
      <c r="M103" s="746">
        <v>0</v>
      </c>
      <c r="N103" s="747" t="e">
        <f t="shared" si="20"/>
        <v>#DIV/0!</v>
      </c>
      <c r="O103" s="748">
        <f t="shared" si="14"/>
        <v>0</v>
      </c>
      <c r="P103" s="330" t="e">
        <f t="shared" si="15"/>
        <v>#DIV/0!</v>
      </c>
      <c r="Q103" s="269" t="e">
        <f t="shared" si="21"/>
        <v>#DIV/0!</v>
      </c>
      <c r="R103" s="697" t="e">
        <f t="shared" si="22"/>
        <v>#DIV/0!</v>
      </c>
    </row>
    <row r="104" spans="1:18" ht="15" customHeight="1" x14ac:dyDescent="0.2">
      <c r="A104" s="6" t="s">
        <v>1457</v>
      </c>
      <c r="B104" s="6"/>
      <c r="C104" s="250" t="s">
        <v>1794</v>
      </c>
      <c r="D104" s="250"/>
      <c r="E104" s="250"/>
      <c r="F104" s="250">
        <v>168967</v>
      </c>
      <c r="G104" s="185" t="s">
        <v>1453</v>
      </c>
      <c r="H104" s="487">
        <v>834458</v>
      </c>
      <c r="I104" s="488">
        <f t="shared" si="11"/>
        <v>0</v>
      </c>
      <c r="J104" s="159">
        <f t="shared" ref="J104:J118" si="23">IF(ISNA(VLOOKUP(H104,CNRGas,3,FALSE)),"na",VLOOKUP(H104,CNRGas,3,FALSE))</f>
        <v>0</v>
      </c>
      <c r="K104" s="542" t="e">
        <f>+'Special Pricing'!$G$271</f>
        <v>#DIV/0!</v>
      </c>
      <c r="L104" s="746">
        <v>0.32</v>
      </c>
      <c r="M104" s="746">
        <v>0</v>
      </c>
      <c r="N104" s="747" t="e">
        <f t="shared" si="20"/>
        <v>#DIV/0!</v>
      </c>
      <c r="O104" s="748">
        <f t="shared" si="14"/>
        <v>0</v>
      </c>
      <c r="P104" s="330" t="e">
        <f t="shared" si="15"/>
        <v>#DIV/0!</v>
      </c>
      <c r="Q104" s="269" t="e">
        <f t="shared" si="21"/>
        <v>#DIV/0!</v>
      </c>
      <c r="R104" s="697" t="e">
        <f t="shared" si="22"/>
        <v>#DIV/0!</v>
      </c>
    </row>
    <row r="105" spans="1:18" ht="15" customHeight="1" x14ac:dyDescent="0.2">
      <c r="A105" s="6" t="s">
        <v>1457</v>
      </c>
      <c r="B105" s="6"/>
      <c r="C105" s="250" t="s">
        <v>1794</v>
      </c>
      <c r="D105" s="250"/>
      <c r="E105" s="250"/>
      <c r="F105" s="250">
        <v>168967</v>
      </c>
      <c r="G105" s="185" t="s">
        <v>1453</v>
      </c>
      <c r="H105" s="487">
        <v>834775</v>
      </c>
      <c r="I105" s="488">
        <f t="shared" si="11"/>
        <v>0</v>
      </c>
      <c r="J105" s="159">
        <f t="shared" si="23"/>
        <v>0</v>
      </c>
      <c r="K105" s="542" t="e">
        <f>+'Special Pricing'!$G$271</f>
        <v>#DIV/0!</v>
      </c>
      <c r="L105" s="746">
        <v>0.32</v>
      </c>
      <c r="M105" s="746">
        <v>0</v>
      </c>
      <c r="N105" s="747" t="e">
        <f t="shared" si="20"/>
        <v>#DIV/0!</v>
      </c>
      <c r="O105" s="748">
        <f t="shared" si="14"/>
        <v>0</v>
      </c>
      <c r="P105" s="330" t="e">
        <f t="shared" si="15"/>
        <v>#DIV/0!</v>
      </c>
      <c r="Q105" s="269" t="e">
        <f t="shared" si="21"/>
        <v>#DIV/0!</v>
      </c>
      <c r="R105" s="697" t="e">
        <f t="shared" si="22"/>
        <v>#DIV/0!</v>
      </c>
    </row>
    <row r="106" spans="1:18" ht="15" customHeight="1" x14ac:dyDescent="0.2">
      <c r="A106" s="6" t="s">
        <v>1457</v>
      </c>
      <c r="B106" s="6"/>
      <c r="C106" s="250" t="s">
        <v>1794</v>
      </c>
      <c r="D106" s="250"/>
      <c r="E106" s="250"/>
      <c r="F106" s="250">
        <v>168967</v>
      </c>
      <c r="G106" s="185" t="s">
        <v>1453</v>
      </c>
      <c r="H106" s="487">
        <v>834815</v>
      </c>
      <c r="I106" s="488">
        <f t="shared" si="11"/>
        <v>0</v>
      </c>
      <c r="J106" s="159">
        <f t="shared" si="23"/>
        <v>0</v>
      </c>
      <c r="K106" s="542" t="e">
        <f>+'Special Pricing'!$G$271</f>
        <v>#DIV/0!</v>
      </c>
      <c r="L106" s="746">
        <v>0.32</v>
      </c>
      <c r="M106" s="746">
        <v>0</v>
      </c>
      <c r="N106" s="747" t="e">
        <f t="shared" si="20"/>
        <v>#DIV/0!</v>
      </c>
      <c r="O106" s="748">
        <f t="shared" si="14"/>
        <v>0</v>
      </c>
      <c r="P106" s="330" t="e">
        <f t="shared" si="15"/>
        <v>#DIV/0!</v>
      </c>
      <c r="Q106" s="269" t="e">
        <f t="shared" si="21"/>
        <v>#DIV/0!</v>
      </c>
      <c r="R106" s="697" t="e">
        <f t="shared" si="22"/>
        <v>#DIV/0!</v>
      </c>
    </row>
    <row r="107" spans="1:18" ht="15" customHeight="1" x14ac:dyDescent="0.2">
      <c r="A107" s="6" t="s">
        <v>1457</v>
      </c>
      <c r="B107" s="6"/>
      <c r="C107" s="250" t="s">
        <v>1794</v>
      </c>
      <c r="D107" s="250"/>
      <c r="E107" s="250"/>
      <c r="F107" s="250">
        <v>168967</v>
      </c>
      <c r="G107" s="185" t="s">
        <v>1453</v>
      </c>
      <c r="H107" s="487">
        <v>835158</v>
      </c>
      <c r="I107" s="488">
        <f t="shared" si="11"/>
        <v>0</v>
      </c>
      <c r="J107" s="159">
        <f t="shared" si="23"/>
        <v>0</v>
      </c>
      <c r="K107" s="542" t="e">
        <f>+'Special Pricing'!$G$271</f>
        <v>#DIV/0!</v>
      </c>
      <c r="L107" s="746">
        <v>0.32</v>
      </c>
      <c r="M107" s="746">
        <v>0</v>
      </c>
      <c r="N107" s="747" t="e">
        <f t="shared" si="20"/>
        <v>#DIV/0!</v>
      </c>
      <c r="O107" s="748">
        <f t="shared" si="14"/>
        <v>0</v>
      </c>
      <c r="P107" s="330" t="e">
        <f t="shared" si="15"/>
        <v>#DIV/0!</v>
      </c>
      <c r="Q107" s="269" t="e">
        <f t="shared" si="21"/>
        <v>#DIV/0!</v>
      </c>
      <c r="R107" s="697" t="e">
        <f t="shared" si="22"/>
        <v>#DIV/0!</v>
      </c>
    </row>
    <row r="108" spans="1:18" ht="15" customHeight="1" x14ac:dyDescent="0.2">
      <c r="A108" s="6" t="s">
        <v>1457</v>
      </c>
      <c r="B108" s="6"/>
      <c r="C108" s="250" t="s">
        <v>1794</v>
      </c>
      <c r="D108" s="250"/>
      <c r="E108" s="250"/>
      <c r="F108" s="250">
        <v>168967</v>
      </c>
      <c r="G108" s="185" t="s">
        <v>1453</v>
      </c>
      <c r="H108" s="487">
        <v>835294</v>
      </c>
      <c r="I108" s="488">
        <f t="shared" si="11"/>
        <v>0</v>
      </c>
      <c r="J108" s="159">
        <f t="shared" si="23"/>
        <v>0</v>
      </c>
      <c r="K108" s="542" t="e">
        <f>+'Special Pricing'!$G$271</f>
        <v>#DIV/0!</v>
      </c>
      <c r="L108" s="746">
        <v>0.32</v>
      </c>
      <c r="M108" s="746">
        <v>0</v>
      </c>
      <c r="N108" s="747" t="e">
        <f>+K108-L108-M108</f>
        <v>#DIV/0!</v>
      </c>
      <c r="O108" s="748">
        <f>IF(ISNA(VLOOKUP(H108,CNRGas,5,FALSE)),"na",VLOOKUP(H108,CNRGas,5,FALSE))</f>
        <v>0</v>
      </c>
      <c r="P108" s="330" t="e">
        <f t="shared" si="15"/>
        <v>#DIV/0!</v>
      </c>
      <c r="Q108" s="269" t="e">
        <f t="shared" si="21"/>
        <v>#DIV/0!</v>
      </c>
      <c r="R108" s="697" t="e">
        <f t="shared" si="22"/>
        <v>#DIV/0!</v>
      </c>
    </row>
    <row r="109" spans="1:18" ht="15" customHeight="1" x14ac:dyDescent="0.2">
      <c r="A109" s="6" t="s">
        <v>1457</v>
      </c>
      <c r="B109" s="6"/>
      <c r="C109" s="250" t="s">
        <v>1794</v>
      </c>
      <c r="D109" s="250"/>
      <c r="E109" s="250"/>
      <c r="F109" s="250">
        <v>168967</v>
      </c>
      <c r="G109" s="185" t="s">
        <v>1453</v>
      </c>
      <c r="H109" s="487">
        <v>836516</v>
      </c>
      <c r="I109" s="488">
        <f t="shared" si="11"/>
        <v>0</v>
      </c>
      <c r="J109" s="159">
        <f t="shared" si="23"/>
        <v>0</v>
      </c>
      <c r="K109" s="542" t="e">
        <f>+'Special Pricing'!$G$271</f>
        <v>#DIV/0!</v>
      </c>
      <c r="L109" s="746">
        <v>0.32</v>
      </c>
      <c r="M109" s="746">
        <v>0</v>
      </c>
      <c r="N109" s="747" t="e">
        <f t="shared" si="20"/>
        <v>#DIV/0!</v>
      </c>
      <c r="O109" s="748">
        <f t="shared" si="14"/>
        <v>0</v>
      </c>
      <c r="P109" s="330" t="e">
        <f t="shared" si="15"/>
        <v>#DIV/0!</v>
      </c>
      <c r="Q109" s="269" t="e">
        <f t="shared" si="21"/>
        <v>#DIV/0!</v>
      </c>
      <c r="R109" s="697" t="e">
        <f t="shared" si="22"/>
        <v>#DIV/0!</v>
      </c>
    </row>
    <row r="110" spans="1:18" ht="15" customHeight="1" x14ac:dyDescent="0.2">
      <c r="A110" s="6" t="s">
        <v>1457</v>
      </c>
      <c r="B110" s="6"/>
      <c r="C110" s="6" t="s">
        <v>1800</v>
      </c>
      <c r="D110" s="6"/>
      <c r="E110" s="6"/>
      <c r="F110" s="6">
        <v>1668970</v>
      </c>
      <c r="G110" s="9" t="s">
        <v>1453</v>
      </c>
      <c r="H110" s="312">
        <v>835409</v>
      </c>
      <c r="I110" s="183">
        <f t="shared" si="11"/>
        <v>0</v>
      </c>
      <c r="J110" s="17">
        <f t="shared" si="23"/>
        <v>0</v>
      </c>
      <c r="K110" s="343">
        <f>+$K$3</f>
        <v>2.14</v>
      </c>
      <c r="L110" s="219">
        <v>0.32</v>
      </c>
      <c r="M110" s="219">
        <v>0</v>
      </c>
      <c r="N110" s="13">
        <f t="shared" si="20"/>
        <v>1.82</v>
      </c>
      <c r="O110" s="519">
        <f t="shared" si="14"/>
        <v>0</v>
      </c>
      <c r="P110" s="330">
        <f t="shared" si="15"/>
        <v>0</v>
      </c>
      <c r="Q110" s="269">
        <f t="shared" si="21"/>
        <v>0</v>
      </c>
      <c r="R110" s="269">
        <f t="shared" si="22"/>
        <v>0</v>
      </c>
    </row>
    <row r="111" spans="1:18" ht="15" customHeight="1" x14ac:dyDescent="0.2">
      <c r="A111" s="6" t="s">
        <v>1457</v>
      </c>
      <c r="B111" s="6"/>
      <c r="C111" s="1" t="s">
        <v>1800</v>
      </c>
      <c r="D111" s="1"/>
      <c r="E111" s="1"/>
      <c r="F111" s="1">
        <v>1668970</v>
      </c>
      <c r="G111" s="9" t="s">
        <v>1453</v>
      </c>
      <c r="H111" s="338">
        <v>835415</v>
      </c>
      <c r="I111" s="183">
        <f t="shared" si="11"/>
        <v>0</v>
      </c>
      <c r="J111" s="17">
        <f t="shared" si="23"/>
        <v>0</v>
      </c>
      <c r="K111" s="343">
        <f>+$K$3</f>
        <v>2.14</v>
      </c>
      <c r="L111" s="219">
        <v>0.32</v>
      </c>
      <c r="M111" s="219"/>
      <c r="N111" s="13">
        <f t="shared" si="20"/>
        <v>1.82</v>
      </c>
      <c r="O111" s="519">
        <f t="shared" si="14"/>
        <v>0</v>
      </c>
      <c r="P111" s="330">
        <f t="shared" si="15"/>
        <v>0</v>
      </c>
      <c r="Q111" s="269">
        <f t="shared" si="21"/>
        <v>0</v>
      </c>
      <c r="R111" s="269">
        <f t="shared" si="22"/>
        <v>0</v>
      </c>
    </row>
    <row r="112" spans="1:18" ht="15" customHeight="1" x14ac:dyDescent="0.2">
      <c r="A112" s="6" t="s">
        <v>1457</v>
      </c>
      <c r="B112" s="6"/>
      <c r="C112" s="1" t="s">
        <v>1800</v>
      </c>
      <c r="D112" s="1"/>
      <c r="E112" s="1"/>
      <c r="F112" s="1">
        <v>1668970</v>
      </c>
      <c r="G112" s="9" t="s">
        <v>1453</v>
      </c>
      <c r="H112" s="338">
        <v>835416</v>
      </c>
      <c r="I112" s="183">
        <f t="shared" si="11"/>
        <v>0</v>
      </c>
      <c r="J112" s="17">
        <f t="shared" si="23"/>
        <v>0</v>
      </c>
      <c r="K112" s="343">
        <f>+$K$3</f>
        <v>2.14</v>
      </c>
      <c r="L112" s="219">
        <v>0.32</v>
      </c>
      <c r="M112" s="219"/>
      <c r="N112" s="13">
        <f t="shared" si="20"/>
        <v>1.82</v>
      </c>
      <c r="O112" s="519">
        <f t="shared" si="14"/>
        <v>0</v>
      </c>
      <c r="P112" s="330">
        <f t="shared" si="15"/>
        <v>0</v>
      </c>
      <c r="Q112" s="269">
        <f t="shared" si="21"/>
        <v>0</v>
      </c>
      <c r="R112" s="269">
        <f t="shared" si="22"/>
        <v>0</v>
      </c>
    </row>
    <row r="113" spans="1:18" ht="15" customHeight="1" x14ac:dyDescent="0.2">
      <c r="A113" s="6" t="s">
        <v>1457</v>
      </c>
      <c r="B113" s="6"/>
      <c r="C113" s="1" t="s">
        <v>1800</v>
      </c>
      <c r="D113" s="1"/>
      <c r="E113" s="1"/>
      <c r="F113" s="1">
        <v>1668970</v>
      </c>
      <c r="G113" s="9" t="s">
        <v>1453</v>
      </c>
      <c r="H113" s="338">
        <v>835426</v>
      </c>
      <c r="I113" s="183">
        <f t="shared" si="11"/>
        <v>0</v>
      </c>
      <c r="J113" s="17">
        <f t="shared" si="23"/>
        <v>0</v>
      </c>
      <c r="K113" s="343">
        <f>+$K$3</f>
        <v>2.14</v>
      </c>
      <c r="L113" s="219">
        <v>0.32</v>
      </c>
      <c r="M113" s="219"/>
      <c r="N113" s="13">
        <f t="shared" si="20"/>
        <v>1.82</v>
      </c>
      <c r="O113" s="519">
        <f t="shared" si="14"/>
        <v>0</v>
      </c>
      <c r="P113" s="330">
        <f t="shared" si="15"/>
        <v>0</v>
      </c>
      <c r="Q113" s="269">
        <f t="shared" si="21"/>
        <v>0</v>
      </c>
      <c r="R113" s="269">
        <f t="shared" si="22"/>
        <v>0</v>
      </c>
    </row>
    <row r="114" spans="1:18" ht="15" customHeight="1" x14ac:dyDescent="0.2">
      <c r="A114" s="6" t="s">
        <v>1457</v>
      </c>
      <c r="B114" s="6"/>
      <c r="C114" s="1" t="s">
        <v>1800</v>
      </c>
      <c r="D114" s="1"/>
      <c r="E114" s="1"/>
      <c r="F114" s="1">
        <v>1668970</v>
      </c>
      <c r="G114" s="9" t="s">
        <v>1453</v>
      </c>
      <c r="H114" s="338">
        <v>835429</v>
      </c>
      <c r="I114" s="183">
        <f t="shared" si="11"/>
        <v>0</v>
      </c>
      <c r="J114" s="17">
        <f t="shared" si="23"/>
        <v>0</v>
      </c>
      <c r="K114" s="343">
        <f>+$K$3</f>
        <v>2.14</v>
      </c>
      <c r="L114" s="219">
        <v>0.32</v>
      </c>
      <c r="M114" s="219"/>
      <c r="N114" s="13">
        <f t="shared" si="20"/>
        <v>1.82</v>
      </c>
      <c r="O114" s="519">
        <f t="shared" si="14"/>
        <v>0</v>
      </c>
      <c r="P114" s="330">
        <f t="shared" si="15"/>
        <v>0</v>
      </c>
      <c r="Q114" s="269">
        <f t="shared" si="21"/>
        <v>0</v>
      </c>
      <c r="R114" s="269">
        <f t="shared" si="22"/>
        <v>0</v>
      </c>
    </row>
    <row r="115" spans="1:18" ht="15" customHeight="1" thickBot="1" x14ac:dyDescent="0.25">
      <c r="A115" s="6" t="s">
        <v>1457</v>
      </c>
      <c r="B115" s="6"/>
      <c r="C115" s="1" t="s">
        <v>1755</v>
      </c>
      <c r="D115" s="1"/>
      <c r="E115" s="1"/>
      <c r="F115" s="1">
        <v>163812</v>
      </c>
      <c r="G115" s="252" t="s">
        <v>1418</v>
      </c>
      <c r="H115" s="338">
        <v>800880</v>
      </c>
      <c r="I115" s="183">
        <f t="shared" si="11"/>
        <v>0</v>
      </c>
      <c r="J115" s="17">
        <f t="shared" si="23"/>
        <v>0</v>
      </c>
      <c r="K115" s="343">
        <f>+$K$3*0.98</f>
        <v>2.0972</v>
      </c>
      <c r="L115" s="219">
        <v>0.32</v>
      </c>
      <c r="M115" s="219">
        <v>0</v>
      </c>
      <c r="N115" s="13">
        <f t="shared" si="20"/>
        <v>1.7771999999999999</v>
      </c>
      <c r="O115" s="519">
        <f t="shared" si="14"/>
        <v>0</v>
      </c>
      <c r="P115" s="330">
        <f t="shared" si="15"/>
        <v>0</v>
      </c>
      <c r="Q115" s="269">
        <f t="shared" si="21"/>
        <v>0</v>
      </c>
      <c r="R115" s="269">
        <f t="shared" si="22"/>
        <v>0</v>
      </c>
    </row>
    <row r="116" spans="1:18" ht="15" customHeight="1" x14ac:dyDescent="0.2">
      <c r="A116" s="6" t="s">
        <v>1457</v>
      </c>
      <c r="B116" s="6"/>
      <c r="C116" s="250" t="s">
        <v>1798</v>
      </c>
      <c r="D116" s="250"/>
      <c r="E116" s="250"/>
      <c r="F116" s="250">
        <v>300916</v>
      </c>
      <c r="G116" s="185" t="s">
        <v>1822</v>
      </c>
      <c r="H116" s="487">
        <v>835077</v>
      </c>
      <c r="I116" s="488">
        <f t="shared" si="11"/>
        <v>0</v>
      </c>
      <c r="J116" s="159">
        <f t="shared" si="23"/>
        <v>0</v>
      </c>
      <c r="K116" s="417" t="e">
        <f>+'Special Pricing'!$G$297</f>
        <v>#DIV/0!</v>
      </c>
      <c r="L116" s="221">
        <v>0</v>
      </c>
      <c r="M116" s="219">
        <v>0</v>
      </c>
      <c r="N116" s="13" t="e">
        <f t="shared" si="20"/>
        <v>#DIV/0!</v>
      </c>
      <c r="O116" s="519">
        <v>0</v>
      </c>
      <c r="P116" s="330" t="e">
        <f t="shared" si="15"/>
        <v>#DIV/0!</v>
      </c>
      <c r="Q116" s="547" t="s">
        <v>1528</v>
      </c>
    </row>
    <row r="117" spans="1:18" ht="15" customHeight="1" x14ac:dyDescent="0.2">
      <c r="A117" s="6" t="s">
        <v>1457</v>
      </c>
      <c r="B117" s="6"/>
      <c r="C117" s="250" t="s">
        <v>1798</v>
      </c>
      <c r="D117" s="250"/>
      <c r="E117" s="250"/>
      <c r="F117" s="250">
        <v>300916</v>
      </c>
      <c r="G117" s="185" t="s">
        <v>1822</v>
      </c>
      <c r="H117" s="487">
        <v>835157</v>
      </c>
      <c r="I117" s="488">
        <f t="shared" si="11"/>
        <v>0</v>
      </c>
      <c r="J117" s="159">
        <f t="shared" si="23"/>
        <v>0</v>
      </c>
      <c r="K117" s="417" t="e">
        <f>+'Special Pricing'!$G$297</f>
        <v>#DIV/0!</v>
      </c>
      <c r="L117" s="221">
        <v>0</v>
      </c>
      <c r="M117" s="219">
        <v>0</v>
      </c>
      <c r="N117" s="13" t="e">
        <f t="shared" si="20"/>
        <v>#DIV/0!</v>
      </c>
      <c r="O117" s="519">
        <v>0</v>
      </c>
      <c r="P117" s="330" t="e">
        <f t="shared" si="15"/>
        <v>#DIV/0!</v>
      </c>
      <c r="Q117" s="548" t="s">
        <v>1529</v>
      </c>
    </row>
    <row r="118" spans="1:18" ht="15" customHeight="1" x14ac:dyDescent="0.2">
      <c r="A118" s="6" t="s">
        <v>1457</v>
      </c>
      <c r="B118" s="6"/>
      <c r="C118" s="250" t="s">
        <v>1798</v>
      </c>
      <c r="D118" s="250"/>
      <c r="E118" s="250"/>
      <c r="F118" s="250">
        <v>300916</v>
      </c>
      <c r="G118" s="185" t="s">
        <v>1822</v>
      </c>
      <c r="H118" s="487">
        <v>835382</v>
      </c>
      <c r="I118" s="488">
        <f t="shared" si="11"/>
        <v>0</v>
      </c>
      <c r="J118" s="159">
        <f t="shared" si="23"/>
        <v>0</v>
      </c>
      <c r="K118" s="417" t="e">
        <f>+'Special Pricing'!$G$297</f>
        <v>#DIV/0!</v>
      </c>
      <c r="L118" s="221">
        <v>0</v>
      </c>
      <c r="M118" s="219">
        <v>0</v>
      </c>
      <c r="N118" s="13" t="e">
        <f t="shared" si="20"/>
        <v>#DIV/0!</v>
      </c>
      <c r="O118" s="519">
        <v>0</v>
      </c>
      <c r="P118" s="330" t="e">
        <f t="shared" si="15"/>
        <v>#DIV/0!</v>
      </c>
      <c r="Q118" s="548" t="s">
        <v>1530</v>
      </c>
    </row>
    <row r="119" spans="1:18" ht="15" customHeight="1" x14ac:dyDescent="0.2">
      <c r="A119" s="6" t="s">
        <v>1457</v>
      </c>
      <c r="B119" s="6"/>
      <c r="C119" s="250" t="s">
        <v>1798</v>
      </c>
      <c r="D119" s="250"/>
      <c r="E119" s="250"/>
      <c r="F119" s="250">
        <v>300916</v>
      </c>
      <c r="G119" s="185" t="s">
        <v>1822</v>
      </c>
      <c r="H119" s="487">
        <v>835383</v>
      </c>
      <c r="I119" s="488">
        <f t="shared" ref="I119:I192" si="24">IF(ISNA(VLOOKUP(H119,CNRGas,4,FALSE)),"na",VLOOKUP(H119,CNRGas,4,FALSE))</f>
        <v>0</v>
      </c>
      <c r="J119" s="159">
        <f t="shared" ref="J119:J192" si="25">IF(ISNA(VLOOKUP(H119,CNRGas,3,FALSE)),"na",VLOOKUP(H119,CNRGas,3,FALSE))</f>
        <v>0</v>
      </c>
      <c r="K119" s="417" t="e">
        <f>+'Special Pricing'!$G$297</f>
        <v>#DIV/0!</v>
      </c>
      <c r="L119" s="221">
        <v>0</v>
      </c>
      <c r="M119" s="219">
        <v>0</v>
      </c>
      <c r="N119" s="13" t="e">
        <f t="shared" ref="N119:N192" si="26">+K119-L119-M119</f>
        <v>#DIV/0!</v>
      </c>
      <c r="O119" s="519">
        <v>0</v>
      </c>
      <c r="P119" s="330" t="e">
        <f t="shared" si="15"/>
        <v>#DIV/0!</v>
      </c>
      <c r="Q119" s="548" t="s">
        <v>1531</v>
      </c>
    </row>
    <row r="120" spans="1:18" ht="15" customHeight="1" x14ac:dyDescent="0.2">
      <c r="A120" s="6" t="s">
        <v>1457</v>
      </c>
      <c r="B120" s="6"/>
      <c r="C120" s="250" t="s">
        <v>1798</v>
      </c>
      <c r="D120" s="250"/>
      <c r="E120" s="250"/>
      <c r="F120" s="250">
        <v>300916</v>
      </c>
      <c r="G120" s="185" t="s">
        <v>1822</v>
      </c>
      <c r="H120" s="487">
        <v>835384</v>
      </c>
      <c r="I120" s="488">
        <f t="shared" si="24"/>
        <v>0</v>
      </c>
      <c r="J120" s="159">
        <f t="shared" si="25"/>
        <v>0</v>
      </c>
      <c r="K120" s="417" t="e">
        <f>+'Special Pricing'!$G$297</f>
        <v>#DIV/0!</v>
      </c>
      <c r="L120" s="221">
        <v>0</v>
      </c>
      <c r="M120" s="219">
        <v>0</v>
      </c>
      <c r="N120" s="13" t="e">
        <f t="shared" si="26"/>
        <v>#DIV/0!</v>
      </c>
      <c r="O120" s="519">
        <v>0</v>
      </c>
      <c r="P120" s="330" t="e">
        <f t="shared" si="15"/>
        <v>#DIV/0!</v>
      </c>
      <c r="Q120" s="548" t="s">
        <v>1532</v>
      </c>
    </row>
    <row r="121" spans="1:18" ht="15" customHeight="1" x14ac:dyDescent="0.2">
      <c r="A121" s="6" t="s">
        <v>1457</v>
      </c>
      <c r="B121" s="6"/>
      <c r="C121" s="250" t="s">
        <v>1798</v>
      </c>
      <c r="D121" s="250"/>
      <c r="E121" s="250"/>
      <c r="F121" s="250">
        <v>300916</v>
      </c>
      <c r="G121" s="185" t="s">
        <v>1822</v>
      </c>
      <c r="H121" s="487">
        <v>835385</v>
      </c>
      <c r="I121" s="488">
        <f t="shared" si="24"/>
        <v>0</v>
      </c>
      <c r="J121" s="159">
        <f t="shared" si="25"/>
        <v>0</v>
      </c>
      <c r="K121" s="417" t="e">
        <f>+'Special Pricing'!$G$297</f>
        <v>#DIV/0!</v>
      </c>
      <c r="L121" s="221">
        <v>0</v>
      </c>
      <c r="M121" s="219">
        <v>0</v>
      </c>
      <c r="N121" s="13" t="e">
        <f t="shared" si="26"/>
        <v>#DIV/0!</v>
      </c>
      <c r="O121" s="519">
        <v>0</v>
      </c>
      <c r="P121" s="330" t="e">
        <f t="shared" si="15"/>
        <v>#DIV/0!</v>
      </c>
      <c r="Q121" s="548" t="s">
        <v>1533</v>
      </c>
    </row>
    <row r="122" spans="1:18" ht="15" customHeight="1" x14ac:dyDescent="0.2">
      <c r="A122" s="6" t="s">
        <v>1457</v>
      </c>
      <c r="B122" s="6"/>
      <c r="C122" s="250" t="s">
        <v>1798</v>
      </c>
      <c r="D122" s="250"/>
      <c r="E122" s="250"/>
      <c r="F122" s="250">
        <v>300916</v>
      </c>
      <c r="G122" s="185" t="s">
        <v>1822</v>
      </c>
      <c r="H122" s="487">
        <v>835434</v>
      </c>
      <c r="I122" s="488">
        <f t="shared" si="24"/>
        <v>0</v>
      </c>
      <c r="J122" s="159">
        <f t="shared" si="25"/>
        <v>0</v>
      </c>
      <c r="K122" s="417" t="e">
        <f>+'Special Pricing'!$G$297</f>
        <v>#DIV/0!</v>
      </c>
      <c r="L122" s="221">
        <v>0</v>
      </c>
      <c r="M122" s="219">
        <v>0</v>
      </c>
      <c r="N122" s="13" t="e">
        <f t="shared" si="26"/>
        <v>#DIV/0!</v>
      </c>
      <c r="O122" s="519">
        <v>0</v>
      </c>
      <c r="P122" s="330" t="e">
        <f t="shared" si="15"/>
        <v>#DIV/0!</v>
      </c>
      <c r="Q122" s="548" t="s">
        <v>1534</v>
      </c>
    </row>
    <row r="123" spans="1:18" ht="15" customHeight="1" x14ac:dyDescent="0.2">
      <c r="A123" s="6" t="s">
        <v>1457</v>
      </c>
      <c r="B123" s="6"/>
      <c r="C123" s="250" t="s">
        <v>1798</v>
      </c>
      <c r="D123" s="250"/>
      <c r="E123" s="250"/>
      <c r="F123" s="250">
        <v>300916</v>
      </c>
      <c r="G123" s="185" t="s">
        <v>1822</v>
      </c>
      <c r="H123" s="487">
        <v>835435</v>
      </c>
      <c r="I123" s="488">
        <f t="shared" si="24"/>
        <v>0</v>
      </c>
      <c r="J123" s="159">
        <f t="shared" si="25"/>
        <v>0</v>
      </c>
      <c r="K123" s="417" t="e">
        <f>+'Special Pricing'!$G$297</f>
        <v>#DIV/0!</v>
      </c>
      <c r="L123" s="221">
        <v>0</v>
      </c>
      <c r="M123" s="219">
        <v>0</v>
      </c>
      <c r="N123" s="13" t="e">
        <f t="shared" si="26"/>
        <v>#DIV/0!</v>
      </c>
      <c r="O123" s="519">
        <v>0</v>
      </c>
      <c r="P123" s="330" t="e">
        <f t="shared" si="15"/>
        <v>#DIV/0!</v>
      </c>
      <c r="Q123" s="548" t="s">
        <v>1536</v>
      </c>
    </row>
    <row r="124" spans="1:18" ht="15" customHeight="1" thickBot="1" x14ac:dyDescent="0.25">
      <c r="A124" s="6" t="s">
        <v>1457</v>
      </c>
      <c r="B124" s="6"/>
      <c r="C124" s="250" t="s">
        <v>1798</v>
      </c>
      <c r="D124" s="250"/>
      <c r="E124" s="250"/>
      <c r="F124" s="250">
        <v>300916</v>
      </c>
      <c r="G124" s="185" t="s">
        <v>1822</v>
      </c>
      <c r="H124" s="487">
        <v>835436</v>
      </c>
      <c r="I124" s="488">
        <f t="shared" si="24"/>
        <v>0</v>
      </c>
      <c r="J124" s="159">
        <f t="shared" si="25"/>
        <v>0</v>
      </c>
      <c r="K124" s="417" t="e">
        <f>+'Special Pricing'!$G$297</f>
        <v>#DIV/0!</v>
      </c>
      <c r="L124" s="221">
        <v>0</v>
      </c>
      <c r="M124" s="219">
        <v>0</v>
      </c>
      <c r="N124" s="13" t="e">
        <f t="shared" si="26"/>
        <v>#DIV/0!</v>
      </c>
      <c r="O124" s="519">
        <v>0</v>
      </c>
      <c r="P124" s="330" t="e">
        <f t="shared" si="15"/>
        <v>#DIV/0!</v>
      </c>
      <c r="Q124" s="549" t="s">
        <v>1535</v>
      </c>
    </row>
    <row r="125" spans="1:18" ht="15" customHeight="1" x14ac:dyDescent="0.2">
      <c r="A125" s="6" t="s">
        <v>1457</v>
      </c>
      <c r="B125" s="6"/>
      <c r="C125" s="1" t="s">
        <v>1812</v>
      </c>
      <c r="D125" s="1"/>
      <c r="E125" s="1"/>
      <c r="F125" s="1">
        <v>279940</v>
      </c>
      <c r="G125" s="252" t="s">
        <v>1418</v>
      </c>
      <c r="H125" s="338">
        <v>800012</v>
      </c>
      <c r="I125" s="183">
        <f t="shared" si="24"/>
        <v>0</v>
      </c>
      <c r="J125" s="17">
        <f t="shared" si="25"/>
        <v>0</v>
      </c>
      <c r="K125" s="343">
        <f t="shared" ref="K125:K131" si="27">+$K$3*0.98</f>
        <v>2.0972</v>
      </c>
      <c r="L125" s="219">
        <v>0.32</v>
      </c>
      <c r="M125" s="219">
        <v>0</v>
      </c>
      <c r="N125" s="13">
        <f t="shared" si="26"/>
        <v>1.7771999999999999</v>
      </c>
      <c r="O125" s="519">
        <f t="shared" si="14"/>
        <v>0</v>
      </c>
      <c r="P125" s="330">
        <f t="shared" si="15"/>
        <v>0</v>
      </c>
    </row>
    <row r="126" spans="1:18" ht="15" customHeight="1" x14ac:dyDescent="0.2">
      <c r="A126" s="6" t="s">
        <v>1457</v>
      </c>
      <c r="B126" s="6"/>
      <c r="C126" s="1" t="s">
        <v>1812</v>
      </c>
      <c r="D126" s="1"/>
      <c r="E126" s="1"/>
      <c r="F126" s="1">
        <v>279940</v>
      </c>
      <c r="G126" s="252" t="s">
        <v>1418</v>
      </c>
      <c r="H126" s="338">
        <v>801349</v>
      </c>
      <c r="I126" s="183">
        <f t="shared" si="24"/>
        <v>0</v>
      </c>
      <c r="J126" s="17">
        <f t="shared" si="25"/>
        <v>0</v>
      </c>
      <c r="K126" s="343">
        <f t="shared" si="27"/>
        <v>2.0972</v>
      </c>
      <c r="L126" s="219">
        <v>0.32</v>
      </c>
      <c r="M126" s="219">
        <v>0</v>
      </c>
      <c r="N126" s="13">
        <f t="shared" si="26"/>
        <v>1.7771999999999999</v>
      </c>
      <c r="O126" s="519">
        <f t="shared" ref="O126:O192" si="28">IF(ISNA(VLOOKUP(H126,CNRGas,5,FALSE)),"na",VLOOKUP(H126,CNRGas,5,FALSE))</f>
        <v>0</v>
      </c>
      <c r="P126" s="330">
        <f t="shared" si="15"/>
        <v>0</v>
      </c>
    </row>
    <row r="127" spans="1:18" ht="15" customHeight="1" x14ac:dyDescent="0.2">
      <c r="A127" s="6" t="s">
        <v>1457</v>
      </c>
      <c r="B127" s="6"/>
      <c r="C127" s="1" t="s">
        <v>1812</v>
      </c>
      <c r="D127" s="1"/>
      <c r="E127" s="1"/>
      <c r="F127" s="1">
        <v>279940</v>
      </c>
      <c r="G127" s="252" t="s">
        <v>1418</v>
      </c>
      <c r="H127" s="338">
        <v>801655</v>
      </c>
      <c r="I127" s="183">
        <f t="shared" si="24"/>
        <v>0</v>
      </c>
      <c r="J127" s="17">
        <f t="shared" si="25"/>
        <v>0</v>
      </c>
      <c r="K127" s="343">
        <f t="shared" si="27"/>
        <v>2.0972</v>
      </c>
      <c r="L127" s="219">
        <v>0.32</v>
      </c>
      <c r="M127" s="219">
        <v>0</v>
      </c>
      <c r="N127" s="13">
        <f t="shared" si="26"/>
        <v>1.7771999999999999</v>
      </c>
      <c r="O127" s="519">
        <f t="shared" si="28"/>
        <v>0</v>
      </c>
      <c r="P127" s="330">
        <f t="shared" si="15"/>
        <v>0</v>
      </c>
    </row>
    <row r="128" spans="1:18" ht="15" customHeight="1" x14ac:dyDescent="0.2">
      <c r="A128" s="6" t="s">
        <v>1457</v>
      </c>
      <c r="B128" s="6"/>
      <c r="C128" s="1" t="s">
        <v>1812</v>
      </c>
      <c r="D128" s="1"/>
      <c r="E128" s="1"/>
      <c r="F128" s="1">
        <v>279940</v>
      </c>
      <c r="G128" s="252" t="s">
        <v>1418</v>
      </c>
      <c r="H128" s="338">
        <v>802867</v>
      </c>
      <c r="I128" s="183">
        <f t="shared" si="24"/>
        <v>0</v>
      </c>
      <c r="J128" s="17">
        <f t="shared" si="25"/>
        <v>0</v>
      </c>
      <c r="K128" s="343">
        <f t="shared" si="27"/>
        <v>2.0972</v>
      </c>
      <c r="L128" s="219">
        <v>0.32</v>
      </c>
      <c r="M128" s="219">
        <v>0</v>
      </c>
      <c r="N128" s="13">
        <f t="shared" si="26"/>
        <v>1.7771999999999999</v>
      </c>
      <c r="O128" s="519">
        <f t="shared" si="28"/>
        <v>0</v>
      </c>
      <c r="P128" s="330">
        <f t="shared" si="15"/>
        <v>0</v>
      </c>
    </row>
    <row r="129" spans="1:18" ht="15" customHeight="1" x14ac:dyDescent="0.2">
      <c r="A129" s="6" t="s">
        <v>1457</v>
      </c>
      <c r="B129" s="6"/>
      <c r="C129" s="1" t="s">
        <v>1812</v>
      </c>
      <c r="D129" s="1"/>
      <c r="E129" s="1"/>
      <c r="F129" s="1">
        <v>279940</v>
      </c>
      <c r="G129" s="252" t="s">
        <v>1418</v>
      </c>
      <c r="H129" s="338">
        <v>808289</v>
      </c>
      <c r="I129" s="183">
        <f t="shared" si="24"/>
        <v>0</v>
      </c>
      <c r="J129" s="17">
        <f t="shared" si="25"/>
        <v>0</v>
      </c>
      <c r="K129" s="343">
        <f t="shared" si="27"/>
        <v>2.0972</v>
      </c>
      <c r="L129" s="219">
        <v>0.32</v>
      </c>
      <c r="M129" s="219">
        <v>0</v>
      </c>
      <c r="N129" s="13">
        <f t="shared" si="26"/>
        <v>1.7771999999999999</v>
      </c>
      <c r="O129" s="519">
        <f t="shared" si="28"/>
        <v>0</v>
      </c>
      <c r="P129" s="330">
        <f t="shared" si="15"/>
        <v>0</v>
      </c>
    </row>
    <row r="130" spans="1:18" ht="15" customHeight="1" x14ac:dyDescent="0.2">
      <c r="A130" s="6" t="s">
        <v>1457</v>
      </c>
      <c r="B130" s="6"/>
      <c r="C130" s="1" t="s">
        <v>1812</v>
      </c>
      <c r="D130" s="1"/>
      <c r="E130" s="1"/>
      <c r="F130" s="1">
        <v>279940</v>
      </c>
      <c r="G130" s="252" t="s">
        <v>1418</v>
      </c>
      <c r="H130" s="338">
        <v>827084</v>
      </c>
      <c r="I130" s="183">
        <f t="shared" si="24"/>
        <v>0</v>
      </c>
      <c r="J130" s="17">
        <f>IF(ISNA(VLOOKUP(H130,CNRGas,3,FALSE)),"na",VLOOKUP(H130,CNRGas,3,FALSE))</f>
        <v>0</v>
      </c>
      <c r="K130" s="343">
        <f t="shared" si="27"/>
        <v>2.0972</v>
      </c>
      <c r="L130" s="219">
        <v>0.32</v>
      </c>
      <c r="M130" s="219">
        <v>0</v>
      </c>
      <c r="N130" s="13">
        <f>+K130-L130-M130</f>
        <v>1.7771999999999999</v>
      </c>
      <c r="O130" s="519">
        <f>IF(ISNA(VLOOKUP(H130,CNRGas,5,FALSE)),"na",VLOOKUP(H130,CNRGas,5,FALSE))</f>
        <v>0</v>
      </c>
      <c r="P130" s="330">
        <f t="shared" si="15"/>
        <v>0</v>
      </c>
    </row>
    <row r="131" spans="1:18" ht="15" customHeight="1" x14ac:dyDescent="0.2">
      <c r="A131" s="6" t="s">
        <v>1457</v>
      </c>
      <c r="B131" s="6"/>
      <c r="C131" s="1" t="s">
        <v>1812</v>
      </c>
      <c r="D131" s="1"/>
      <c r="E131" s="1"/>
      <c r="F131" s="1">
        <v>279940</v>
      </c>
      <c r="G131" s="252" t="s">
        <v>1418</v>
      </c>
      <c r="H131" s="338">
        <v>836853</v>
      </c>
      <c r="I131" s="183">
        <f t="shared" si="24"/>
        <v>0</v>
      </c>
      <c r="J131" s="17">
        <f t="shared" si="25"/>
        <v>0</v>
      </c>
      <c r="K131" s="343">
        <f t="shared" si="27"/>
        <v>2.0972</v>
      </c>
      <c r="L131" s="219">
        <v>0.32</v>
      </c>
      <c r="M131" s="219">
        <v>0</v>
      </c>
      <c r="N131" s="13">
        <f t="shared" si="26"/>
        <v>1.7771999999999999</v>
      </c>
      <c r="O131" s="519">
        <f t="shared" si="28"/>
        <v>0</v>
      </c>
      <c r="P131" s="330">
        <f t="shared" si="15"/>
        <v>0</v>
      </c>
    </row>
    <row r="132" spans="1:18" ht="15" customHeight="1" x14ac:dyDescent="0.2">
      <c r="A132" s="6" t="s">
        <v>1457</v>
      </c>
      <c r="B132" s="6"/>
      <c r="C132" s="736" t="s">
        <v>1387</v>
      </c>
      <c r="D132" s="736"/>
      <c r="E132" s="736"/>
      <c r="F132" s="736">
        <v>280374</v>
      </c>
      <c r="G132" s="588" t="s">
        <v>539</v>
      </c>
      <c r="H132" s="737">
        <v>816602</v>
      </c>
      <c r="I132" s="738" t="str">
        <f t="shared" si="24"/>
        <v>na</v>
      </c>
      <c r="J132" s="584" t="str">
        <f t="shared" si="25"/>
        <v>na</v>
      </c>
      <c r="K132" s="739" t="e">
        <f>+'Special Pricing'!$G$11</f>
        <v>#DIV/0!</v>
      </c>
      <c r="L132" s="740">
        <v>0.32</v>
      </c>
      <c r="M132" s="740">
        <v>0.03</v>
      </c>
      <c r="N132" s="741" t="e">
        <f t="shared" si="26"/>
        <v>#DIV/0!</v>
      </c>
      <c r="O132" s="742" t="str">
        <f t="shared" si="28"/>
        <v>na</v>
      </c>
      <c r="P132" s="330" t="e">
        <f t="shared" si="15"/>
        <v>#DIV/0!</v>
      </c>
      <c r="Q132" s="743" t="s">
        <v>406</v>
      </c>
      <c r="R132" s="135"/>
    </row>
    <row r="133" spans="1:18" ht="15" customHeight="1" x14ac:dyDescent="0.2">
      <c r="A133" s="6" t="s">
        <v>1457</v>
      </c>
      <c r="B133" s="6"/>
      <c r="C133" s="736" t="s">
        <v>1387</v>
      </c>
      <c r="D133" s="736"/>
      <c r="E133" s="736"/>
      <c r="F133" s="736">
        <v>280374</v>
      </c>
      <c r="G133" s="588" t="s">
        <v>539</v>
      </c>
      <c r="H133" s="737">
        <v>817030</v>
      </c>
      <c r="I133" s="738" t="str">
        <f t="shared" si="24"/>
        <v>na</v>
      </c>
      <c r="J133" s="584" t="str">
        <f t="shared" si="25"/>
        <v>na</v>
      </c>
      <c r="K133" s="739" t="e">
        <f>+'Special Pricing'!$G$11</f>
        <v>#DIV/0!</v>
      </c>
      <c r="L133" s="740">
        <v>0.32</v>
      </c>
      <c r="M133" s="740">
        <v>0.03</v>
      </c>
      <c r="N133" s="741" t="e">
        <f t="shared" si="26"/>
        <v>#DIV/0!</v>
      </c>
      <c r="O133" s="742" t="str">
        <f t="shared" si="28"/>
        <v>na</v>
      </c>
      <c r="P133" s="330" t="e">
        <f t="shared" si="15"/>
        <v>#DIV/0!</v>
      </c>
      <c r="Q133" s="743" t="s">
        <v>1509</v>
      </c>
      <c r="R133" s="135"/>
    </row>
    <row r="134" spans="1:18" ht="15" customHeight="1" x14ac:dyDescent="0.2">
      <c r="A134" s="6" t="s">
        <v>1457</v>
      </c>
      <c r="B134" s="6"/>
      <c r="C134" s="736" t="s">
        <v>1387</v>
      </c>
      <c r="D134" s="736"/>
      <c r="E134" s="736"/>
      <c r="F134" s="736">
        <v>280374</v>
      </c>
      <c r="G134" s="588" t="s">
        <v>539</v>
      </c>
      <c r="H134" s="737">
        <v>817503</v>
      </c>
      <c r="I134" s="738" t="str">
        <f t="shared" si="24"/>
        <v>na</v>
      </c>
      <c r="J134" s="584" t="str">
        <f t="shared" si="25"/>
        <v>na</v>
      </c>
      <c r="K134" s="739" t="e">
        <f>+'Special Pricing'!$G$11</f>
        <v>#DIV/0!</v>
      </c>
      <c r="L134" s="740">
        <v>0.32</v>
      </c>
      <c r="M134" s="740">
        <v>0.03</v>
      </c>
      <c r="N134" s="741" t="e">
        <f t="shared" si="26"/>
        <v>#DIV/0!</v>
      </c>
      <c r="O134" s="742" t="str">
        <f t="shared" si="28"/>
        <v>na</v>
      </c>
      <c r="P134" s="330" t="e">
        <f t="shared" ref="P134:P197" si="29">(+N134*J134)-O134</f>
        <v>#DIV/0!</v>
      </c>
      <c r="Q134" s="743" t="s">
        <v>407</v>
      </c>
      <c r="R134" s="47"/>
    </row>
    <row r="135" spans="1:18" ht="15" customHeight="1" x14ac:dyDescent="0.2">
      <c r="A135" s="6" t="s">
        <v>1457</v>
      </c>
      <c r="B135" s="6"/>
      <c r="C135" s="736" t="s">
        <v>1387</v>
      </c>
      <c r="D135" s="736"/>
      <c r="E135" s="736"/>
      <c r="F135" s="736">
        <v>280374</v>
      </c>
      <c r="G135" s="588" t="s">
        <v>539</v>
      </c>
      <c r="H135" s="737">
        <v>817822</v>
      </c>
      <c r="I135" s="738" t="str">
        <f t="shared" si="24"/>
        <v>na</v>
      </c>
      <c r="J135" s="584" t="str">
        <f t="shared" si="25"/>
        <v>na</v>
      </c>
      <c r="K135" s="739" t="e">
        <f>+'Special Pricing'!$G$11</f>
        <v>#DIV/0!</v>
      </c>
      <c r="L135" s="740">
        <v>0.32</v>
      </c>
      <c r="M135" s="740">
        <v>0.03</v>
      </c>
      <c r="N135" s="741" t="e">
        <f t="shared" si="26"/>
        <v>#DIV/0!</v>
      </c>
      <c r="O135" s="742" t="str">
        <f t="shared" si="28"/>
        <v>na</v>
      </c>
      <c r="P135" s="330" t="e">
        <f t="shared" si="29"/>
        <v>#DIV/0!</v>
      </c>
      <c r="Q135" s="743" t="s">
        <v>408</v>
      </c>
      <c r="R135" s="47"/>
    </row>
    <row r="136" spans="1:18" ht="15" customHeight="1" x14ac:dyDescent="0.2">
      <c r="A136" s="6" t="s">
        <v>1457</v>
      </c>
      <c r="B136" s="6"/>
      <c r="C136" s="736" t="s">
        <v>1387</v>
      </c>
      <c r="D136" s="736"/>
      <c r="E136" s="736"/>
      <c r="F136" s="736">
        <v>280374</v>
      </c>
      <c r="G136" s="588" t="s">
        <v>539</v>
      </c>
      <c r="H136" s="737">
        <v>818173</v>
      </c>
      <c r="I136" s="738" t="str">
        <f t="shared" si="24"/>
        <v>na</v>
      </c>
      <c r="J136" s="584" t="str">
        <f t="shared" si="25"/>
        <v>na</v>
      </c>
      <c r="K136" s="739" t="e">
        <f>+'Special Pricing'!$G$11</f>
        <v>#DIV/0!</v>
      </c>
      <c r="L136" s="740">
        <v>0.32</v>
      </c>
      <c r="M136" s="740">
        <v>0.03</v>
      </c>
      <c r="N136" s="741" t="e">
        <f t="shared" si="26"/>
        <v>#DIV/0!</v>
      </c>
      <c r="O136" s="742" t="str">
        <f t="shared" si="28"/>
        <v>na</v>
      </c>
      <c r="P136" s="330" t="e">
        <f t="shared" si="29"/>
        <v>#DIV/0!</v>
      </c>
      <c r="Q136" s="743" t="s">
        <v>409</v>
      </c>
      <c r="R136" s="47"/>
    </row>
    <row r="137" spans="1:18" ht="15" customHeight="1" x14ac:dyDescent="0.2">
      <c r="A137" s="6" t="s">
        <v>1457</v>
      </c>
      <c r="B137" s="6"/>
      <c r="C137" s="736" t="s">
        <v>1387</v>
      </c>
      <c r="D137" s="736"/>
      <c r="E137" s="736"/>
      <c r="F137" s="736">
        <v>280374</v>
      </c>
      <c r="G137" s="588" t="s">
        <v>539</v>
      </c>
      <c r="H137" s="737">
        <v>818902</v>
      </c>
      <c r="I137" s="738" t="str">
        <f t="shared" si="24"/>
        <v>na</v>
      </c>
      <c r="J137" s="584" t="str">
        <f t="shared" si="25"/>
        <v>na</v>
      </c>
      <c r="K137" s="739" t="e">
        <f>+'Special Pricing'!$G$11</f>
        <v>#DIV/0!</v>
      </c>
      <c r="L137" s="740">
        <v>0.32</v>
      </c>
      <c r="M137" s="740">
        <v>0</v>
      </c>
      <c r="N137" s="741" t="e">
        <f t="shared" si="26"/>
        <v>#DIV/0!</v>
      </c>
      <c r="O137" s="742" t="str">
        <f t="shared" si="28"/>
        <v>na</v>
      </c>
      <c r="P137" s="330" t="e">
        <f t="shared" si="29"/>
        <v>#DIV/0!</v>
      </c>
      <c r="Q137" s="743" t="s">
        <v>406</v>
      </c>
      <c r="R137" s="47"/>
    </row>
    <row r="138" spans="1:18" ht="15" customHeight="1" x14ac:dyDescent="0.2">
      <c r="A138" s="6" t="s">
        <v>1457</v>
      </c>
      <c r="B138" s="6"/>
      <c r="C138" s="736" t="s">
        <v>1387</v>
      </c>
      <c r="D138" s="736"/>
      <c r="E138" s="736"/>
      <c r="F138" s="736">
        <v>280374</v>
      </c>
      <c r="G138" s="588" t="s">
        <v>539</v>
      </c>
      <c r="H138" s="737">
        <v>821603</v>
      </c>
      <c r="I138" s="738" t="str">
        <f t="shared" si="24"/>
        <v>na</v>
      </c>
      <c r="J138" s="584" t="str">
        <f t="shared" si="25"/>
        <v>na</v>
      </c>
      <c r="K138" s="739" t="e">
        <f>+'Special Pricing'!$G$11</f>
        <v>#DIV/0!</v>
      </c>
      <c r="L138" s="740">
        <v>0.32</v>
      </c>
      <c r="M138" s="740">
        <v>0.03</v>
      </c>
      <c r="N138" s="741" t="e">
        <f t="shared" si="26"/>
        <v>#DIV/0!</v>
      </c>
      <c r="O138" s="742" t="str">
        <f t="shared" si="28"/>
        <v>na</v>
      </c>
      <c r="P138" s="330" t="e">
        <f t="shared" si="29"/>
        <v>#DIV/0!</v>
      </c>
      <c r="Q138" s="743" t="s">
        <v>1509</v>
      </c>
      <c r="R138" s="135"/>
    </row>
    <row r="139" spans="1:18" ht="15" customHeight="1" x14ac:dyDescent="0.2">
      <c r="A139" s="6" t="s">
        <v>1457</v>
      </c>
      <c r="B139" s="6"/>
      <c r="C139" s="736" t="s">
        <v>1387</v>
      </c>
      <c r="D139" s="736"/>
      <c r="E139" s="736"/>
      <c r="F139" s="736">
        <v>280374</v>
      </c>
      <c r="G139" s="588" t="s">
        <v>539</v>
      </c>
      <c r="H139" s="737">
        <v>824525</v>
      </c>
      <c r="I139" s="738" t="str">
        <f t="shared" si="24"/>
        <v>na</v>
      </c>
      <c r="J139" s="584" t="str">
        <f t="shared" si="25"/>
        <v>na</v>
      </c>
      <c r="K139" s="749" t="e">
        <f>+'Special Pricing'!$G$11</f>
        <v>#DIV/0!</v>
      </c>
      <c r="L139" s="740">
        <v>0.32</v>
      </c>
      <c r="M139" s="740">
        <v>0.03</v>
      </c>
      <c r="N139" s="741" t="e">
        <f t="shared" si="26"/>
        <v>#DIV/0!</v>
      </c>
      <c r="O139" s="742" t="str">
        <f t="shared" si="28"/>
        <v>na</v>
      </c>
      <c r="P139" s="330" t="e">
        <f t="shared" si="29"/>
        <v>#DIV/0!</v>
      </c>
      <c r="Q139" s="743" t="s">
        <v>407</v>
      </c>
      <c r="R139" s="135"/>
    </row>
    <row r="140" spans="1:18" ht="15" customHeight="1" x14ac:dyDescent="0.2">
      <c r="A140" s="6" t="s">
        <v>1457</v>
      </c>
      <c r="B140" s="6"/>
      <c r="C140" s="736" t="s">
        <v>1387</v>
      </c>
      <c r="D140" s="736"/>
      <c r="E140" s="736"/>
      <c r="F140" s="736">
        <v>280374</v>
      </c>
      <c r="G140" s="588" t="s">
        <v>539</v>
      </c>
      <c r="H140" s="737">
        <v>826519</v>
      </c>
      <c r="I140" s="738" t="str">
        <f t="shared" si="24"/>
        <v>na</v>
      </c>
      <c r="J140" s="584" t="str">
        <f t="shared" si="25"/>
        <v>na</v>
      </c>
      <c r="K140" s="739" t="e">
        <f>+'Special Pricing'!$G$11</f>
        <v>#DIV/0!</v>
      </c>
      <c r="L140" s="740">
        <v>0.32</v>
      </c>
      <c r="M140" s="740">
        <v>0.03</v>
      </c>
      <c r="N140" s="741" t="e">
        <f t="shared" si="26"/>
        <v>#DIV/0!</v>
      </c>
      <c r="O140" s="742" t="str">
        <f t="shared" si="28"/>
        <v>na</v>
      </c>
      <c r="P140" s="330" t="e">
        <f t="shared" si="29"/>
        <v>#DIV/0!</v>
      </c>
      <c r="Q140" s="743" t="s">
        <v>408</v>
      </c>
      <c r="R140" s="135"/>
    </row>
    <row r="141" spans="1:18" ht="15" customHeight="1" x14ac:dyDescent="0.2">
      <c r="A141" s="6" t="s">
        <v>1457</v>
      </c>
      <c r="B141" s="6"/>
      <c r="C141" s="736" t="s">
        <v>1387</v>
      </c>
      <c r="D141" s="736"/>
      <c r="E141" s="736"/>
      <c r="F141" s="736">
        <v>280374</v>
      </c>
      <c r="G141" s="588" t="s">
        <v>539</v>
      </c>
      <c r="H141" s="737">
        <v>831719</v>
      </c>
      <c r="I141" s="738" t="str">
        <f t="shared" si="24"/>
        <v>na</v>
      </c>
      <c r="J141" s="584" t="str">
        <f t="shared" si="25"/>
        <v>na</v>
      </c>
      <c r="K141" s="739" t="e">
        <f>+'Special Pricing'!$G$11</f>
        <v>#DIV/0!</v>
      </c>
      <c r="L141" s="740">
        <v>0.32</v>
      </c>
      <c r="M141" s="740">
        <v>0.03</v>
      </c>
      <c r="N141" s="741" t="e">
        <f t="shared" si="26"/>
        <v>#DIV/0!</v>
      </c>
      <c r="O141" s="742" t="str">
        <f t="shared" si="28"/>
        <v>na</v>
      </c>
      <c r="P141" s="330" t="e">
        <f t="shared" si="29"/>
        <v>#DIV/0!</v>
      </c>
      <c r="Q141" s="743" t="s">
        <v>409</v>
      </c>
      <c r="R141" s="135"/>
    </row>
    <row r="142" spans="1:18" ht="15" customHeight="1" x14ac:dyDescent="0.2">
      <c r="A142" s="6" t="s">
        <v>1457</v>
      </c>
      <c r="B142" s="6"/>
      <c r="C142" s="1" t="s">
        <v>888</v>
      </c>
      <c r="D142" s="1"/>
      <c r="E142" s="1"/>
      <c r="F142" s="1">
        <v>163811</v>
      </c>
      <c r="G142" s="9" t="s">
        <v>1453</v>
      </c>
      <c r="H142" s="333">
        <v>801518</v>
      </c>
      <c r="I142" s="183">
        <f t="shared" si="24"/>
        <v>0</v>
      </c>
      <c r="J142" s="17">
        <f t="shared" ref="J142:J147" si="30">IF(ISNA(VLOOKUP(H142,CNRGas,3,FALSE)),"na",VLOOKUP(H142,CNRGas,3,FALSE))</f>
        <v>0</v>
      </c>
      <c r="K142" s="343">
        <f>$K$3</f>
        <v>2.14</v>
      </c>
      <c r="L142" s="219">
        <v>0.32</v>
      </c>
      <c r="M142" s="219">
        <v>0.03</v>
      </c>
      <c r="N142" s="13">
        <f t="shared" ref="N142:N147" si="31">+K142-L142-M142</f>
        <v>1.79</v>
      </c>
      <c r="O142" s="519">
        <f t="shared" si="28"/>
        <v>0</v>
      </c>
      <c r="P142" s="330">
        <f t="shared" si="29"/>
        <v>0</v>
      </c>
      <c r="Q142" s="135"/>
      <c r="R142" s="135"/>
    </row>
    <row r="143" spans="1:18" ht="15" customHeight="1" x14ac:dyDescent="0.2">
      <c r="A143" s="6" t="s">
        <v>1457</v>
      </c>
      <c r="B143" s="6"/>
      <c r="C143" s="1" t="s">
        <v>888</v>
      </c>
      <c r="D143" s="1"/>
      <c r="E143" s="1"/>
      <c r="F143" s="1">
        <v>163811</v>
      </c>
      <c r="G143" s="9" t="s">
        <v>1453</v>
      </c>
      <c r="H143" s="333">
        <v>834659</v>
      </c>
      <c r="I143" s="183">
        <f t="shared" si="24"/>
        <v>0</v>
      </c>
      <c r="J143" s="17">
        <f t="shared" si="30"/>
        <v>0</v>
      </c>
      <c r="K143" s="343">
        <f>$K$3</f>
        <v>2.14</v>
      </c>
      <c r="L143" s="219">
        <v>0.32</v>
      </c>
      <c r="M143" s="219">
        <v>0.03</v>
      </c>
      <c r="N143" s="13">
        <f t="shared" si="31"/>
        <v>1.79</v>
      </c>
      <c r="O143" s="519">
        <f>IF(ISNA(VLOOKUP(H143,CNRGas,5,FALSE)),"na",VLOOKUP(H143,CNRGas,5,FALSE))</f>
        <v>0</v>
      </c>
      <c r="P143" s="330">
        <f t="shared" si="29"/>
        <v>0</v>
      </c>
      <c r="Q143" s="135"/>
      <c r="R143" s="135"/>
    </row>
    <row r="144" spans="1:18" ht="15" customHeight="1" x14ac:dyDescent="0.2">
      <c r="A144" s="6" t="s">
        <v>1457</v>
      </c>
      <c r="B144" s="6"/>
      <c r="C144" s="1" t="s">
        <v>888</v>
      </c>
      <c r="D144" s="1"/>
      <c r="E144" s="1"/>
      <c r="F144" s="1">
        <v>163811</v>
      </c>
      <c r="G144" s="9" t="s">
        <v>1453</v>
      </c>
      <c r="H144" s="333">
        <v>836765</v>
      </c>
      <c r="I144" s="183">
        <f t="shared" si="24"/>
        <v>0</v>
      </c>
      <c r="J144" s="17">
        <f t="shared" si="30"/>
        <v>0</v>
      </c>
      <c r="K144" s="343">
        <f>$K$3</f>
        <v>2.14</v>
      </c>
      <c r="L144" s="219">
        <v>0.32</v>
      </c>
      <c r="M144" s="219">
        <v>0.03</v>
      </c>
      <c r="N144" s="13">
        <f t="shared" si="31"/>
        <v>1.79</v>
      </c>
      <c r="O144" s="519">
        <f t="shared" si="28"/>
        <v>0</v>
      </c>
      <c r="P144" s="330">
        <f t="shared" si="29"/>
        <v>0</v>
      </c>
      <c r="Q144" s="135"/>
      <c r="R144" s="135"/>
    </row>
    <row r="145" spans="1:18" ht="15" customHeight="1" x14ac:dyDescent="0.2">
      <c r="A145" s="6" t="s">
        <v>1457</v>
      </c>
      <c r="B145" s="6"/>
      <c r="C145" s="137" t="s">
        <v>886</v>
      </c>
      <c r="D145" s="1"/>
      <c r="E145" s="1"/>
      <c r="F145" s="1"/>
      <c r="G145" s="252" t="s">
        <v>1454</v>
      </c>
      <c r="H145" s="137">
        <v>800140</v>
      </c>
      <c r="I145" s="183" t="str">
        <f t="shared" si="24"/>
        <v>na</v>
      </c>
      <c r="J145" s="17" t="str">
        <f t="shared" si="30"/>
        <v>na</v>
      </c>
      <c r="K145" s="491">
        <f>+$K$3*0.97</f>
        <v>2.0758000000000001</v>
      </c>
      <c r="L145" s="219">
        <v>0.32</v>
      </c>
      <c r="M145" s="219">
        <v>0</v>
      </c>
      <c r="N145" s="13">
        <f t="shared" si="31"/>
        <v>1.7558</v>
      </c>
      <c r="O145" s="519" t="str">
        <f t="shared" si="28"/>
        <v>na</v>
      </c>
      <c r="P145" s="330" t="e">
        <f t="shared" si="29"/>
        <v>#VALUE!</v>
      </c>
    </row>
    <row r="146" spans="1:18" ht="15" customHeight="1" x14ac:dyDescent="0.2">
      <c r="A146" s="6" t="s">
        <v>1457</v>
      </c>
      <c r="B146" s="6"/>
      <c r="C146" s="137" t="s">
        <v>886</v>
      </c>
      <c r="D146" s="1"/>
      <c r="E146" s="1"/>
      <c r="F146" s="1"/>
      <c r="G146" s="252" t="s">
        <v>1454</v>
      </c>
      <c r="H146" s="137">
        <v>801136</v>
      </c>
      <c r="I146" s="183">
        <f t="shared" si="24"/>
        <v>0</v>
      </c>
      <c r="J146" s="17">
        <f t="shared" si="30"/>
        <v>0</v>
      </c>
      <c r="K146" s="491">
        <f>+$K$3*0.97</f>
        <v>2.0758000000000001</v>
      </c>
      <c r="L146" s="219">
        <v>0.32</v>
      </c>
      <c r="M146" s="219">
        <v>0</v>
      </c>
      <c r="N146" s="13">
        <f t="shared" si="31"/>
        <v>1.7558</v>
      </c>
      <c r="O146" s="519">
        <f t="shared" si="28"/>
        <v>0</v>
      </c>
      <c r="P146" s="330">
        <f t="shared" si="29"/>
        <v>0</v>
      </c>
    </row>
    <row r="147" spans="1:18" ht="15" customHeight="1" x14ac:dyDescent="0.2">
      <c r="A147" s="6" t="s">
        <v>1457</v>
      </c>
      <c r="B147" s="6"/>
      <c r="C147" s="137" t="s">
        <v>886</v>
      </c>
      <c r="D147" s="1"/>
      <c r="E147" s="1"/>
      <c r="F147" s="1"/>
      <c r="G147" s="252" t="s">
        <v>1454</v>
      </c>
      <c r="H147" s="137">
        <v>801596</v>
      </c>
      <c r="I147" s="183">
        <f t="shared" si="24"/>
        <v>0</v>
      </c>
      <c r="J147" s="17">
        <f t="shared" si="30"/>
        <v>0</v>
      </c>
      <c r="K147" s="491">
        <f>+$K$3*0.97</f>
        <v>2.0758000000000001</v>
      </c>
      <c r="L147" s="219">
        <v>0.32</v>
      </c>
      <c r="M147" s="219">
        <v>0</v>
      </c>
      <c r="N147" s="13">
        <f t="shared" si="31"/>
        <v>1.7558</v>
      </c>
      <c r="O147" s="519">
        <f t="shared" si="28"/>
        <v>0</v>
      </c>
      <c r="P147" s="330">
        <f t="shared" si="29"/>
        <v>0</v>
      </c>
    </row>
    <row r="148" spans="1:18" ht="15" customHeight="1" x14ac:dyDescent="0.2">
      <c r="A148" s="6" t="s">
        <v>1457</v>
      </c>
      <c r="B148" s="6"/>
      <c r="C148" s="1" t="s">
        <v>1813</v>
      </c>
      <c r="D148" s="1"/>
      <c r="E148" s="1"/>
      <c r="F148" s="1">
        <v>165355</v>
      </c>
      <c r="G148" s="588" t="s">
        <v>1453</v>
      </c>
      <c r="H148" s="338">
        <v>801689</v>
      </c>
      <c r="I148" s="183" t="str">
        <f t="shared" si="24"/>
        <v>na</v>
      </c>
      <c r="J148" s="17" t="str">
        <f t="shared" si="25"/>
        <v>na</v>
      </c>
      <c r="K148" s="343">
        <f>+$K$3</f>
        <v>2.14</v>
      </c>
      <c r="L148" s="219">
        <v>0.32</v>
      </c>
      <c r="M148" s="219">
        <v>0.03</v>
      </c>
      <c r="N148" s="13">
        <f t="shared" si="26"/>
        <v>1.79</v>
      </c>
      <c r="O148" s="519" t="str">
        <f t="shared" si="28"/>
        <v>na</v>
      </c>
      <c r="P148" s="330" t="e">
        <f t="shared" si="29"/>
        <v>#VALUE!</v>
      </c>
    </row>
    <row r="149" spans="1:18" ht="15" customHeight="1" x14ac:dyDescent="0.2">
      <c r="A149" s="6" t="s">
        <v>1457</v>
      </c>
      <c r="B149" s="6"/>
      <c r="C149" s="1" t="s">
        <v>1813</v>
      </c>
      <c r="D149" s="1"/>
      <c r="E149" s="1"/>
      <c r="F149" s="1">
        <v>165355</v>
      </c>
      <c r="G149" s="588" t="s">
        <v>1453</v>
      </c>
      <c r="H149" s="338">
        <v>818837</v>
      </c>
      <c r="I149" s="183" t="str">
        <f t="shared" si="24"/>
        <v>na</v>
      </c>
      <c r="J149" s="17" t="str">
        <f t="shared" si="25"/>
        <v>na</v>
      </c>
      <c r="K149" s="343">
        <f>+$K$3</f>
        <v>2.14</v>
      </c>
      <c r="L149" s="219">
        <v>0.32</v>
      </c>
      <c r="M149" s="219">
        <v>0.03</v>
      </c>
      <c r="N149" s="13">
        <f t="shared" si="26"/>
        <v>1.79</v>
      </c>
      <c r="O149" s="519" t="str">
        <f t="shared" si="28"/>
        <v>na</v>
      </c>
      <c r="P149" s="330" t="e">
        <f t="shared" si="29"/>
        <v>#VALUE!</v>
      </c>
    </row>
    <row r="150" spans="1:18" ht="15" customHeight="1" x14ac:dyDescent="0.2">
      <c r="A150" s="6" t="s">
        <v>1457</v>
      </c>
      <c r="B150" s="6"/>
      <c r="C150" s="1" t="s">
        <v>1813</v>
      </c>
      <c r="D150" s="1"/>
      <c r="E150" s="1"/>
      <c r="F150" s="1">
        <v>165355</v>
      </c>
      <c r="G150" s="588" t="s">
        <v>1453</v>
      </c>
      <c r="H150" s="338">
        <v>823031</v>
      </c>
      <c r="I150" s="183" t="str">
        <f t="shared" si="24"/>
        <v>na</v>
      </c>
      <c r="J150" s="17" t="str">
        <f t="shared" si="25"/>
        <v>na</v>
      </c>
      <c r="K150" s="343">
        <f>+$K$3</f>
        <v>2.14</v>
      </c>
      <c r="L150" s="219">
        <v>0.32</v>
      </c>
      <c r="M150" s="219">
        <v>0.03</v>
      </c>
      <c r="N150" s="13">
        <f t="shared" si="26"/>
        <v>1.79</v>
      </c>
      <c r="O150" s="519" t="str">
        <f t="shared" si="28"/>
        <v>na</v>
      </c>
      <c r="P150" s="330" t="e">
        <f t="shared" si="29"/>
        <v>#VALUE!</v>
      </c>
    </row>
    <row r="151" spans="1:18" ht="15" customHeight="1" x14ac:dyDescent="0.2">
      <c r="A151" s="6" t="s">
        <v>1457</v>
      </c>
      <c r="B151" s="6"/>
      <c r="C151" s="1" t="s">
        <v>1813</v>
      </c>
      <c r="D151" s="1"/>
      <c r="E151" s="1"/>
      <c r="F151" s="1">
        <v>165355</v>
      </c>
      <c r="G151" s="588" t="s">
        <v>1453</v>
      </c>
      <c r="H151" s="338">
        <v>823032</v>
      </c>
      <c r="I151" s="183" t="str">
        <f t="shared" si="24"/>
        <v>na</v>
      </c>
      <c r="J151" s="17" t="str">
        <f t="shared" si="25"/>
        <v>na</v>
      </c>
      <c r="K151" s="343">
        <f>+$K$3</f>
        <v>2.14</v>
      </c>
      <c r="L151" s="219">
        <v>0.32</v>
      </c>
      <c r="M151" s="219">
        <v>0.03</v>
      </c>
      <c r="N151" s="13">
        <f t="shared" si="26"/>
        <v>1.79</v>
      </c>
      <c r="O151" s="519" t="str">
        <f t="shared" si="28"/>
        <v>na</v>
      </c>
      <c r="P151" s="330" t="e">
        <f t="shared" si="29"/>
        <v>#VALUE!</v>
      </c>
    </row>
    <row r="152" spans="1:18" ht="15" customHeight="1" x14ac:dyDescent="0.2">
      <c r="A152" s="6" t="s">
        <v>1457</v>
      </c>
      <c r="B152" s="6"/>
      <c r="C152" s="1" t="s">
        <v>1777</v>
      </c>
      <c r="D152" s="1"/>
      <c r="E152" s="1"/>
      <c r="F152" s="1"/>
      <c r="G152" s="9" t="s">
        <v>1453</v>
      </c>
      <c r="H152" s="338">
        <v>805080</v>
      </c>
      <c r="I152" s="183">
        <f t="shared" si="24"/>
        <v>0</v>
      </c>
      <c r="J152" s="17">
        <f t="shared" si="25"/>
        <v>945</v>
      </c>
      <c r="K152" s="343">
        <f>+$K$3</f>
        <v>2.14</v>
      </c>
      <c r="L152" s="219">
        <v>0.32</v>
      </c>
      <c r="M152" s="219">
        <v>0</v>
      </c>
      <c r="N152" s="13">
        <f t="shared" si="26"/>
        <v>1.82</v>
      </c>
      <c r="O152" s="519">
        <f t="shared" si="28"/>
        <v>25</v>
      </c>
      <c r="P152" s="330">
        <f t="shared" si="29"/>
        <v>1694.9</v>
      </c>
    </row>
    <row r="153" spans="1:18" ht="15" customHeight="1" x14ac:dyDescent="0.2">
      <c r="A153" s="6" t="s">
        <v>1457</v>
      </c>
      <c r="B153" s="6"/>
      <c r="C153" s="1" t="s">
        <v>1389</v>
      </c>
      <c r="D153" s="1"/>
      <c r="E153" s="1"/>
      <c r="F153" s="1">
        <v>163818</v>
      </c>
      <c r="G153" s="252" t="s">
        <v>1418</v>
      </c>
      <c r="H153" s="338">
        <v>828914</v>
      </c>
      <c r="I153" s="183">
        <f t="shared" si="24"/>
        <v>0</v>
      </c>
      <c r="J153" s="17">
        <f t="shared" si="25"/>
        <v>0</v>
      </c>
      <c r="K153" s="343">
        <f>+$K$3*0.98</f>
        <v>2.0972</v>
      </c>
      <c r="L153" s="219">
        <v>0.32</v>
      </c>
      <c r="M153" s="219">
        <v>0.03</v>
      </c>
      <c r="N153" s="13">
        <f t="shared" si="26"/>
        <v>1.7471999999999999</v>
      </c>
      <c r="O153" s="519">
        <f t="shared" si="28"/>
        <v>0</v>
      </c>
      <c r="P153" s="330">
        <f t="shared" si="29"/>
        <v>0</v>
      </c>
      <c r="Q153" s="269">
        <f t="shared" ref="Q153:Q166" si="32">(-P153)*0.045</f>
        <v>0</v>
      </c>
      <c r="R153" s="269">
        <f t="shared" ref="R153:R166" si="33">+P153+Q153</f>
        <v>0</v>
      </c>
    </row>
    <row r="154" spans="1:18" ht="15" customHeight="1" x14ac:dyDescent="0.2">
      <c r="A154" s="6" t="s">
        <v>1457</v>
      </c>
      <c r="B154" s="6"/>
      <c r="C154" s="1" t="s">
        <v>1754</v>
      </c>
      <c r="D154" s="1"/>
      <c r="E154" s="1"/>
      <c r="F154" s="1">
        <v>163919</v>
      </c>
      <c r="G154" s="252" t="s">
        <v>1823</v>
      </c>
      <c r="H154" s="339">
        <v>801325</v>
      </c>
      <c r="I154" s="183">
        <f t="shared" si="24"/>
        <v>0</v>
      </c>
      <c r="J154" s="17">
        <f t="shared" si="25"/>
        <v>0</v>
      </c>
      <c r="K154" s="343">
        <f t="shared" ref="K154:K166" si="34">+$K$3+0.01</f>
        <v>2.15</v>
      </c>
      <c r="L154" s="219">
        <v>0.32</v>
      </c>
      <c r="M154" s="219">
        <v>0.03</v>
      </c>
      <c r="N154" s="13">
        <f t="shared" si="26"/>
        <v>1.7999999999999998</v>
      </c>
      <c r="O154" s="519">
        <f t="shared" si="28"/>
        <v>0</v>
      </c>
      <c r="P154" s="330">
        <f t="shared" si="29"/>
        <v>0</v>
      </c>
      <c r="Q154" s="269">
        <f t="shared" si="32"/>
        <v>0</v>
      </c>
      <c r="R154" s="269">
        <f t="shared" si="33"/>
        <v>0</v>
      </c>
    </row>
    <row r="155" spans="1:18" ht="15" customHeight="1" x14ac:dyDescent="0.2">
      <c r="A155" s="6" t="s">
        <v>1457</v>
      </c>
      <c r="B155" s="6"/>
      <c r="C155" s="1" t="s">
        <v>1754</v>
      </c>
      <c r="D155" s="1"/>
      <c r="E155" s="1"/>
      <c r="F155" s="1">
        <v>163919</v>
      </c>
      <c r="G155" s="252" t="s">
        <v>1823</v>
      </c>
      <c r="H155" s="312">
        <v>801553</v>
      </c>
      <c r="I155" s="183">
        <f t="shared" si="24"/>
        <v>0</v>
      </c>
      <c r="J155" s="17">
        <f t="shared" si="25"/>
        <v>0</v>
      </c>
      <c r="K155" s="343">
        <f t="shared" si="34"/>
        <v>2.15</v>
      </c>
      <c r="L155" s="219">
        <v>0.32</v>
      </c>
      <c r="M155" s="219">
        <v>0.03</v>
      </c>
      <c r="N155" s="13">
        <f t="shared" si="26"/>
        <v>1.7999999999999998</v>
      </c>
      <c r="O155" s="519">
        <f t="shared" si="28"/>
        <v>0</v>
      </c>
      <c r="P155" s="330">
        <f t="shared" si="29"/>
        <v>0</v>
      </c>
      <c r="Q155" s="269">
        <f t="shared" si="32"/>
        <v>0</v>
      </c>
      <c r="R155" s="269">
        <f t="shared" si="33"/>
        <v>0</v>
      </c>
    </row>
    <row r="156" spans="1:18" ht="15" customHeight="1" x14ac:dyDescent="0.2">
      <c r="A156" s="6" t="s">
        <v>1457</v>
      </c>
      <c r="B156" s="6"/>
      <c r="C156" s="1" t="s">
        <v>1754</v>
      </c>
      <c r="D156" s="1"/>
      <c r="E156" s="1"/>
      <c r="F156" s="1">
        <v>163919</v>
      </c>
      <c r="G156" s="252" t="s">
        <v>1823</v>
      </c>
      <c r="H156" s="339">
        <v>801626</v>
      </c>
      <c r="I156" s="183">
        <f t="shared" si="24"/>
        <v>0</v>
      </c>
      <c r="J156" s="17">
        <f t="shared" si="25"/>
        <v>0</v>
      </c>
      <c r="K156" s="343">
        <f t="shared" si="34"/>
        <v>2.15</v>
      </c>
      <c r="L156" s="219">
        <v>0.32</v>
      </c>
      <c r="M156" s="219">
        <v>0.03</v>
      </c>
      <c r="N156" s="13">
        <f t="shared" si="26"/>
        <v>1.7999999999999998</v>
      </c>
      <c r="O156" s="519">
        <f t="shared" si="28"/>
        <v>0</v>
      </c>
      <c r="P156" s="330">
        <f t="shared" si="29"/>
        <v>0</v>
      </c>
      <c r="Q156" s="269">
        <f t="shared" si="32"/>
        <v>0</v>
      </c>
      <c r="R156" s="269">
        <f t="shared" si="33"/>
        <v>0</v>
      </c>
    </row>
    <row r="157" spans="1:18" ht="15" customHeight="1" x14ac:dyDescent="0.2">
      <c r="A157" s="6" t="s">
        <v>1457</v>
      </c>
      <c r="B157" s="6"/>
      <c r="C157" s="1" t="s">
        <v>1754</v>
      </c>
      <c r="D157" s="1"/>
      <c r="E157" s="1"/>
      <c r="F157" s="1">
        <v>163919</v>
      </c>
      <c r="G157" s="252" t="s">
        <v>1823</v>
      </c>
      <c r="H157" s="312">
        <v>801679</v>
      </c>
      <c r="I157" s="183">
        <f t="shared" si="24"/>
        <v>0</v>
      </c>
      <c r="J157" s="17">
        <f t="shared" si="25"/>
        <v>0</v>
      </c>
      <c r="K157" s="343">
        <f t="shared" si="34"/>
        <v>2.15</v>
      </c>
      <c r="L157" s="219">
        <v>0.32</v>
      </c>
      <c r="M157" s="219">
        <v>0.03</v>
      </c>
      <c r="N157" s="13">
        <f t="shared" si="26"/>
        <v>1.7999999999999998</v>
      </c>
      <c r="O157" s="519">
        <f t="shared" si="28"/>
        <v>0</v>
      </c>
      <c r="P157" s="330">
        <f t="shared" si="29"/>
        <v>0</v>
      </c>
      <c r="Q157" s="269">
        <f t="shared" si="32"/>
        <v>0</v>
      </c>
      <c r="R157" s="269">
        <f t="shared" si="33"/>
        <v>0</v>
      </c>
    </row>
    <row r="158" spans="1:18" ht="15" customHeight="1" x14ac:dyDescent="0.2">
      <c r="A158" s="6" t="s">
        <v>1457</v>
      </c>
      <c r="B158" s="6"/>
      <c r="C158" s="1" t="s">
        <v>1754</v>
      </c>
      <c r="D158" s="1"/>
      <c r="E158" s="1"/>
      <c r="F158" s="1">
        <v>163919</v>
      </c>
      <c r="G158" s="252" t="s">
        <v>1823</v>
      </c>
      <c r="H158" s="312">
        <v>801701</v>
      </c>
      <c r="I158" s="183">
        <f t="shared" si="24"/>
        <v>0</v>
      </c>
      <c r="J158" s="17">
        <f t="shared" si="25"/>
        <v>0</v>
      </c>
      <c r="K158" s="343">
        <f t="shared" si="34"/>
        <v>2.15</v>
      </c>
      <c r="L158" s="219">
        <v>0.32</v>
      </c>
      <c r="M158" s="219">
        <v>0.03</v>
      </c>
      <c r="N158" s="13">
        <f t="shared" si="26"/>
        <v>1.7999999999999998</v>
      </c>
      <c r="O158" s="519">
        <f t="shared" si="28"/>
        <v>0</v>
      </c>
      <c r="P158" s="330">
        <f t="shared" si="29"/>
        <v>0</v>
      </c>
      <c r="Q158" s="269">
        <f t="shared" si="32"/>
        <v>0</v>
      </c>
      <c r="R158" s="269">
        <f t="shared" si="33"/>
        <v>0</v>
      </c>
    </row>
    <row r="159" spans="1:18" ht="15" customHeight="1" x14ac:dyDescent="0.2">
      <c r="A159" s="6" t="s">
        <v>1457</v>
      </c>
      <c r="B159" s="6"/>
      <c r="C159" s="1" t="s">
        <v>1754</v>
      </c>
      <c r="D159" s="1"/>
      <c r="E159" s="1"/>
      <c r="F159" s="1">
        <v>163919</v>
      </c>
      <c r="G159" s="252" t="s">
        <v>1823</v>
      </c>
      <c r="H159" s="312">
        <v>801702</v>
      </c>
      <c r="I159" s="183">
        <f t="shared" si="24"/>
        <v>0</v>
      </c>
      <c r="J159" s="17">
        <f t="shared" si="25"/>
        <v>0</v>
      </c>
      <c r="K159" s="343">
        <f t="shared" si="34"/>
        <v>2.15</v>
      </c>
      <c r="L159" s="219">
        <v>0.32</v>
      </c>
      <c r="M159" s="219">
        <v>0.03</v>
      </c>
      <c r="N159" s="13">
        <f t="shared" si="26"/>
        <v>1.7999999999999998</v>
      </c>
      <c r="O159" s="519">
        <f t="shared" si="28"/>
        <v>0</v>
      </c>
      <c r="P159" s="330">
        <f t="shared" si="29"/>
        <v>0</v>
      </c>
      <c r="Q159" s="269">
        <f t="shared" si="32"/>
        <v>0</v>
      </c>
      <c r="R159" s="269">
        <f t="shared" si="33"/>
        <v>0</v>
      </c>
    </row>
    <row r="160" spans="1:18" ht="15" customHeight="1" x14ac:dyDescent="0.2">
      <c r="A160" s="6" t="s">
        <v>1457</v>
      </c>
      <c r="B160" s="6"/>
      <c r="C160" s="1" t="s">
        <v>1754</v>
      </c>
      <c r="D160" s="1"/>
      <c r="E160" s="1"/>
      <c r="F160" s="1">
        <v>163919</v>
      </c>
      <c r="G160" s="252" t="s">
        <v>1823</v>
      </c>
      <c r="H160" s="312">
        <v>801854</v>
      </c>
      <c r="I160" s="183">
        <f t="shared" si="24"/>
        <v>0</v>
      </c>
      <c r="J160" s="17">
        <f t="shared" si="25"/>
        <v>0</v>
      </c>
      <c r="K160" s="343">
        <f t="shared" si="34"/>
        <v>2.15</v>
      </c>
      <c r="L160" s="219">
        <v>0.32</v>
      </c>
      <c r="M160" s="219">
        <v>0.03</v>
      </c>
      <c r="N160" s="13">
        <f t="shared" si="26"/>
        <v>1.7999999999999998</v>
      </c>
      <c r="O160" s="519">
        <f t="shared" si="28"/>
        <v>0</v>
      </c>
      <c r="P160" s="330">
        <f t="shared" si="29"/>
        <v>0</v>
      </c>
      <c r="Q160" s="269">
        <f t="shared" si="32"/>
        <v>0</v>
      </c>
      <c r="R160" s="269">
        <f t="shared" si="33"/>
        <v>0</v>
      </c>
    </row>
    <row r="161" spans="1:18" ht="15" customHeight="1" x14ac:dyDescent="0.2">
      <c r="A161" s="6" t="s">
        <v>1457</v>
      </c>
      <c r="B161" s="6"/>
      <c r="C161" s="1" t="s">
        <v>1754</v>
      </c>
      <c r="D161" s="1"/>
      <c r="E161" s="1"/>
      <c r="F161" s="1">
        <v>163919</v>
      </c>
      <c r="G161" s="252" t="s">
        <v>1823</v>
      </c>
      <c r="H161" s="339">
        <v>801884</v>
      </c>
      <c r="I161" s="183">
        <f t="shared" si="24"/>
        <v>0</v>
      </c>
      <c r="J161" s="17">
        <f>IF(ISNA(VLOOKUP(H161,CNRGas,3,FALSE)),"na",VLOOKUP(H161,CNRGas,3,FALSE))</f>
        <v>0</v>
      </c>
      <c r="K161" s="343">
        <f t="shared" si="34"/>
        <v>2.15</v>
      </c>
      <c r="L161" s="219">
        <v>0.32</v>
      </c>
      <c r="M161" s="219">
        <v>0.03</v>
      </c>
      <c r="N161" s="13">
        <f>+K161-L161-M161</f>
        <v>1.7999999999999998</v>
      </c>
      <c r="O161" s="519">
        <f t="shared" si="28"/>
        <v>0</v>
      </c>
      <c r="P161" s="330">
        <f t="shared" si="29"/>
        <v>0</v>
      </c>
      <c r="Q161" s="269">
        <f t="shared" si="32"/>
        <v>0</v>
      </c>
      <c r="R161" s="269">
        <f t="shared" si="33"/>
        <v>0</v>
      </c>
    </row>
    <row r="162" spans="1:18" ht="15" customHeight="1" x14ac:dyDescent="0.2">
      <c r="A162" s="6" t="s">
        <v>1457</v>
      </c>
      <c r="B162" s="6"/>
      <c r="C162" s="1" t="s">
        <v>1754</v>
      </c>
      <c r="D162" s="1"/>
      <c r="E162" s="1"/>
      <c r="F162" s="1">
        <v>163919</v>
      </c>
      <c r="G162" s="252" t="s">
        <v>1823</v>
      </c>
      <c r="H162" s="339">
        <v>802027</v>
      </c>
      <c r="I162" s="183">
        <f t="shared" si="24"/>
        <v>0</v>
      </c>
      <c r="J162" s="17">
        <f t="shared" si="25"/>
        <v>0</v>
      </c>
      <c r="K162" s="343">
        <f t="shared" si="34"/>
        <v>2.15</v>
      </c>
      <c r="L162" s="219">
        <v>0.32</v>
      </c>
      <c r="M162" s="219">
        <v>0.03</v>
      </c>
      <c r="N162" s="13">
        <f t="shared" si="26"/>
        <v>1.7999999999999998</v>
      </c>
      <c r="O162" s="519">
        <f t="shared" si="28"/>
        <v>0</v>
      </c>
      <c r="P162" s="330">
        <f t="shared" si="29"/>
        <v>0</v>
      </c>
      <c r="Q162" s="269">
        <f t="shared" si="32"/>
        <v>0</v>
      </c>
      <c r="R162" s="269">
        <f t="shared" si="33"/>
        <v>0</v>
      </c>
    </row>
    <row r="163" spans="1:18" ht="15" customHeight="1" x14ac:dyDescent="0.2">
      <c r="A163" s="6" t="s">
        <v>1457</v>
      </c>
      <c r="B163" s="6"/>
      <c r="C163" s="1" t="s">
        <v>1754</v>
      </c>
      <c r="D163" s="1"/>
      <c r="E163" s="1"/>
      <c r="F163" s="1">
        <v>163919</v>
      </c>
      <c r="G163" s="252" t="s">
        <v>1823</v>
      </c>
      <c r="H163" s="312">
        <v>803940</v>
      </c>
      <c r="I163" s="183">
        <f t="shared" si="24"/>
        <v>0</v>
      </c>
      <c r="J163" s="17">
        <f t="shared" si="25"/>
        <v>0</v>
      </c>
      <c r="K163" s="343">
        <f t="shared" si="34"/>
        <v>2.15</v>
      </c>
      <c r="L163" s="219">
        <v>0.32</v>
      </c>
      <c r="M163" s="219">
        <v>0.03</v>
      </c>
      <c r="N163" s="13">
        <f t="shared" si="26"/>
        <v>1.7999999999999998</v>
      </c>
      <c r="O163" s="519">
        <f t="shared" si="28"/>
        <v>0</v>
      </c>
      <c r="P163" s="330">
        <f t="shared" si="29"/>
        <v>0</v>
      </c>
      <c r="Q163" s="269">
        <f t="shared" si="32"/>
        <v>0</v>
      </c>
      <c r="R163" s="269">
        <f t="shared" si="33"/>
        <v>0</v>
      </c>
    </row>
    <row r="164" spans="1:18" ht="15" customHeight="1" x14ac:dyDescent="0.2">
      <c r="A164" s="6" t="s">
        <v>1457</v>
      </c>
      <c r="B164" s="6"/>
      <c r="C164" s="1" t="s">
        <v>1754</v>
      </c>
      <c r="D164" s="1"/>
      <c r="E164" s="1"/>
      <c r="F164" s="1">
        <v>163919</v>
      </c>
      <c r="G164" s="252" t="s">
        <v>1823</v>
      </c>
      <c r="H164" s="312">
        <v>805403</v>
      </c>
      <c r="I164" s="183">
        <f t="shared" si="24"/>
        <v>0</v>
      </c>
      <c r="J164" s="17">
        <f t="shared" si="25"/>
        <v>0</v>
      </c>
      <c r="K164" s="343">
        <f t="shared" si="34"/>
        <v>2.15</v>
      </c>
      <c r="L164" s="219">
        <v>0.32</v>
      </c>
      <c r="M164" s="219">
        <v>0.03</v>
      </c>
      <c r="N164" s="13">
        <f t="shared" si="26"/>
        <v>1.7999999999999998</v>
      </c>
      <c r="O164" s="519">
        <f t="shared" si="28"/>
        <v>0</v>
      </c>
      <c r="P164" s="330">
        <f t="shared" si="29"/>
        <v>0</v>
      </c>
      <c r="Q164" s="269">
        <f t="shared" si="32"/>
        <v>0</v>
      </c>
      <c r="R164" s="269">
        <f t="shared" si="33"/>
        <v>0</v>
      </c>
    </row>
    <row r="165" spans="1:18" ht="15" customHeight="1" x14ac:dyDescent="0.2">
      <c r="A165" s="6" t="s">
        <v>1457</v>
      </c>
      <c r="B165" s="6"/>
      <c r="C165" s="1" t="s">
        <v>1754</v>
      </c>
      <c r="D165" s="1"/>
      <c r="E165" s="1"/>
      <c r="F165" s="1">
        <v>163919</v>
      </c>
      <c r="G165" s="252" t="s">
        <v>1823</v>
      </c>
      <c r="H165" s="312">
        <v>813828</v>
      </c>
      <c r="I165" s="183">
        <f t="shared" si="24"/>
        <v>0</v>
      </c>
      <c r="J165" s="17">
        <f>IF(ISNA(VLOOKUP(H165,CNRGas,3,FALSE)),"na",VLOOKUP(H165,CNRGas,3,FALSE))</f>
        <v>0</v>
      </c>
      <c r="K165" s="343">
        <f t="shared" si="34"/>
        <v>2.15</v>
      </c>
      <c r="L165" s="219">
        <v>0.32</v>
      </c>
      <c r="M165" s="219">
        <v>0.03</v>
      </c>
      <c r="N165" s="13">
        <f>+K165-L165-M165</f>
        <v>1.7999999999999998</v>
      </c>
      <c r="O165" s="519">
        <f t="shared" si="28"/>
        <v>0</v>
      </c>
      <c r="P165" s="330">
        <f t="shared" si="29"/>
        <v>0</v>
      </c>
      <c r="Q165" s="269">
        <f t="shared" si="32"/>
        <v>0</v>
      </c>
      <c r="R165" s="269">
        <f t="shared" si="33"/>
        <v>0</v>
      </c>
    </row>
    <row r="166" spans="1:18" ht="15" customHeight="1" x14ac:dyDescent="0.2">
      <c r="A166" s="6" t="s">
        <v>1457</v>
      </c>
      <c r="B166" s="6"/>
      <c r="C166" s="1" t="s">
        <v>1754</v>
      </c>
      <c r="D166" s="1"/>
      <c r="E166" s="1"/>
      <c r="F166" s="1">
        <v>163919</v>
      </c>
      <c r="G166" s="252" t="s">
        <v>1823</v>
      </c>
      <c r="H166" s="312">
        <v>816070</v>
      </c>
      <c r="I166" s="183">
        <f t="shared" si="24"/>
        <v>0</v>
      </c>
      <c r="J166" s="17">
        <f>IF(ISNA(VLOOKUP(H166,CNRGas,3,FALSE)),"na",VLOOKUP(H166,CNRGas,3,FALSE))</f>
        <v>0</v>
      </c>
      <c r="K166" s="343">
        <f t="shared" si="34"/>
        <v>2.15</v>
      </c>
      <c r="L166" s="219">
        <v>0.32</v>
      </c>
      <c r="M166" s="219">
        <v>0.03</v>
      </c>
      <c r="N166" s="13">
        <f>+K166-L166-M166</f>
        <v>1.7999999999999998</v>
      </c>
      <c r="O166" s="519">
        <f t="shared" si="28"/>
        <v>0</v>
      </c>
      <c r="P166" s="330">
        <f t="shared" si="29"/>
        <v>0</v>
      </c>
      <c r="Q166" s="269">
        <f t="shared" si="32"/>
        <v>0</v>
      </c>
      <c r="R166" s="269">
        <f t="shared" si="33"/>
        <v>0</v>
      </c>
    </row>
    <row r="167" spans="1:18" ht="15" customHeight="1" x14ac:dyDescent="0.2">
      <c r="A167" s="72" t="s">
        <v>584</v>
      </c>
      <c r="B167" s="335" t="s">
        <v>585</v>
      </c>
      <c r="C167" s="72" t="s">
        <v>586</v>
      </c>
      <c r="D167" s="72">
        <v>44361</v>
      </c>
      <c r="E167" s="72" t="s">
        <v>587</v>
      </c>
      <c r="F167" s="72"/>
      <c r="G167" s="71" t="s">
        <v>588</v>
      </c>
      <c r="H167" s="314">
        <v>800866</v>
      </c>
      <c r="I167" s="183" t="str">
        <f t="shared" si="24"/>
        <v>na</v>
      </c>
      <c r="J167" s="17" t="str">
        <f t="shared" si="25"/>
        <v>na</v>
      </c>
      <c r="K167" s="345">
        <f>$K$3+0.02</f>
        <v>2.16</v>
      </c>
      <c r="L167" s="348">
        <v>0</v>
      </c>
      <c r="M167" s="348">
        <v>0</v>
      </c>
      <c r="N167" s="13">
        <f t="shared" si="26"/>
        <v>2.16</v>
      </c>
      <c r="O167" s="519" t="str">
        <f t="shared" si="28"/>
        <v>na</v>
      </c>
      <c r="P167" s="330" t="e">
        <f t="shared" si="29"/>
        <v>#VALUE!</v>
      </c>
    </row>
    <row r="168" spans="1:18" ht="15" customHeight="1" x14ac:dyDescent="0.2">
      <c r="A168" s="271" t="s">
        <v>1457</v>
      </c>
      <c r="B168" s="271"/>
      <c r="C168" s="271" t="s">
        <v>2081</v>
      </c>
      <c r="D168" s="271"/>
      <c r="E168" s="271"/>
      <c r="F168" s="271">
        <v>163919</v>
      </c>
      <c r="G168" s="270" t="s">
        <v>1823</v>
      </c>
      <c r="H168" s="730">
        <v>804947</v>
      </c>
      <c r="I168" s="731">
        <f t="shared" si="24"/>
        <v>0</v>
      </c>
      <c r="J168" s="88">
        <f>IF(ISNA(VLOOKUP(H168,CNRGas,3,FALSE)),"na",VLOOKUP(H168,CNRGas,3,FALSE))</f>
        <v>0</v>
      </c>
      <c r="K168" s="417">
        <f>+$K$3*0.99</f>
        <v>2.1186000000000003</v>
      </c>
      <c r="L168" s="732">
        <v>0.32</v>
      </c>
      <c r="M168" s="732">
        <v>0</v>
      </c>
      <c r="N168" s="733">
        <f>+K168-L168-M168</f>
        <v>1.7986000000000002</v>
      </c>
      <c r="O168" s="734">
        <f>IF(ISNA(VLOOKUP(H168,CNRGas,5,FALSE)),"na",VLOOKUP(H168,CNRGas,5,FALSE))</f>
        <v>0</v>
      </c>
      <c r="P168" s="330">
        <f t="shared" si="29"/>
        <v>0</v>
      </c>
      <c r="Q168" s="848" t="s">
        <v>462</v>
      </c>
      <c r="R168" s="269"/>
    </row>
    <row r="169" spans="1:18" ht="15" customHeight="1" x14ac:dyDescent="0.2">
      <c r="A169" s="6" t="s">
        <v>1457</v>
      </c>
      <c r="B169" s="6"/>
      <c r="C169" s="250" t="s">
        <v>1765</v>
      </c>
      <c r="D169" s="250"/>
      <c r="E169" s="250"/>
      <c r="F169" s="250">
        <v>164514</v>
      </c>
      <c r="G169" s="185" t="s">
        <v>1711</v>
      </c>
      <c r="H169" s="487">
        <v>805750</v>
      </c>
      <c r="I169" s="488">
        <f t="shared" si="24"/>
        <v>0</v>
      </c>
      <c r="J169" s="159">
        <f t="shared" si="25"/>
        <v>0</v>
      </c>
      <c r="K169" s="703" t="e">
        <f>+'Special Pricing'!$G$377</f>
        <v>#DIV/0!</v>
      </c>
      <c r="L169" s="219">
        <v>0.32</v>
      </c>
      <c r="M169" s="219">
        <v>0</v>
      </c>
      <c r="N169" s="13" t="e">
        <f t="shared" si="26"/>
        <v>#DIV/0!</v>
      </c>
      <c r="O169" s="519">
        <f t="shared" si="28"/>
        <v>0</v>
      </c>
      <c r="P169" s="330" t="e">
        <f t="shared" si="29"/>
        <v>#DIV/0!</v>
      </c>
      <c r="Q169" s="269" t="e">
        <f t="shared" ref="Q169:Q197" si="35">(-P169)*0.045</f>
        <v>#DIV/0!</v>
      </c>
      <c r="R169" s="269" t="e">
        <f t="shared" ref="R169:R197" si="36">+P169+Q169</f>
        <v>#DIV/0!</v>
      </c>
    </row>
    <row r="170" spans="1:18" ht="15" customHeight="1" x14ac:dyDescent="0.2">
      <c r="A170" s="6" t="s">
        <v>1457</v>
      </c>
      <c r="B170" s="6"/>
      <c r="C170" s="250" t="s">
        <v>1765</v>
      </c>
      <c r="D170" s="250"/>
      <c r="E170" s="250"/>
      <c r="F170" s="250">
        <v>164514</v>
      </c>
      <c r="G170" s="185" t="s">
        <v>1711</v>
      </c>
      <c r="H170" s="487">
        <v>825007</v>
      </c>
      <c r="I170" s="488">
        <f t="shared" si="24"/>
        <v>0</v>
      </c>
      <c r="J170" s="159">
        <f t="shared" si="25"/>
        <v>0</v>
      </c>
      <c r="K170" s="703" t="e">
        <f>+'Special Pricing'!$G$377</f>
        <v>#DIV/0!</v>
      </c>
      <c r="L170" s="219">
        <v>0.32</v>
      </c>
      <c r="M170" s="219">
        <v>0</v>
      </c>
      <c r="N170" s="13" t="e">
        <f t="shared" si="26"/>
        <v>#DIV/0!</v>
      </c>
      <c r="O170" s="519">
        <f t="shared" si="28"/>
        <v>0</v>
      </c>
      <c r="P170" s="330" t="e">
        <f t="shared" si="29"/>
        <v>#DIV/0!</v>
      </c>
      <c r="Q170" s="269" t="e">
        <f t="shared" si="35"/>
        <v>#DIV/0!</v>
      </c>
      <c r="R170" s="269" t="e">
        <f t="shared" si="36"/>
        <v>#DIV/0!</v>
      </c>
    </row>
    <row r="171" spans="1:18" ht="15" customHeight="1" x14ac:dyDescent="0.2">
      <c r="A171" s="6" t="s">
        <v>1457</v>
      </c>
      <c r="B171" s="6"/>
      <c r="C171" s="250" t="s">
        <v>1765</v>
      </c>
      <c r="D171" s="250"/>
      <c r="E171" s="250"/>
      <c r="F171" s="250">
        <v>164514</v>
      </c>
      <c r="G171" s="185" t="s">
        <v>1711</v>
      </c>
      <c r="H171" s="487">
        <v>828425</v>
      </c>
      <c r="I171" s="488">
        <f t="shared" si="24"/>
        <v>0</v>
      </c>
      <c r="J171" s="159">
        <f t="shared" si="25"/>
        <v>0</v>
      </c>
      <c r="K171" s="703" t="e">
        <f>+'Special Pricing'!$G$377</f>
        <v>#DIV/0!</v>
      </c>
      <c r="L171" s="219">
        <v>0.32</v>
      </c>
      <c r="M171" s="219">
        <v>0</v>
      </c>
      <c r="N171" s="13" t="e">
        <f t="shared" si="26"/>
        <v>#DIV/0!</v>
      </c>
      <c r="O171" s="519">
        <f t="shared" si="28"/>
        <v>0</v>
      </c>
      <c r="P171" s="330" t="e">
        <f t="shared" si="29"/>
        <v>#DIV/0!</v>
      </c>
      <c r="Q171" s="269" t="e">
        <f t="shared" si="35"/>
        <v>#DIV/0!</v>
      </c>
      <c r="R171" s="269" t="e">
        <f t="shared" si="36"/>
        <v>#DIV/0!</v>
      </c>
    </row>
    <row r="172" spans="1:18" ht="15" customHeight="1" x14ac:dyDescent="0.2">
      <c r="A172" s="6" t="s">
        <v>1457</v>
      </c>
      <c r="B172" s="6"/>
      <c r="C172" s="250" t="s">
        <v>1765</v>
      </c>
      <c r="D172" s="250"/>
      <c r="E172" s="250"/>
      <c r="F172" s="250">
        <v>164514</v>
      </c>
      <c r="G172" s="185" t="s">
        <v>1711</v>
      </c>
      <c r="H172" s="487">
        <v>828498</v>
      </c>
      <c r="I172" s="488">
        <f t="shared" si="24"/>
        <v>0</v>
      </c>
      <c r="J172" s="159">
        <f t="shared" si="25"/>
        <v>0</v>
      </c>
      <c r="K172" s="703" t="e">
        <f>+'Special Pricing'!$G$377</f>
        <v>#DIV/0!</v>
      </c>
      <c r="L172" s="219">
        <v>0.32</v>
      </c>
      <c r="M172" s="219">
        <v>0</v>
      </c>
      <c r="N172" s="13" t="e">
        <f t="shared" si="26"/>
        <v>#DIV/0!</v>
      </c>
      <c r="O172" s="519">
        <f t="shared" si="28"/>
        <v>0</v>
      </c>
      <c r="P172" s="330" t="e">
        <f t="shared" si="29"/>
        <v>#DIV/0!</v>
      </c>
      <c r="Q172" s="269" t="e">
        <f t="shared" si="35"/>
        <v>#DIV/0!</v>
      </c>
      <c r="R172" s="269" t="e">
        <f t="shared" si="36"/>
        <v>#DIV/0!</v>
      </c>
    </row>
    <row r="173" spans="1:18" ht="15" customHeight="1" x14ac:dyDescent="0.2">
      <c r="A173" s="6" t="s">
        <v>1457</v>
      </c>
      <c r="B173" s="6"/>
      <c r="C173" s="250" t="s">
        <v>1765</v>
      </c>
      <c r="D173" s="250"/>
      <c r="E173" s="250"/>
      <c r="F173" s="250">
        <v>164514</v>
      </c>
      <c r="G173" s="185" t="s">
        <v>1711</v>
      </c>
      <c r="H173" s="487">
        <v>829439</v>
      </c>
      <c r="I173" s="488">
        <f t="shared" si="24"/>
        <v>0</v>
      </c>
      <c r="J173" s="159">
        <f t="shared" si="25"/>
        <v>0</v>
      </c>
      <c r="K173" s="703" t="e">
        <f>+'Special Pricing'!$G$377</f>
        <v>#DIV/0!</v>
      </c>
      <c r="L173" s="219">
        <v>0.32</v>
      </c>
      <c r="M173" s="219">
        <v>0</v>
      </c>
      <c r="N173" s="13" t="e">
        <f t="shared" si="26"/>
        <v>#DIV/0!</v>
      </c>
      <c r="O173" s="519">
        <f t="shared" si="28"/>
        <v>0</v>
      </c>
      <c r="P173" s="330" t="e">
        <f t="shared" si="29"/>
        <v>#DIV/0!</v>
      </c>
      <c r="Q173" s="269" t="e">
        <f t="shared" si="35"/>
        <v>#DIV/0!</v>
      </c>
      <c r="R173" s="269" t="e">
        <f t="shared" si="36"/>
        <v>#DIV/0!</v>
      </c>
    </row>
    <row r="174" spans="1:18" ht="15" customHeight="1" x14ac:dyDescent="0.2">
      <c r="A174" s="6" t="s">
        <v>1457</v>
      </c>
      <c r="B174" s="6"/>
      <c r="C174" s="250" t="s">
        <v>1765</v>
      </c>
      <c r="D174" s="250"/>
      <c r="E174" s="250"/>
      <c r="F174" s="250">
        <v>164514</v>
      </c>
      <c r="G174" s="185" t="s">
        <v>1711</v>
      </c>
      <c r="H174" s="487">
        <v>829440</v>
      </c>
      <c r="I174" s="488">
        <f t="shared" si="24"/>
        <v>0</v>
      </c>
      <c r="J174" s="159">
        <f t="shared" si="25"/>
        <v>0</v>
      </c>
      <c r="K174" s="703" t="e">
        <f>+'Special Pricing'!$G$377</f>
        <v>#DIV/0!</v>
      </c>
      <c r="L174" s="219">
        <v>0.32</v>
      </c>
      <c r="M174" s="219">
        <v>0</v>
      </c>
      <c r="N174" s="13" t="e">
        <f t="shared" si="26"/>
        <v>#DIV/0!</v>
      </c>
      <c r="O174" s="519">
        <f t="shared" si="28"/>
        <v>0</v>
      </c>
      <c r="P174" s="330" t="e">
        <f t="shared" si="29"/>
        <v>#DIV/0!</v>
      </c>
      <c r="Q174" s="269" t="e">
        <f t="shared" si="35"/>
        <v>#DIV/0!</v>
      </c>
      <c r="R174" s="269" t="e">
        <f t="shared" si="36"/>
        <v>#DIV/0!</v>
      </c>
    </row>
    <row r="175" spans="1:18" ht="15" customHeight="1" x14ac:dyDescent="0.2">
      <c r="A175" s="6" t="s">
        <v>1457</v>
      </c>
      <c r="B175" s="6"/>
      <c r="C175" s="250" t="s">
        <v>1765</v>
      </c>
      <c r="D175" s="250"/>
      <c r="E175" s="250"/>
      <c r="F175" s="250">
        <v>164514</v>
      </c>
      <c r="G175" s="185" t="s">
        <v>1711</v>
      </c>
      <c r="H175" s="487">
        <v>829799</v>
      </c>
      <c r="I175" s="488">
        <f t="shared" si="24"/>
        <v>0</v>
      </c>
      <c r="J175" s="159">
        <f t="shared" si="25"/>
        <v>0</v>
      </c>
      <c r="K175" s="703" t="e">
        <f>+'Special Pricing'!$G$377</f>
        <v>#DIV/0!</v>
      </c>
      <c r="L175" s="219">
        <v>0.32</v>
      </c>
      <c r="M175" s="219">
        <v>0</v>
      </c>
      <c r="N175" s="13" t="e">
        <f t="shared" si="26"/>
        <v>#DIV/0!</v>
      </c>
      <c r="O175" s="519">
        <f t="shared" si="28"/>
        <v>0</v>
      </c>
      <c r="P175" s="330" t="e">
        <f t="shared" si="29"/>
        <v>#DIV/0!</v>
      </c>
      <c r="Q175" s="269" t="e">
        <f t="shared" si="35"/>
        <v>#DIV/0!</v>
      </c>
      <c r="R175" s="269" t="e">
        <f t="shared" si="36"/>
        <v>#DIV/0!</v>
      </c>
    </row>
    <row r="176" spans="1:18" ht="15" customHeight="1" x14ac:dyDescent="0.2">
      <c r="A176" s="6" t="s">
        <v>1457</v>
      </c>
      <c r="B176" s="6"/>
      <c r="C176" s="250" t="s">
        <v>1765</v>
      </c>
      <c r="D176" s="250"/>
      <c r="E176" s="250"/>
      <c r="F176" s="250">
        <v>164514</v>
      </c>
      <c r="G176" s="185" t="s">
        <v>1711</v>
      </c>
      <c r="H176" s="487">
        <v>829800</v>
      </c>
      <c r="I176" s="488">
        <f t="shared" si="24"/>
        <v>0</v>
      </c>
      <c r="J176" s="159">
        <f t="shared" si="25"/>
        <v>0</v>
      </c>
      <c r="K176" s="703" t="e">
        <f>+'Special Pricing'!$G$377</f>
        <v>#DIV/0!</v>
      </c>
      <c r="L176" s="219">
        <v>0.32</v>
      </c>
      <c r="M176" s="219">
        <v>0</v>
      </c>
      <c r="N176" s="13" t="e">
        <f t="shared" si="26"/>
        <v>#DIV/0!</v>
      </c>
      <c r="O176" s="519">
        <f t="shared" si="28"/>
        <v>0</v>
      </c>
      <c r="P176" s="330" t="e">
        <f t="shared" si="29"/>
        <v>#DIV/0!</v>
      </c>
      <c r="Q176" s="269" t="e">
        <f t="shared" si="35"/>
        <v>#DIV/0!</v>
      </c>
      <c r="R176" s="269" t="e">
        <f t="shared" si="36"/>
        <v>#DIV/0!</v>
      </c>
    </row>
    <row r="177" spans="1:18" s="135" customFormat="1" ht="15" customHeight="1" x14ac:dyDescent="0.2">
      <c r="A177" s="6" t="s">
        <v>1457</v>
      </c>
      <c r="B177" s="6"/>
      <c r="C177" s="250" t="s">
        <v>1765</v>
      </c>
      <c r="D177" s="250"/>
      <c r="E177" s="250"/>
      <c r="F177" s="250">
        <v>164514</v>
      </c>
      <c r="G177" s="185" t="s">
        <v>1711</v>
      </c>
      <c r="H177" s="487">
        <v>829802</v>
      </c>
      <c r="I177" s="488">
        <f t="shared" si="24"/>
        <v>0</v>
      </c>
      <c r="J177" s="159">
        <f t="shared" si="25"/>
        <v>0</v>
      </c>
      <c r="K177" s="703" t="e">
        <f>+'Special Pricing'!$G$377</f>
        <v>#DIV/0!</v>
      </c>
      <c r="L177" s="219">
        <v>0.32</v>
      </c>
      <c r="M177" s="219">
        <v>0</v>
      </c>
      <c r="N177" s="13" t="e">
        <f t="shared" si="26"/>
        <v>#DIV/0!</v>
      </c>
      <c r="O177" s="519">
        <f t="shared" si="28"/>
        <v>0</v>
      </c>
      <c r="P177" s="330" t="e">
        <f t="shared" si="29"/>
        <v>#DIV/0!</v>
      </c>
      <c r="Q177" s="269" t="e">
        <f t="shared" si="35"/>
        <v>#DIV/0!</v>
      </c>
      <c r="R177" s="269" t="e">
        <f t="shared" si="36"/>
        <v>#DIV/0!</v>
      </c>
    </row>
    <row r="178" spans="1:18" s="135" customFormat="1" ht="15" customHeight="1" x14ac:dyDescent="0.2">
      <c r="A178" s="6" t="s">
        <v>1457</v>
      </c>
      <c r="B178" s="6"/>
      <c r="C178" s="250" t="s">
        <v>1765</v>
      </c>
      <c r="D178" s="250"/>
      <c r="E178" s="250"/>
      <c r="F178" s="250">
        <v>164514</v>
      </c>
      <c r="G178" s="185" t="s">
        <v>1711</v>
      </c>
      <c r="H178" s="487">
        <v>830134</v>
      </c>
      <c r="I178" s="488">
        <f t="shared" si="24"/>
        <v>0</v>
      </c>
      <c r="J178" s="159">
        <f t="shared" si="25"/>
        <v>0</v>
      </c>
      <c r="K178" s="703" t="e">
        <f>+'Special Pricing'!$G$377</f>
        <v>#DIV/0!</v>
      </c>
      <c r="L178" s="219">
        <v>0.32</v>
      </c>
      <c r="M178" s="219">
        <v>0</v>
      </c>
      <c r="N178" s="13" t="e">
        <f t="shared" si="26"/>
        <v>#DIV/0!</v>
      </c>
      <c r="O178" s="519">
        <f t="shared" si="28"/>
        <v>0</v>
      </c>
      <c r="P178" s="330" t="e">
        <f t="shared" si="29"/>
        <v>#DIV/0!</v>
      </c>
      <c r="Q178" s="269" t="e">
        <f t="shared" si="35"/>
        <v>#DIV/0!</v>
      </c>
      <c r="R178" s="269" t="e">
        <f t="shared" si="36"/>
        <v>#DIV/0!</v>
      </c>
    </row>
    <row r="179" spans="1:18" ht="15" customHeight="1" x14ac:dyDescent="0.2">
      <c r="A179" s="6" t="s">
        <v>1457</v>
      </c>
      <c r="B179" s="6"/>
      <c r="C179" s="250" t="s">
        <v>1765</v>
      </c>
      <c r="D179" s="250"/>
      <c r="E179" s="250"/>
      <c r="F179" s="250">
        <v>164514</v>
      </c>
      <c r="G179" s="185" t="s">
        <v>1711</v>
      </c>
      <c r="H179" s="487">
        <v>830141</v>
      </c>
      <c r="I179" s="488">
        <f t="shared" si="24"/>
        <v>0</v>
      </c>
      <c r="J179" s="159">
        <f t="shared" si="25"/>
        <v>0</v>
      </c>
      <c r="K179" s="703" t="e">
        <f>+'Special Pricing'!$G$377</f>
        <v>#DIV/0!</v>
      </c>
      <c r="L179" s="219">
        <v>0.32</v>
      </c>
      <c r="M179" s="219">
        <v>0</v>
      </c>
      <c r="N179" s="13" t="e">
        <f t="shared" si="26"/>
        <v>#DIV/0!</v>
      </c>
      <c r="O179" s="519">
        <f t="shared" si="28"/>
        <v>0</v>
      </c>
      <c r="P179" s="330" t="e">
        <f t="shared" si="29"/>
        <v>#DIV/0!</v>
      </c>
      <c r="Q179" s="269" t="e">
        <f t="shared" si="35"/>
        <v>#DIV/0!</v>
      </c>
      <c r="R179" s="269" t="e">
        <f t="shared" si="36"/>
        <v>#DIV/0!</v>
      </c>
    </row>
    <row r="180" spans="1:18" ht="15" customHeight="1" x14ac:dyDescent="0.2">
      <c r="A180" s="6" t="s">
        <v>1457</v>
      </c>
      <c r="B180" s="6"/>
      <c r="C180" s="250" t="s">
        <v>1765</v>
      </c>
      <c r="D180" s="250"/>
      <c r="E180" s="250"/>
      <c r="F180" s="250">
        <v>164514</v>
      </c>
      <c r="G180" s="185" t="s">
        <v>1711</v>
      </c>
      <c r="H180" s="487">
        <v>830152</v>
      </c>
      <c r="I180" s="488">
        <f t="shared" si="24"/>
        <v>0</v>
      </c>
      <c r="J180" s="159">
        <f t="shared" si="25"/>
        <v>0</v>
      </c>
      <c r="K180" s="703" t="e">
        <f>+'Special Pricing'!$G$377</f>
        <v>#DIV/0!</v>
      </c>
      <c r="L180" s="219">
        <v>0.32</v>
      </c>
      <c r="M180" s="219">
        <v>0</v>
      </c>
      <c r="N180" s="13" t="e">
        <f t="shared" si="26"/>
        <v>#DIV/0!</v>
      </c>
      <c r="O180" s="519">
        <f t="shared" si="28"/>
        <v>0</v>
      </c>
      <c r="P180" s="330" t="e">
        <f t="shared" si="29"/>
        <v>#DIV/0!</v>
      </c>
      <c r="Q180" s="269" t="e">
        <f t="shared" si="35"/>
        <v>#DIV/0!</v>
      </c>
      <c r="R180" s="269" t="e">
        <f t="shared" si="36"/>
        <v>#DIV/0!</v>
      </c>
    </row>
    <row r="181" spans="1:18" ht="15" customHeight="1" x14ac:dyDescent="0.2">
      <c r="A181" s="6" t="s">
        <v>1457</v>
      </c>
      <c r="B181" s="6"/>
      <c r="C181" s="250" t="s">
        <v>1765</v>
      </c>
      <c r="D181" s="250"/>
      <c r="E181" s="250"/>
      <c r="F181" s="250">
        <v>164514</v>
      </c>
      <c r="G181" s="185" t="s">
        <v>1711</v>
      </c>
      <c r="H181" s="487">
        <v>830153</v>
      </c>
      <c r="I181" s="488">
        <f t="shared" si="24"/>
        <v>0</v>
      </c>
      <c r="J181" s="159">
        <f t="shared" si="25"/>
        <v>0</v>
      </c>
      <c r="K181" s="703" t="e">
        <f>+'Special Pricing'!$G$377</f>
        <v>#DIV/0!</v>
      </c>
      <c r="L181" s="219">
        <v>0.32</v>
      </c>
      <c r="M181" s="219">
        <v>0</v>
      </c>
      <c r="N181" s="13" t="e">
        <f t="shared" si="26"/>
        <v>#DIV/0!</v>
      </c>
      <c r="O181" s="519">
        <f t="shared" si="28"/>
        <v>0</v>
      </c>
      <c r="P181" s="330" t="e">
        <f t="shared" si="29"/>
        <v>#DIV/0!</v>
      </c>
      <c r="Q181" s="269" t="e">
        <f t="shared" si="35"/>
        <v>#DIV/0!</v>
      </c>
      <c r="R181" s="269" t="e">
        <f t="shared" si="36"/>
        <v>#DIV/0!</v>
      </c>
    </row>
    <row r="182" spans="1:18" ht="15" customHeight="1" x14ac:dyDescent="0.2">
      <c r="A182" s="6" t="s">
        <v>1457</v>
      </c>
      <c r="B182" s="6"/>
      <c r="C182" s="250" t="s">
        <v>1765</v>
      </c>
      <c r="D182" s="250"/>
      <c r="E182" s="250"/>
      <c r="F182" s="250">
        <v>164514</v>
      </c>
      <c r="G182" s="185" t="s">
        <v>1711</v>
      </c>
      <c r="H182" s="487">
        <v>830487</v>
      </c>
      <c r="I182" s="488">
        <f t="shared" si="24"/>
        <v>0</v>
      </c>
      <c r="J182" s="159">
        <f t="shared" si="25"/>
        <v>0</v>
      </c>
      <c r="K182" s="703" t="e">
        <f>+'Special Pricing'!$G$377</f>
        <v>#DIV/0!</v>
      </c>
      <c r="L182" s="219">
        <v>0.32</v>
      </c>
      <c r="M182" s="219">
        <v>0</v>
      </c>
      <c r="N182" s="13" t="e">
        <f t="shared" si="26"/>
        <v>#DIV/0!</v>
      </c>
      <c r="O182" s="519">
        <f t="shared" si="28"/>
        <v>0</v>
      </c>
      <c r="P182" s="330" t="e">
        <f t="shared" si="29"/>
        <v>#DIV/0!</v>
      </c>
      <c r="Q182" s="269" t="e">
        <f t="shared" si="35"/>
        <v>#DIV/0!</v>
      </c>
      <c r="R182" s="269" t="e">
        <f t="shared" si="36"/>
        <v>#DIV/0!</v>
      </c>
    </row>
    <row r="183" spans="1:18" ht="15" customHeight="1" x14ac:dyDescent="0.2">
      <c r="A183" s="6" t="s">
        <v>1457</v>
      </c>
      <c r="B183" s="6"/>
      <c r="C183" s="250" t="s">
        <v>1765</v>
      </c>
      <c r="D183" s="250"/>
      <c r="E183" s="250"/>
      <c r="F183" s="250">
        <v>164514</v>
      </c>
      <c r="G183" s="185" t="s">
        <v>1711</v>
      </c>
      <c r="H183" s="487">
        <v>830489</v>
      </c>
      <c r="I183" s="488">
        <f t="shared" si="24"/>
        <v>0</v>
      </c>
      <c r="J183" s="159">
        <f t="shared" si="25"/>
        <v>0</v>
      </c>
      <c r="K183" s="703" t="e">
        <f>+'Special Pricing'!$G$377</f>
        <v>#DIV/0!</v>
      </c>
      <c r="L183" s="219">
        <v>0.32</v>
      </c>
      <c r="M183" s="219">
        <v>0</v>
      </c>
      <c r="N183" s="13" t="e">
        <f t="shared" si="26"/>
        <v>#DIV/0!</v>
      </c>
      <c r="O183" s="519">
        <f t="shared" si="28"/>
        <v>0</v>
      </c>
      <c r="P183" s="330" t="e">
        <f t="shared" si="29"/>
        <v>#DIV/0!</v>
      </c>
      <c r="Q183" s="269" t="e">
        <f t="shared" si="35"/>
        <v>#DIV/0!</v>
      </c>
      <c r="R183" s="269" t="e">
        <f t="shared" si="36"/>
        <v>#DIV/0!</v>
      </c>
    </row>
    <row r="184" spans="1:18" ht="15" customHeight="1" x14ac:dyDescent="0.2">
      <c r="A184" s="6" t="s">
        <v>1457</v>
      </c>
      <c r="B184" s="6"/>
      <c r="C184" s="250" t="s">
        <v>1765</v>
      </c>
      <c r="D184" s="250"/>
      <c r="E184" s="250"/>
      <c r="F184" s="250">
        <v>164514</v>
      </c>
      <c r="G184" s="185" t="s">
        <v>1711</v>
      </c>
      <c r="H184" s="487">
        <v>833444</v>
      </c>
      <c r="I184" s="488">
        <f t="shared" si="24"/>
        <v>0</v>
      </c>
      <c r="J184" s="159">
        <f t="shared" si="25"/>
        <v>0</v>
      </c>
      <c r="K184" s="703" t="e">
        <f>+'Special Pricing'!$G$377</f>
        <v>#DIV/0!</v>
      </c>
      <c r="L184" s="219">
        <v>0.32</v>
      </c>
      <c r="M184" s="219">
        <v>0</v>
      </c>
      <c r="N184" s="13" t="e">
        <f t="shared" si="26"/>
        <v>#DIV/0!</v>
      </c>
      <c r="O184" s="519">
        <f t="shared" si="28"/>
        <v>0</v>
      </c>
      <c r="P184" s="330" t="e">
        <f t="shared" si="29"/>
        <v>#DIV/0!</v>
      </c>
      <c r="Q184" s="269" t="e">
        <f t="shared" si="35"/>
        <v>#DIV/0!</v>
      </c>
      <c r="R184" s="269" t="e">
        <f t="shared" si="36"/>
        <v>#DIV/0!</v>
      </c>
    </row>
    <row r="185" spans="1:18" ht="15" customHeight="1" x14ac:dyDescent="0.2">
      <c r="A185" s="6" t="s">
        <v>1457</v>
      </c>
      <c r="B185" s="6"/>
      <c r="C185" s="250" t="s">
        <v>1765</v>
      </c>
      <c r="D185" s="250"/>
      <c r="E185" s="250"/>
      <c r="F185" s="250">
        <v>164514</v>
      </c>
      <c r="G185" s="185" t="s">
        <v>1711</v>
      </c>
      <c r="H185" s="487">
        <v>833475</v>
      </c>
      <c r="I185" s="488">
        <f t="shared" si="24"/>
        <v>0</v>
      </c>
      <c r="J185" s="159">
        <f t="shared" si="25"/>
        <v>0</v>
      </c>
      <c r="K185" s="703" t="e">
        <f>+'Special Pricing'!$G$377</f>
        <v>#DIV/0!</v>
      </c>
      <c r="L185" s="219">
        <v>0.32</v>
      </c>
      <c r="M185" s="219">
        <v>0</v>
      </c>
      <c r="N185" s="13" t="e">
        <f t="shared" si="26"/>
        <v>#DIV/0!</v>
      </c>
      <c r="O185" s="519">
        <f t="shared" si="28"/>
        <v>0</v>
      </c>
      <c r="P185" s="330" t="e">
        <f t="shared" si="29"/>
        <v>#DIV/0!</v>
      </c>
      <c r="Q185" s="269" t="e">
        <f t="shared" si="35"/>
        <v>#DIV/0!</v>
      </c>
      <c r="R185" s="269" t="e">
        <f t="shared" si="36"/>
        <v>#DIV/0!</v>
      </c>
    </row>
    <row r="186" spans="1:18" ht="15" customHeight="1" x14ac:dyDescent="0.2">
      <c r="A186" s="6" t="s">
        <v>1457</v>
      </c>
      <c r="B186" s="6"/>
      <c r="C186" s="250" t="s">
        <v>1765</v>
      </c>
      <c r="D186" s="250"/>
      <c r="E186" s="250"/>
      <c r="F186" s="250">
        <v>164514</v>
      </c>
      <c r="G186" s="185" t="s">
        <v>1711</v>
      </c>
      <c r="H186" s="487">
        <v>833564</v>
      </c>
      <c r="I186" s="488">
        <f t="shared" si="24"/>
        <v>0</v>
      </c>
      <c r="J186" s="159">
        <f t="shared" si="25"/>
        <v>0</v>
      </c>
      <c r="K186" s="703" t="e">
        <f>+'Special Pricing'!$G$377</f>
        <v>#DIV/0!</v>
      </c>
      <c r="L186" s="219">
        <v>0.32</v>
      </c>
      <c r="M186" s="219">
        <v>0</v>
      </c>
      <c r="N186" s="13" t="e">
        <f t="shared" si="26"/>
        <v>#DIV/0!</v>
      </c>
      <c r="O186" s="519">
        <f t="shared" si="28"/>
        <v>0</v>
      </c>
      <c r="P186" s="330" t="e">
        <f t="shared" si="29"/>
        <v>#DIV/0!</v>
      </c>
      <c r="Q186" s="269" t="e">
        <f t="shared" si="35"/>
        <v>#DIV/0!</v>
      </c>
      <c r="R186" s="269" t="e">
        <f t="shared" si="36"/>
        <v>#DIV/0!</v>
      </c>
    </row>
    <row r="187" spans="1:18" ht="15" customHeight="1" x14ac:dyDescent="0.2">
      <c r="A187" s="6" t="s">
        <v>1457</v>
      </c>
      <c r="B187" s="6"/>
      <c r="C187" s="250" t="s">
        <v>1765</v>
      </c>
      <c r="D187" s="250"/>
      <c r="E187" s="250"/>
      <c r="F187" s="250">
        <v>164514</v>
      </c>
      <c r="G187" s="185" t="s">
        <v>1711</v>
      </c>
      <c r="H187" s="487">
        <v>833567</v>
      </c>
      <c r="I187" s="488">
        <f t="shared" si="24"/>
        <v>0</v>
      </c>
      <c r="J187" s="159">
        <f t="shared" si="25"/>
        <v>0</v>
      </c>
      <c r="K187" s="703" t="e">
        <f>+'Special Pricing'!$G$377</f>
        <v>#DIV/0!</v>
      </c>
      <c r="L187" s="219">
        <v>0.32</v>
      </c>
      <c r="M187" s="219">
        <v>0</v>
      </c>
      <c r="N187" s="13" t="e">
        <f t="shared" si="26"/>
        <v>#DIV/0!</v>
      </c>
      <c r="O187" s="519">
        <f t="shared" si="28"/>
        <v>0</v>
      </c>
      <c r="P187" s="330" t="e">
        <f t="shared" si="29"/>
        <v>#DIV/0!</v>
      </c>
      <c r="Q187" s="269" t="e">
        <f t="shared" si="35"/>
        <v>#DIV/0!</v>
      </c>
      <c r="R187" s="269" t="e">
        <f t="shared" si="36"/>
        <v>#DIV/0!</v>
      </c>
    </row>
    <row r="188" spans="1:18" ht="15" customHeight="1" x14ac:dyDescent="0.2">
      <c r="A188" s="6" t="s">
        <v>1457</v>
      </c>
      <c r="B188" s="6"/>
      <c r="C188" s="250" t="s">
        <v>1765</v>
      </c>
      <c r="D188" s="250"/>
      <c r="E188" s="250"/>
      <c r="F188" s="250">
        <v>164514</v>
      </c>
      <c r="G188" s="185" t="s">
        <v>1711</v>
      </c>
      <c r="H188" s="487">
        <v>833616</v>
      </c>
      <c r="I188" s="488">
        <f t="shared" si="24"/>
        <v>0</v>
      </c>
      <c r="J188" s="159">
        <f t="shared" si="25"/>
        <v>0</v>
      </c>
      <c r="K188" s="703" t="e">
        <f>+'Special Pricing'!$G$377</f>
        <v>#DIV/0!</v>
      </c>
      <c r="L188" s="219">
        <v>0.32</v>
      </c>
      <c r="M188" s="219">
        <v>0</v>
      </c>
      <c r="N188" s="13" t="e">
        <f t="shared" si="26"/>
        <v>#DIV/0!</v>
      </c>
      <c r="O188" s="519">
        <f t="shared" si="28"/>
        <v>0</v>
      </c>
      <c r="P188" s="330" t="e">
        <f t="shared" si="29"/>
        <v>#DIV/0!</v>
      </c>
      <c r="Q188" s="269" t="e">
        <f t="shared" si="35"/>
        <v>#DIV/0!</v>
      </c>
      <c r="R188" s="269" t="e">
        <f t="shared" si="36"/>
        <v>#DIV/0!</v>
      </c>
    </row>
    <row r="189" spans="1:18" ht="15" customHeight="1" x14ac:dyDescent="0.2">
      <c r="A189" s="6" t="s">
        <v>1457</v>
      </c>
      <c r="B189" s="6"/>
      <c r="C189" s="250" t="s">
        <v>1765</v>
      </c>
      <c r="D189" s="250"/>
      <c r="E189" s="250"/>
      <c r="F189" s="250">
        <v>164514</v>
      </c>
      <c r="G189" s="185" t="s">
        <v>1711</v>
      </c>
      <c r="H189" s="487">
        <v>833819</v>
      </c>
      <c r="I189" s="488">
        <f t="shared" si="24"/>
        <v>0</v>
      </c>
      <c r="J189" s="159">
        <f t="shared" si="25"/>
        <v>0</v>
      </c>
      <c r="K189" s="703" t="e">
        <f>+'Special Pricing'!$G$377</f>
        <v>#DIV/0!</v>
      </c>
      <c r="L189" s="219">
        <v>0.32</v>
      </c>
      <c r="M189" s="219">
        <v>0</v>
      </c>
      <c r="N189" s="13" t="e">
        <f t="shared" si="26"/>
        <v>#DIV/0!</v>
      </c>
      <c r="O189" s="519">
        <f t="shared" si="28"/>
        <v>0</v>
      </c>
      <c r="P189" s="330" t="e">
        <f t="shared" si="29"/>
        <v>#DIV/0!</v>
      </c>
      <c r="Q189" s="269" t="e">
        <f t="shared" si="35"/>
        <v>#DIV/0!</v>
      </c>
      <c r="R189" s="269" t="e">
        <f t="shared" si="36"/>
        <v>#DIV/0!</v>
      </c>
    </row>
    <row r="190" spans="1:18" ht="15" customHeight="1" x14ac:dyDescent="0.2">
      <c r="A190" s="6" t="s">
        <v>1457</v>
      </c>
      <c r="B190" s="6"/>
      <c r="C190" s="250" t="s">
        <v>1765</v>
      </c>
      <c r="D190" s="250"/>
      <c r="E190" s="250"/>
      <c r="F190" s="250">
        <v>164514</v>
      </c>
      <c r="G190" s="185" t="s">
        <v>1711</v>
      </c>
      <c r="H190" s="487">
        <v>834708</v>
      </c>
      <c r="I190" s="488">
        <f t="shared" si="24"/>
        <v>0</v>
      </c>
      <c r="J190" s="159">
        <f t="shared" si="25"/>
        <v>0</v>
      </c>
      <c r="K190" s="703" t="e">
        <f>+'Special Pricing'!$G$377</f>
        <v>#DIV/0!</v>
      </c>
      <c r="L190" s="219">
        <v>0.32</v>
      </c>
      <c r="M190" s="219">
        <v>0</v>
      </c>
      <c r="N190" s="13" t="e">
        <f t="shared" si="26"/>
        <v>#DIV/0!</v>
      </c>
      <c r="O190" s="519">
        <f t="shared" si="28"/>
        <v>0</v>
      </c>
      <c r="P190" s="330" t="e">
        <f t="shared" si="29"/>
        <v>#DIV/0!</v>
      </c>
      <c r="Q190" s="269" t="e">
        <f t="shared" si="35"/>
        <v>#DIV/0!</v>
      </c>
      <c r="R190" s="269" t="e">
        <f t="shared" si="36"/>
        <v>#DIV/0!</v>
      </c>
    </row>
    <row r="191" spans="1:18" ht="15" customHeight="1" x14ac:dyDescent="0.2">
      <c r="A191" s="6" t="s">
        <v>1457</v>
      </c>
      <c r="B191" s="6"/>
      <c r="C191" s="250" t="s">
        <v>1765</v>
      </c>
      <c r="D191" s="250"/>
      <c r="E191" s="250"/>
      <c r="F191" s="250">
        <v>164514</v>
      </c>
      <c r="G191" s="185" t="s">
        <v>1711</v>
      </c>
      <c r="H191" s="487">
        <v>834719</v>
      </c>
      <c r="I191" s="488">
        <f t="shared" si="24"/>
        <v>0</v>
      </c>
      <c r="J191" s="159">
        <f t="shared" si="25"/>
        <v>0</v>
      </c>
      <c r="K191" s="703" t="e">
        <f>+'Special Pricing'!$G$377</f>
        <v>#DIV/0!</v>
      </c>
      <c r="L191" s="219">
        <v>0.32</v>
      </c>
      <c r="M191" s="219">
        <v>0</v>
      </c>
      <c r="N191" s="13" t="e">
        <f t="shared" si="26"/>
        <v>#DIV/0!</v>
      </c>
      <c r="O191" s="519">
        <f t="shared" si="28"/>
        <v>0</v>
      </c>
      <c r="P191" s="330" t="e">
        <f t="shared" si="29"/>
        <v>#DIV/0!</v>
      </c>
      <c r="Q191" s="269" t="e">
        <f t="shared" si="35"/>
        <v>#DIV/0!</v>
      </c>
      <c r="R191" s="269" t="e">
        <f t="shared" si="36"/>
        <v>#DIV/0!</v>
      </c>
    </row>
    <row r="192" spans="1:18" ht="15" customHeight="1" x14ac:dyDescent="0.2">
      <c r="A192" s="6" t="s">
        <v>1457</v>
      </c>
      <c r="B192" s="6"/>
      <c r="C192" s="250" t="s">
        <v>1765</v>
      </c>
      <c r="D192" s="250"/>
      <c r="E192" s="250"/>
      <c r="F192" s="250">
        <v>164514</v>
      </c>
      <c r="G192" s="185" t="s">
        <v>1711</v>
      </c>
      <c r="H192" s="487">
        <v>834793</v>
      </c>
      <c r="I192" s="488">
        <f t="shared" si="24"/>
        <v>0</v>
      </c>
      <c r="J192" s="159">
        <f t="shared" si="25"/>
        <v>0</v>
      </c>
      <c r="K192" s="703" t="e">
        <f>+'Special Pricing'!$G$377</f>
        <v>#DIV/0!</v>
      </c>
      <c r="L192" s="219">
        <v>0.32</v>
      </c>
      <c r="M192" s="219">
        <v>0</v>
      </c>
      <c r="N192" s="13" t="e">
        <f t="shared" si="26"/>
        <v>#DIV/0!</v>
      </c>
      <c r="O192" s="519">
        <f t="shared" si="28"/>
        <v>0</v>
      </c>
      <c r="P192" s="330" t="e">
        <f t="shared" si="29"/>
        <v>#DIV/0!</v>
      </c>
      <c r="Q192" s="269" t="e">
        <f t="shared" si="35"/>
        <v>#DIV/0!</v>
      </c>
      <c r="R192" s="269" t="e">
        <f t="shared" si="36"/>
        <v>#DIV/0!</v>
      </c>
    </row>
    <row r="193" spans="1:18" ht="15" customHeight="1" x14ac:dyDescent="0.2">
      <c r="A193" s="6" t="s">
        <v>1457</v>
      </c>
      <c r="B193" s="6"/>
      <c r="C193" s="250" t="s">
        <v>1765</v>
      </c>
      <c r="D193" s="250"/>
      <c r="E193" s="250"/>
      <c r="F193" s="250">
        <v>164514</v>
      </c>
      <c r="G193" s="185" t="s">
        <v>1711</v>
      </c>
      <c r="H193" s="487">
        <v>835063</v>
      </c>
      <c r="I193" s="488">
        <f t="shared" ref="I193:I251" si="37">IF(ISNA(VLOOKUP(H193,CNRGas,4,FALSE)),"na",VLOOKUP(H193,CNRGas,4,FALSE))</f>
        <v>0</v>
      </c>
      <c r="J193" s="159">
        <f t="shared" ref="J193:J219" si="38">IF(ISNA(VLOOKUP(H193,CNRGas,3,FALSE)),"na",VLOOKUP(H193,CNRGas,3,FALSE))</f>
        <v>0</v>
      </c>
      <c r="K193" s="703" t="e">
        <f>+'Special Pricing'!$G$377</f>
        <v>#DIV/0!</v>
      </c>
      <c r="L193" s="219">
        <v>0.32</v>
      </c>
      <c r="M193" s="219">
        <v>0</v>
      </c>
      <c r="N193" s="13" t="e">
        <f t="shared" ref="N193:N213" si="39">+K193-L193-M193</f>
        <v>#DIV/0!</v>
      </c>
      <c r="O193" s="519">
        <f t="shared" ref="O193:O250" si="40">IF(ISNA(VLOOKUP(H193,CNRGas,5,FALSE)),"na",VLOOKUP(H193,CNRGas,5,FALSE))</f>
        <v>0</v>
      </c>
      <c r="P193" s="330" t="e">
        <f t="shared" si="29"/>
        <v>#DIV/0!</v>
      </c>
      <c r="Q193" s="269" t="e">
        <f t="shared" si="35"/>
        <v>#DIV/0!</v>
      </c>
      <c r="R193" s="269" t="e">
        <f t="shared" si="36"/>
        <v>#DIV/0!</v>
      </c>
    </row>
    <row r="194" spans="1:18" ht="15" customHeight="1" x14ac:dyDescent="0.2">
      <c r="A194" s="6" t="s">
        <v>1457</v>
      </c>
      <c r="B194" s="6"/>
      <c r="C194" s="250" t="s">
        <v>1765</v>
      </c>
      <c r="D194" s="250"/>
      <c r="E194" s="250"/>
      <c r="F194" s="250">
        <v>164514</v>
      </c>
      <c r="G194" s="185" t="s">
        <v>1711</v>
      </c>
      <c r="H194" s="487">
        <v>835379</v>
      </c>
      <c r="I194" s="488">
        <f t="shared" si="37"/>
        <v>0</v>
      </c>
      <c r="J194" s="159">
        <f t="shared" si="38"/>
        <v>0</v>
      </c>
      <c r="K194" s="703" t="e">
        <f>+'Special Pricing'!$G$377</f>
        <v>#DIV/0!</v>
      </c>
      <c r="L194" s="219">
        <v>0.32</v>
      </c>
      <c r="M194" s="219">
        <v>0</v>
      </c>
      <c r="N194" s="13" t="e">
        <f t="shared" si="39"/>
        <v>#DIV/0!</v>
      </c>
      <c r="O194" s="519">
        <f t="shared" si="40"/>
        <v>0</v>
      </c>
      <c r="P194" s="330" t="e">
        <f t="shared" si="29"/>
        <v>#DIV/0!</v>
      </c>
      <c r="Q194" s="269" t="e">
        <f t="shared" si="35"/>
        <v>#DIV/0!</v>
      </c>
      <c r="R194" s="269" t="e">
        <f t="shared" si="36"/>
        <v>#DIV/0!</v>
      </c>
    </row>
    <row r="195" spans="1:18" ht="15" customHeight="1" x14ac:dyDescent="0.2">
      <c r="A195" s="6" t="s">
        <v>1457</v>
      </c>
      <c r="B195" s="6"/>
      <c r="C195" s="250" t="s">
        <v>1765</v>
      </c>
      <c r="D195" s="489"/>
      <c r="E195" s="250"/>
      <c r="F195" s="250">
        <v>164514</v>
      </c>
      <c r="G195" s="185" t="s">
        <v>1711</v>
      </c>
      <c r="H195" s="490">
        <v>835433</v>
      </c>
      <c r="I195" s="488">
        <f t="shared" si="37"/>
        <v>0</v>
      </c>
      <c r="J195" s="159">
        <f t="shared" si="38"/>
        <v>0</v>
      </c>
      <c r="K195" s="703" t="e">
        <f>+'Special Pricing'!$G$377</f>
        <v>#DIV/0!</v>
      </c>
      <c r="L195" s="219">
        <v>0.32</v>
      </c>
      <c r="M195" s="219">
        <v>0</v>
      </c>
      <c r="N195" s="13" t="e">
        <f t="shared" si="39"/>
        <v>#DIV/0!</v>
      </c>
      <c r="O195" s="519">
        <f t="shared" si="40"/>
        <v>0</v>
      </c>
      <c r="P195" s="330" t="e">
        <f t="shared" si="29"/>
        <v>#DIV/0!</v>
      </c>
      <c r="Q195" s="269" t="e">
        <f t="shared" si="35"/>
        <v>#DIV/0!</v>
      </c>
      <c r="R195" s="269" t="e">
        <f t="shared" si="36"/>
        <v>#DIV/0!</v>
      </c>
    </row>
    <row r="196" spans="1:18" ht="15" customHeight="1" x14ac:dyDescent="0.2">
      <c r="A196" s="6" t="s">
        <v>1457</v>
      </c>
      <c r="B196" s="6"/>
      <c r="C196" s="250" t="s">
        <v>1765</v>
      </c>
      <c r="D196" s="489"/>
      <c r="E196" s="250"/>
      <c r="F196" s="250">
        <v>164514</v>
      </c>
      <c r="G196" s="185" t="s">
        <v>1711</v>
      </c>
      <c r="H196" s="490">
        <v>835442</v>
      </c>
      <c r="I196" s="488">
        <f t="shared" si="37"/>
        <v>0</v>
      </c>
      <c r="J196" s="159">
        <f t="shared" si="38"/>
        <v>0</v>
      </c>
      <c r="K196" s="703" t="e">
        <f>+'Special Pricing'!$G$377</f>
        <v>#DIV/0!</v>
      </c>
      <c r="L196" s="219">
        <v>0.32</v>
      </c>
      <c r="M196" s="219">
        <v>0</v>
      </c>
      <c r="N196" s="13" t="e">
        <f t="shared" si="39"/>
        <v>#DIV/0!</v>
      </c>
      <c r="O196" s="519">
        <f t="shared" si="40"/>
        <v>0</v>
      </c>
      <c r="P196" s="330" t="e">
        <f t="shared" si="29"/>
        <v>#DIV/0!</v>
      </c>
      <c r="Q196" s="269" t="e">
        <f t="shared" si="35"/>
        <v>#DIV/0!</v>
      </c>
      <c r="R196" s="269" t="e">
        <f t="shared" si="36"/>
        <v>#DIV/0!</v>
      </c>
    </row>
    <row r="197" spans="1:18" ht="15" customHeight="1" x14ac:dyDescent="0.2">
      <c r="A197" s="6" t="s">
        <v>1457</v>
      </c>
      <c r="B197" s="6"/>
      <c r="C197" s="250" t="s">
        <v>1765</v>
      </c>
      <c r="D197" s="489"/>
      <c r="E197" s="250"/>
      <c r="F197" s="250">
        <v>164514</v>
      </c>
      <c r="G197" s="185" t="s">
        <v>1711</v>
      </c>
      <c r="H197" s="490">
        <v>835839</v>
      </c>
      <c r="I197" s="488">
        <f t="shared" si="37"/>
        <v>0</v>
      </c>
      <c r="J197" s="159">
        <f t="shared" si="38"/>
        <v>0</v>
      </c>
      <c r="K197" s="703" t="e">
        <f>+'Special Pricing'!$G$377</f>
        <v>#DIV/0!</v>
      </c>
      <c r="L197" s="219">
        <v>0.32</v>
      </c>
      <c r="M197" s="219">
        <v>0</v>
      </c>
      <c r="N197" s="13" t="e">
        <f t="shared" si="39"/>
        <v>#DIV/0!</v>
      </c>
      <c r="O197" s="519">
        <f t="shared" si="40"/>
        <v>0</v>
      </c>
      <c r="P197" s="330" t="e">
        <f t="shared" si="29"/>
        <v>#DIV/0!</v>
      </c>
      <c r="Q197" s="269" t="e">
        <f t="shared" si="35"/>
        <v>#DIV/0!</v>
      </c>
      <c r="R197" s="269" t="e">
        <f t="shared" si="36"/>
        <v>#DIV/0!</v>
      </c>
    </row>
    <row r="198" spans="1:18" ht="15" customHeight="1" x14ac:dyDescent="0.2">
      <c r="A198" s="6" t="s">
        <v>1457</v>
      </c>
      <c r="B198" s="6"/>
      <c r="C198" s="1" t="s">
        <v>222</v>
      </c>
      <c r="E198" s="1"/>
      <c r="F198" s="1">
        <v>275277</v>
      </c>
      <c r="G198" s="252" t="s">
        <v>1454</v>
      </c>
      <c r="H198" s="225">
        <v>800289</v>
      </c>
      <c r="I198" s="183">
        <f t="shared" si="37"/>
        <v>0</v>
      </c>
      <c r="J198" s="17">
        <f t="shared" si="38"/>
        <v>83</v>
      </c>
      <c r="K198" s="343">
        <f>+$K$3*0.97</f>
        <v>2.0758000000000001</v>
      </c>
      <c r="L198" s="219">
        <v>0.32</v>
      </c>
      <c r="M198" s="219">
        <v>0</v>
      </c>
      <c r="N198" s="13">
        <f t="shared" si="39"/>
        <v>1.7558</v>
      </c>
      <c r="O198" s="519">
        <f t="shared" si="40"/>
        <v>25</v>
      </c>
      <c r="P198" s="330">
        <f t="shared" ref="P198:P261" si="41">(+N198*J198)-O198</f>
        <v>120.73140000000001</v>
      </c>
      <c r="Q198" s="269"/>
      <c r="R198" s="269"/>
    </row>
    <row r="199" spans="1:18" ht="15" customHeight="1" x14ac:dyDescent="0.2">
      <c r="A199" s="6" t="s">
        <v>1457</v>
      </c>
      <c r="B199" s="6"/>
      <c r="C199" s="1" t="s">
        <v>222</v>
      </c>
      <c r="E199" s="1"/>
      <c r="F199" s="1">
        <v>275277</v>
      </c>
      <c r="G199" s="252" t="s">
        <v>1454</v>
      </c>
      <c r="H199" s="225">
        <v>833596</v>
      </c>
      <c r="I199" s="183">
        <f t="shared" si="37"/>
        <v>0</v>
      </c>
      <c r="J199" s="17">
        <f t="shared" si="38"/>
        <v>469</v>
      </c>
      <c r="K199" s="343">
        <f>+$K$3*0.97</f>
        <v>2.0758000000000001</v>
      </c>
      <c r="L199" s="219">
        <v>0.32</v>
      </c>
      <c r="M199" s="219">
        <v>0</v>
      </c>
      <c r="N199" s="13">
        <f t="shared" si="39"/>
        <v>1.7558</v>
      </c>
      <c r="O199" s="519">
        <f t="shared" si="40"/>
        <v>25</v>
      </c>
      <c r="P199" s="330">
        <f t="shared" si="41"/>
        <v>798.47019999999998</v>
      </c>
    </row>
    <row r="200" spans="1:18" ht="15" customHeight="1" x14ac:dyDescent="0.2">
      <c r="A200" s="6" t="s">
        <v>1457</v>
      </c>
      <c r="B200" s="6"/>
      <c r="C200" s="1" t="s">
        <v>222</v>
      </c>
      <c r="E200" s="1"/>
      <c r="F200" s="1">
        <v>275277</v>
      </c>
      <c r="G200" s="252" t="s">
        <v>1454</v>
      </c>
      <c r="H200" s="225">
        <v>833848</v>
      </c>
      <c r="I200" s="183">
        <f t="shared" si="37"/>
        <v>0</v>
      </c>
      <c r="J200" s="17">
        <f t="shared" si="38"/>
        <v>780</v>
      </c>
      <c r="K200" s="343">
        <f>+$K$3*0.97</f>
        <v>2.0758000000000001</v>
      </c>
      <c r="L200" s="219">
        <v>0.32</v>
      </c>
      <c r="M200" s="219">
        <v>0</v>
      </c>
      <c r="N200" s="13">
        <f t="shared" si="39"/>
        <v>1.7558</v>
      </c>
      <c r="O200" s="519">
        <f t="shared" si="40"/>
        <v>25</v>
      </c>
      <c r="P200" s="330">
        <f t="shared" si="41"/>
        <v>1344.5240000000001</v>
      </c>
    </row>
    <row r="201" spans="1:18" ht="15" customHeight="1" x14ac:dyDescent="0.2">
      <c r="A201" s="6" t="s">
        <v>1457</v>
      </c>
      <c r="B201" s="6"/>
      <c r="C201" s="1" t="s">
        <v>1824</v>
      </c>
      <c r="D201" s="1"/>
      <c r="E201" s="1"/>
      <c r="F201" s="1">
        <v>163813</v>
      </c>
      <c r="G201" s="252" t="s">
        <v>1453</v>
      </c>
      <c r="H201" s="225">
        <v>834586</v>
      </c>
      <c r="I201" s="183">
        <f t="shared" si="37"/>
        <v>0</v>
      </c>
      <c r="J201" s="17">
        <f t="shared" si="38"/>
        <v>0</v>
      </c>
      <c r="K201" s="343">
        <f>+$K$3</f>
        <v>2.14</v>
      </c>
      <c r="L201" s="219">
        <v>0.32</v>
      </c>
      <c r="M201" s="219">
        <v>0</v>
      </c>
      <c r="N201" s="13">
        <f t="shared" si="39"/>
        <v>1.82</v>
      </c>
      <c r="O201" s="519">
        <f t="shared" si="40"/>
        <v>0</v>
      </c>
      <c r="P201" s="330">
        <f t="shared" si="41"/>
        <v>0</v>
      </c>
    </row>
    <row r="202" spans="1:18" ht="15" customHeight="1" x14ac:dyDescent="0.2">
      <c r="A202" s="6" t="s">
        <v>1457</v>
      </c>
      <c r="B202" s="6"/>
      <c r="C202" s="250" t="s">
        <v>1806</v>
      </c>
      <c r="D202" s="250"/>
      <c r="E202" s="250"/>
      <c r="F202" s="250">
        <v>163814</v>
      </c>
      <c r="G202" s="185" t="s">
        <v>943</v>
      </c>
      <c r="H202" s="490">
        <v>835684</v>
      </c>
      <c r="I202" s="488">
        <f t="shared" si="37"/>
        <v>0</v>
      </c>
      <c r="J202" s="159">
        <f t="shared" si="38"/>
        <v>0</v>
      </c>
      <c r="K202" s="542" t="e">
        <f>+'Special Pricing'!G410</f>
        <v>#DIV/0!</v>
      </c>
      <c r="L202" s="219">
        <v>0.32</v>
      </c>
      <c r="M202" s="219">
        <v>0.03</v>
      </c>
      <c r="N202" s="13" t="e">
        <f t="shared" si="39"/>
        <v>#DIV/0!</v>
      </c>
      <c r="O202" s="519">
        <f t="shared" si="40"/>
        <v>0</v>
      </c>
      <c r="P202" s="330" t="e">
        <f t="shared" si="41"/>
        <v>#DIV/0!</v>
      </c>
      <c r="Q202" s="269" t="e">
        <f>(-P202)*0.045</f>
        <v>#DIV/0!</v>
      </c>
      <c r="R202" s="269" t="e">
        <f>+P202+Q202</f>
        <v>#DIV/0!</v>
      </c>
    </row>
    <row r="203" spans="1:18" ht="15" customHeight="1" x14ac:dyDescent="0.2">
      <c r="A203" s="6" t="s">
        <v>1457</v>
      </c>
      <c r="B203" s="6"/>
      <c r="C203" s="1" t="s">
        <v>8</v>
      </c>
      <c r="D203" s="409" t="s">
        <v>1807</v>
      </c>
      <c r="E203" s="1"/>
      <c r="F203" s="1"/>
      <c r="G203" s="252" t="s">
        <v>1453</v>
      </c>
      <c r="H203" s="225">
        <v>800996</v>
      </c>
      <c r="I203" s="183">
        <f t="shared" si="37"/>
        <v>0</v>
      </c>
      <c r="J203" s="17">
        <f t="shared" si="38"/>
        <v>0</v>
      </c>
      <c r="K203" s="343">
        <f>+$K$3</f>
        <v>2.14</v>
      </c>
      <c r="L203" s="219">
        <v>0.32</v>
      </c>
      <c r="M203" s="219">
        <v>0</v>
      </c>
      <c r="N203" s="13">
        <f>+K203-L203-M203</f>
        <v>1.82</v>
      </c>
      <c r="O203" s="519">
        <f t="shared" si="40"/>
        <v>0</v>
      </c>
      <c r="P203" s="330">
        <f t="shared" si="41"/>
        <v>0</v>
      </c>
      <c r="Q203" s="269"/>
      <c r="R203" s="269"/>
    </row>
    <row r="204" spans="1:18" ht="15" customHeight="1" x14ac:dyDescent="0.2">
      <c r="A204" s="6" t="s">
        <v>1457</v>
      </c>
      <c r="B204" s="6"/>
      <c r="C204" s="1" t="s">
        <v>8</v>
      </c>
      <c r="D204" s="409" t="s">
        <v>1807</v>
      </c>
      <c r="E204" s="1"/>
      <c r="F204" s="1"/>
      <c r="G204" s="252" t="s">
        <v>1453</v>
      </c>
      <c r="H204" s="225">
        <v>801013</v>
      </c>
      <c r="I204" s="183">
        <f t="shared" si="37"/>
        <v>0</v>
      </c>
      <c r="J204" s="17">
        <f>IF(ISNA(VLOOKUP(H204,CNRGas,3,FALSE)),"na",VLOOKUP(H204,CNRGas,3,FALSE))</f>
        <v>0</v>
      </c>
      <c r="K204" s="343">
        <f>+$K$3</f>
        <v>2.14</v>
      </c>
      <c r="L204" s="219">
        <v>0.32</v>
      </c>
      <c r="M204" s="219">
        <v>0</v>
      </c>
      <c r="N204" s="13">
        <f>+K204-L204-M204</f>
        <v>1.82</v>
      </c>
      <c r="O204" s="519">
        <f t="shared" si="40"/>
        <v>0</v>
      </c>
      <c r="P204" s="330">
        <f t="shared" si="41"/>
        <v>0</v>
      </c>
      <c r="Q204" s="269"/>
      <c r="R204" s="269"/>
    </row>
    <row r="205" spans="1:18" ht="15" customHeight="1" x14ac:dyDescent="0.2">
      <c r="A205" s="6" t="s">
        <v>1457</v>
      </c>
      <c r="B205" s="6"/>
      <c r="C205" s="271" t="s">
        <v>8</v>
      </c>
      <c r="D205" s="409" t="s">
        <v>1807</v>
      </c>
      <c r="E205" s="1"/>
      <c r="F205" s="1"/>
      <c r="G205" s="252" t="s">
        <v>1453</v>
      </c>
      <c r="H205" s="767">
        <v>835749</v>
      </c>
      <c r="I205" s="183">
        <f t="shared" si="37"/>
        <v>0</v>
      </c>
      <c r="J205" s="17">
        <f>IF(ISNA(VLOOKUP(H205,CNRGas,3,FALSE)),"na",VLOOKUP(H205,CNRGas,3,FALSE))</f>
        <v>0</v>
      </c>
      <c r="K205" s="343">
        <f>+$K$3</f>
        <v>2.14</v>
      </c>
      <c r="L205" s="219">
        <v>0.32</v>
      </c>
      <c r="M205" s="219">
        <v>0</v>
      </c>
      <c r="N205" s="13">
        <f>+K205-L205-M205</f>
        <v>1.82</v>
      </c>
      <c r="O205" s="519">
        <f>IF(ISNA(VLOOKUP(H205,CNRGas,5,FALSE)),"na",VLOOKUP(H205,CNRGas,5,FALSE))</f>
        <v>0</v>
      </c>
      <c r="P205" s="330">
        <f t="shared" si="41"/>
        <v>0</v>
      </c>
      <c r="Q205" s="269"/>
      <c r="R205" s="269"/>
    </row>
    <row r="206" spans="1:18" ht="15" customHeight="1" x14ac:dyDescent="0.2">
      <c r="A206" s="6" t="s">
        <v>1457</v>
      </c>
      <c r="B206" s="6"/>
      <c r="C206" s="1" t="s">
        <v>8</v>
      </c>
      <c r="D206" s="409" t="s">
        <v>1807</v>
      </c>
      <c r="E206" s="1"/>
      <c r="F206" s="1"/>
      <c r="G206" s="252" t="s">
        <v>1453</v>
      </c>
      <c r="H206" s="225">
        <v>835765</v>
      </c>
      <c r="I206" s="183">
        <f t="shared" si="37"/>
        <v>0</v>
      </c>
      <c r="J206" s="17">
        <f t="shared" si="38"/>
        <v>0</v>
      </c>
      <c r="K206" s="343">
        <f>+$K$3</f>
        <v>2.14</v>
      </c>
      <c r="L206" s="219">
        <v>0.32</v>
      </c>
      <c r="M206" s="219">
        <v>0</v>
      </c>
      <c r="N206" s="13">
        <f t="shared" si="39"/>
        <v>1.82</v>
      </c>
      <c r="O206" s="519">
        <f t="shared" si="40"/>
        <v>0</v>
      </c>
      <c r="P206" s="330">
        <f t="shared" si="41"/>
        <v>0</v>
      </c>
      <c r="Q206" s="269"/>
      <c r="R206" s="269"/>
    </row>
    <row r="207" spans="1:18" ht="15" customHeight="1" x14ac:dyDescent="0.2">
      <c r="A207" s="6" t="s">
        <v>564</v>
      </c>
      <c r="B207" s="329" t="s">
        <v>565</v>
      </c>
      <c r="C207" s="6" t="s">
        <v>1869</v>
      </c>
      <c r="D207" s="6">
        <v>81779</v>
      </c>
      <c r="E207" s="6" t="s">
        <v>566</v>
      </c>
      <c r="F207" s="6"/>
      <c r="G207" s="9" t="s">
        <v>567</v>
      </c>
      <c r="H207" s="312">
        <v>801852</v>
      </c>
      <c r="I207" s="183">
        <f>IF(ISNA(VLOOKUP(H207,CNRGas,4,FALSE)),"na",VLOOKUP(H207,CNRGas,4,FALSE))</f>
        <v>0</v>
      </c>
      <c r="J207" s="17">
        <f>IF(ISNA(VLOOKUP(H207,CNRGas,3,FALSE)),"na",VLOOKUP(H207,CNRGas,3,FALSE))</f>
        <v>650</v>
      </c>
      <c r="K207" s="344">
        <f>$K$2*0.95</f>
        <v>2.0044999999999997</v>
      </c>
      <c r="L207" s="347">
        <v>0.32</v>
      </c>
      <c r="M207" s="347">
        <v>0.03</v>
      </c>
      <c r="N207" s="13">
        <f t="shared" ref="N207:N212" si="42">+K207-L207-M207</f>
        <v>1.6544999999999996</v>
      </c>
      <c r="O207" s="519">
        <f>IF(ISNA(VLOOKUP(H207,CNRGas,5,FALSE)),"na",VLOOKUP(H207,CNRGas,5,FALSE))</f>
        <v>25</v>
      </c>
      <c r="P207" s="330">
        <f t="shared" si="41"/>
        <v>1050.4249999999997</v>
      </c>
      <c r="Q207" s="269">
        <f>(-P207)*0.045</f>
        <v>-47.269124999999988</v>
      </c>
      <c r="R207" s="269">
        <f>+P207+Q207</f>
        <v>1003.1558749999997</v>
      </c>
    </row>
    <row r="208" spans="1:18" ht="15" customHeight="1" x14ac:dyDescent="0.2">
      <c r="A208" s="6"/>
      <c r="B208" s="329" t="s">
        <v>589</v>
      </c>
      <c r="C208" s="286" t="s">
        <v>370</v>
      </c>
      <c r="D208" s="334">
        <v>66649</v>
      </c>
      <c r="E208" s="285" t="s">
        <v>371</v>
      </c>
      <c r="F208" s="285"/>
      <c r="G208" s="285" t="s">
        <v>372</v>
      </c>
      <c r="H208" s="333">
        <v>824196</v>
      </c>
      <c r="I208" s="183">
        <f t="shared" si="37"/>
        <v>0</v>
      </c>
      <c r="J208" s="17">
        <f t="shared" si="38"/>
        <v>0</v>
      </c>
      <c r="K208" s="344">
        <f>$K$3</f>
        <v>2.14</v>
      </c>
      <c r="L208" s="347">
        <v>0.32</v>
      </c>
      <c r="M208" s="347"/>
      <c r="N208" s="13">
        <f t="shared" si="42"/>
        <v>1.82</v>
      </c>
      <c r="O208" s="519">
        <f t="shared" si="40"/>
        <v>0</v>
      </c>
      <c r="P208" s="330">
        <f t="shared" si="41"/>
        <v>0</v>
      </c>
    </row>
    <row r="209" spans="1:19" ht="15" customHeight="1" x14ac:dyDescent="0.2">
      <c r="A209" s="6" t="s">
        <v>1457</v>
      </c>
      <c r="B209" s="6"/>
      <c r="C209" s="1" t="s">
        <v>1778</v>
      </c>
      <c r="D209" s="1"/>
      <c r="E209" s="1"/>
      <c r="F209" s="1">
        <v>168383</v>
      </c>
      <c r="G209" s="252" t="s">
        <v>1418</v>
      </c>
      <c r="H209" s="338">
        <v>833359</v>
      </c>
      <c r="I209" s="183">
        <f t="shared" si="37"/>
        <v>0</v>
      </c>
      <c r="J209" s="17">
        <f t="shared" si="38"/>
        <v>0</v>
      </c>
      <c r="K209" s="343">
        <f>+$K$3*0.98</f>
        <v>2.0972</v>
      </c>
      <c r="L209" s="219">
        <v>0.32</v>
      </c>
      <c r="M209" s="219">
        <v>0</v>
      </c>
      <c r="N209" s="13">
        <f t="shared" si="42"/>
        <v>1.7771999999999999</v>
      </c>
      <c r="O209" s="519">
        <f t="shared" si="40"/>
        <v>0</v>
      </c>
      <c r="P209" s="330">
        <f t="shared" si="41"/>
        <v>0</v>
      </c>
    </row>
    <row r="210" spans="1:19" ht="15" customHeight="1" x14ac:dyDescent="0.2">
      <c r="A210" s="6" t="s">
        <v>1457</v>
      </c>
      <c r="B210" s="6"/>
      <c r="C210" s="1" t="s">
        <v>1799</v>
      </c>
      <c r="D210" s="1"/>
      <c r="E210" s="1"/>
      <c r="F210" s="1">
        <v>168440</v>
      </c>
      <c r="G210" s="252" t="s">
        <v>1418</v>
      </c>
      <c r="H210" s="338">
        <v>802815</v>
      </c>
      <c r="I210" s="183">
        <f t="shared" si="37"/>
        <v>0</v>
      </c>
      <c r="J210" s="17">
        <f t="shared" si="38"/>
        <v>0</v>
      </c>
      <c r="K210" s="343">
        <f>+$K$3*0.98</f>
        <v>2.0972</v>
      </c>
      <c r="L210" s="219">
        <v>0.32</v>
      </c>
      <c r="M210" s="219">
        <v>0</v>
      </c>
      <c r="N210" s="13">
        <f t="shared" si="42"/>
        <v>1.7771999999999999</v>
      </c>
      <c r="O210" s="519">
        <f t="shared" si="40"/>
        <v>0</v>
      </c>
      <c r="P210" s="330">
        <f t="shared" si="41"/>
        <v>0</v>
      </c>
      <c r="Q210" s="269">
        <f>(-P210)*0.045</f>
        <v>0</v>
      </c>
      <c r="R210" s="269">
        <f>+P210+Q210</f>
        <v>0</v>
      </c>
    </row>
    <row r="211" spans="1:19" ht="15" customHeight="1" x14ac:dyDescent="0.2">
      <c r="A211" s="6" t="s">
        <v>547</v>
      </c>
      <c r="B211" s="329" t="s">
        <v>590</v>
      </c>
      <c r="C211" s="6" t="s">
        <v>591</v>
      </c>
      <c r="D211" s="6">
        <v>59179</v>
      </c>
      <c r="E211" s="331" t="s">
        <v>592</v>
      </c>
      <c r="F211" s="331"/>
      <c r="G211" s="9" t="s">
        <v>1456</v>
      </c>
      <c r="H211" s="312">
        <v>800494</v>
      </c>
      <c r="I211" s="183">
        <f t="shared" si="37"/>
        <v>0</v>
      </c>
      <c r="J211" s="17">
        <f t="shared" si="38"/>
        <v>0</v>
      </c>
      <c r="K211" s="344">
        <f>$K$3*0.95</f>
        <v>2.0329999999999999</v>
      </c>
      <c r="L211" s="347">
        <v>0.32</v>
      </c>
      <c r="M211" s="347">
        <v>0.03</v>
      </c>
      <c r="N211" s="13">
        <f t="shared" si="42"/>
        <v>1.6829999999999998</v>
      </c>
      <c r="O211" s="519">
        <f t="shared" si="40"/>
        <v>0</v>
      </c>
      <c r="P211" s="330">
        <f t="shared" si="41"/>
        <v>0</v>
      </c>
    </row>
    <row r="212" spans="1:19" ht="15" customHeight="1" x14ac:dyDescent="0.2">
      <c r="A212" s="336"/>
      <c r="B212" s="337" t="s">
        <v>593</v>
      </c>
      <c r="C212" s="336" t="s">
        <v>594</v>
      </c>
      <c r="D212" s="336">
        <v>59622</v>
      </c>
      <c r="E212" s="336" t="s">
        <v>595</v>
      </c>
      <c r="F212" s="336"/>
      <c r="G212" s="17" t="s">
        <v>598</v>
      </c>
      <c r="H212" s="338">
        <v>801897</v>
      </c>
      <c r="I212" s="183">
        <f t="shared" si="37"/>
        <v>0</v>
      </c>
      <c r="J212" s="17">
        <f t="shared" si="38"/>
        <v>0</v>
      </c>
      <c r="K212" s="344">
        <f>$K$3-0.01</f>
        <v>2.1300000000000003</v>
      </c>
      <c r="L212" s="347">
        <v>0.32</v>
      </c>
      <c r="M212" s="347">
        <v>0.03</v>
      </c>
      <c r="N212" s="13">
        <f t="shared" si="42"/>
        <v>1.7800000000000002</v>
      </c>
      <c r="O212" s="519">
        <f t="shared" si="40"/>
        <v>0</v>
      </c>
      <c r="P212" s="330">
        <f t="shared" si="41"/>
        <v>0</v>
      </c>
      <c r="Q212" s="269">
        <f>(-P212)*0.045</f>
        <v>0</v>
      </c>
      <c r="R212" s="269">
        <f t="shared" ref="R212:R233" si="43">+P212+Q212</f>
        <v>0</v>
      </c>
    </row>
    <row r="213" spans="1:19" ht="15" customHeight="1" x14ac:dyDescent="0.2">
      <c r="A213" s="6" t="s">
        <v>564</v>
      </c>
      <c r="B213" s="337" t="s">
        <v>593</v>
      </c>
      <c r="C213" s="6" t="s">
        <v>594</v>
      </c>
      <c r="D213" s="6">
        <v>59622</v>
      </c>
      <c r="E213" s="6" t="s">
        <v>595</v>
      </c>
      <c r="F213" s="6"/>
      <c r="G213" s="9" t="s">
        <v>599</v>
      </c>
      <c r="H213" s="312">
        <v>801996</v>
      </c>
      <c r="I213" s="183">
        <f t="shared" si="37"/>
        <v>0</v>
      </c>
      <c r="J213" s="17">
        <f t="shared" si="38"/>
        <v>0</v>
      </c>
      <c r="K213" s="344">
        <f t="shared" ref="K213:K234" si="44">$K$3-0.01</f>
        <v>2.1300000000000003</v>
      </c>
      <c r="L213" s="347">
        <v>0.32</v>
      </c>
      <c r="M213" s="347">
        <v>0.03</v>
      </c>
      <c r="N213" s="13">
        <f t="shared" si="39"/>
        <v>1.7800000000000002</v>
      </c>
      <c r="O213" s="519">
        <f t="shared" si="40"/>
        <v>0</v>
      </c>
      <c r="P213" s="330">
        <f t="shared" si="41"/>
        <v>0</v>
      </c>
      <c r="Q213" s="269">
        <f>(-P213)*0.045</f>
        <v>0</v>
      </c>
      <c r="R213" s="269">
        <f t="shared" si="43"/>
        <v>0</v>
      </c>
    </row>
    <row r="214" spans="1:19" ht="15" customHeight="1" x14ac:dyDescent="0.2">
      <c r="A214" s="6" t="s">
        <v>557</v>
      </c>
      <c r="B214" s="337" t="s">
        <v>593</v>
      </c>
      <c r="C214" s="6" t="s">
        <v>594</v>
      </c>
      <c r="D214" s="6">
        <v>59622</v>
      </c>
      <c r="E214" s="6" t="s">
        <v>595</v>
      </c>
      <c r="F214" s="6"/>
      <c r="G214" s="9" t="s">
        <v>599</v>
      </c>
      <c r="H214" s="312">
        <v>802013</v>
      </c>
      <c r="I214" s="183">
        <f t="shared" si="37"/>
        <v>0</v>
      </c>
      <c r="J214" s="17">
        <f t="shared" si="38"/>
        <v>0</v>
      </c>
      <c r="K214" s="344">
        <f t="shared" si="44"/>
        <v>2.1300000000000003</v>
      </c>
      <c r="L214" s="347">
        <v>0.32</v>
      </c>
      <c r="M214" s="347">
        <v>0.03</v>
      </c>
      <c r="N214" s="13">
        <f t="shared" ref="N214:N245" si="45">+K214-L214-M214</f>
        <v>1.7800000000000002</v>
      </c>
      <c r="O214" s="519">
        <f t="shared" si="40"/>
        <v>0</v>
      </c>
      <c r="P214" s="330">
        <f t="shared" si="41"/>
        <v>0</v>
      </c>
      <c r="Q214" s="269">
        <v>0</v>
      </c>
      <c r="R214" s="269">
        <f t="shared" si="43"/>
        <v>0</v>
      </c>
      <c r="S214" s="269"/>
    </row>
    <row r="215" spans="1:19" ht="15" customHeight="1" x14ac:dyDescent="0.2">
      <c r="A215" s="6" t="s">
        <v>557</v>
      </c>
      <c r="B215" s="337" t="s">
        <v>593</v>
      </c>
      <c r="C215" s="6" t="s">
        <v>594</v>
      </c>
      <c r="D215" s="6">
        <v>59622</v>
      </c>
      <c r="E215" s="6"/>
      <c r="F215" s="6"/>
      <c r="G215" s="9" t="s">
        <v>599</v>
      </c>
      <c r="H215" s="312">
        <v>802145</v>
      </c>
      <c r="I215" s="183">
        <f t="shared" si="37"/>
        <v>0</v>
      </c>
      <c r="J215" s="17">
        <f t="shared" si="38"/>
        <v>0</v>
      </c>
      <c r="K215" s="344">
        <f t="shared" si="44"/>
        <v>2.1300000000000003</v>
      </c>
      <c r="L215" s="347">
        <v>0.32</v>
      </c>
      <c r="M215" s="347">
        <v>0.03</v>
      </c>
      <c r="N215" s="13">
        <f t="shared" si="45"/>
        <v>1.7800000000000002</v>
      </c>
      <c r="O215" s="519">
        <f t="shared" si="40"/>
        <v>0</v>
      </c>
      <c r="P215" s="330">
        <f t="shared" si="41"/>
        <v>0</v>
      </c>
      <c r="Q215" s="269">
        <v>0</v>
      </c>
      <c r="R215" s="269">
        <f t="shared" si="43"/>
        <v>0</v>
      </c>
      <c r="S215" s="269"/>
    </row>
    <row r="216" spans="1:19" ht="15" customHeight="1" x14ac:dyDescent="0.2">
      <c r="A216" s="6" t="s">
        <v>557</v>
      </c>
      <c r="B216" s="337" t="s">
        <v>593</v>
      </c>
      <c r="C216" s="6" t="s">
        <v>594</v>
      </c>
      <c r="D216" s="6">
        <v>59622</v>
      </c>
      <c r="E216" s="6"/>
      <c r="F216" s="6"/>
      <c r="G216" s="9" t="s">
        <v>599</v>
      </c>
      <c r="H216" s="312">
        <v>802146</v>
      </c>
      <c r="I216" s="183">
        <f t="shared" si="37"/>
        <v>0</v>
      </c>
      <c r="J216" s="17">
        <f t="shared" si="38"/>
        <v>0</v>
      </c>
      <c r="K216" s="344">
        <f t="shared" si="44"/>
        <v>2.1300000000000003</v>
      </c>
      <c r="L216" s="347">
        <v>0.32</v>
      </c>
      <c r="M216" s="347">
        <v>0.03</v>
      </c>
      <c r="N216" s="13">
        <f t="shared" si="45"/>
        <v>1.7800000000000002</v>
      </c>
      <c r="O216" s="519">
        <f t="shared" si="40"/>
        <v>0</v>
      </c>
      <c r="P216" s="330">
        <f t="shared" si="41"/>
        <v>0</v>
      </c>
      <c r="Q216" s="269">
        <v>0</v>
      </c>
      <c r="R216" s="269">
        <f t="shared" si="43"/>
        <v>0</v>
      </c>
      <c r="S216" s="269"/>
    </row>
    <row r="217" spans="1:19" ht="15" customHeight="1" x14ac:dyDescent="0.2">
      <c r="A217" s="6" t="s">
        <v>557</v>
      </c>
      <c r="B217" s="337" t="s">
        <v>593</v>
      </c>
      <c r="C217" s="6" t="s">
        <v>594</v>
      </c>
      <c r="D217" s="6">
        <v>59622</v>
      </c>
      <c r="E217" s="6"/>
      <c r="F217" s="6"/>
      <c r="G217" s="9" t="s">
        <v>599</v>
      </c>
      <c r="H217" s="312">
        <v>802592</v>
      </c>
      <c r="I217" s="183">
        <f t="shared" si="37"/>
        <v>0</v>
      </c>
      <c r="J217" s="17">
        <f t="shared" si="38"/>
        <v>0</v>
      </c>
      <c r="K217" s="344">
        <f t="shared" si="44"/>
        <v>2.1300000000000003</v>
      </c>
      <c r="L217" s="347">
        <v>0.32</v>
      </c>
      <c r="M217" s="347">
        <v>0.03</v>
      </c>
      <c r="N217" s="13">
        <f t="shared" si="45"/>
        <v>1.7800000000000002</v>
      </c>
      <c r="O217" s="519">
        <f t="shared" si="40"/>
        <v>0</v>
      </c>
      <c r="P217" s="330">
        <f t="shared" si="41"/>
        <v>0</v>
      </c>
      <c r="Q217" s="269">
        <v>0</v>
      </c>
      <c r="R217" s="269">
        <f t="shared" si="43"/>
        <v>0</v>
      </c>
      <c r="S217" s="269"/>
    </row>
    <row r="218" spans="1:19" ht="15" customHeight="1" x14ac:dyDescent="0.2">
      <c r="A218" s="6" t="s">
        <v>557</v>
      </c>
      <c r="B218" s="337" t="s">
        <v>593</v>
      </c>
      <c r="C218" s="6" t="s">
        <v>594</v>
      </c>
      <c r="D218" s="6">
        <v>59622</v>
      </c>
      <c r="E218" s="6"/>
      <c r="F218" s="6"/>
      <c r="G218" s="9" t="s">
        <v>599</v>
      </c>
      <c r="H218" s="312">
        <v>802642</v>
      </c>
      <c r="I218" s="183">
        <f t="shared" si="37"/>
        <v>0</v>
      </c>
      <c r="J218" s="17">
        <f t="shared" si="38"/>
        <v>0</v>
      </c>
      <c r="K218" s="344">
        <f t="shared" si="44"/>
        <v>2.1300000000000003</v>
      </c>
      <c r="L218" s="347">
        <v>0.32</v>
      </c>
      <c r="M218" s="347">
        <v>0.03</v>
      </c>
      <c r="N218" s="13">
        <f t="shared" si="45"/>
        <v>1.7800000000000002</v>
      </c>
      <c r="O218" s="519">
        <f t="shared" si="40"/>
        <v>0</v>
      </c>
      <c r="P218" s="330">
        <f t="shared" si="41"/>
        <v>0</v>
      </c>
      <c r="Q218" s="269">
        <v>0</v>
      </c>
      <c r="R218" s="269">
        <f t="shared" si="43"/>
        <v>0</v>
      </c>
      <c r="S218" s="269"/>
    </row>
    <row r="219" spans="1:19" ht="15" customHeight="1" x14ac:dyDescent="0.2">
      <c r="A219" s="6" t="s">
        <v>557</v>
      </c>
      <c r="B219" s="337" t="s">
        <v>593</v>
      </c>
      <c r="C219" s="6" t="s">
        <v>594</v>
      </c>
      <c r="D219" s="6">
        <v>59622</v>
      </c>
      <c r="E219" s="6"/>
      <c r="F219" s="6"/>
      <c r="G219" s="9" t="s">
        <v>599</v>
      </c>
      <c r="H219" s="312">
        <v>802655</v>
      </c>
      <c r="I219" s="183">
        <f t="shared" si="37"/>
        <v>0</v>
      </c>
      <c r="J219" s="17">
        <f t="shared" si="38"/>
        <v>0</v>
      </c>
      <c r="K219" s="344">
        <f t="shared" si="44"/>
        <v>2.1300000000000003</v>
      </c>
      <c r="L219" s="347">
        <v>0.32</v>
      </c>
      <c r="M219" s="347">
        <v>0.03</v>
      </c>
      <c r="N219" s="13">
        <f t="shared" si="45"/>
        <v>1.7800000000000002</v>
      </c>
      <c r="O219" s="519">
        <f t="shared" si="40"/>
        <v>0</v>
      </c>
      <c r="P219" s="330">
        <f t="shared" si="41"/>
        <v>0</v>
      </c>
      <c r="Q219" s="269">
        <v>0</v>
      </c>
      <c r="R219" s="269">
        <f t="shared" si="43"/>
        <v>0</v>
      </c>
      <c r="S219" s="269"/>
    </row>
    <row r="220" spans="1:19" ht="15" customHeight="1" x14ac:dyDescent="0.2">
      <c r="A220" s="6" t="s">
        <v>557</v>
      </c>
      <c r="B220" s="337" t="s">
        <v>593</v>
      </c>
      <c r="C220" s="6" t="s">
        <v>594</v>
      </c>
      <c r="D220" s="6">
        <v>59622</v>
      </c>
      <c r="E220" s="6"/>
      <c r="F220" s="6"/>
      <c r="G220" s="9" t="s">
        <v>599</v>
      </c>
      <c r="H220" s="312">
        <v>803011</v>
      </c>
      <c r="I220" s="183">
        <f t="shared" si="37"/>
        <v>0</v>
      </c>
      <c r="J220" s="17">
        <f t="shared" ref="J220:J251" si="46">IF(ISNA(VLOOKUP(H220,CNRGas,3,FALSE)),"na",VLOOKUP(H220,CNRGas,3,FALSE))</f>
        <v>0</v>
      </c>
      <c r="K220" s="344">
        <f t="shared" si="44"/>
        <v>2.1300000000000003</v>
      </c>
      <c r="L220" s="347">
        <v>0.32</v>
      </c>
      <c r="M220" s="347">
        <v>0.03</v>
      </c>
      <c r="N220" s="13">
        <f t="shared" si="45"/>
        <v>1.7800000000000002</v>
      </c>
      <c r="O220" s="519">
        <f t="shared" si="40"/>
        <v>0</v>
      </c>
      <c r="P220" s="330">
        <f t="shared" si="41"/>
        <v>0</v>
      </c>
      <c r="Q220" s="269">
        <v>0</v>
      </c>
      <c r="R220" s="269">
        <f t="shared" si="43"/>
        <v>0</v>
      </c>
      <c r="S220" s="269"/>
    </row>
    <row r="221" spans="1:19" ht="15" customHeight="1" x14ac:dyDescent="0.2">
      <c r="A221" s="6" t="s">
        <v>557</v>
      </c>
      <c r="B221" s="337" t="s">
        <v>593</v>
      </c>
      <c r="C221" s="6" t="s">
        <v>594</v>
      </c>
      <c r="D221" s="6">
        <v>59622</v>
      </c>
      <c r="E221" s="6"/>
      <c r="F221" s="6"/>
      <c r="G221" s="9" t="s">
        <v>599</v>
      </c>
      <c r="H221" s="312">
        <v>803258</v>
      </c>
      <c r="I221" s="183">
        <f t="shared" si="37"/>
        <v>0</v>
      </c>
      <c r="J221" s="17">
        <f t="shared" si="46"/>
        <v>0</v>
      </c>
      <c r="K221" s="344">
        <f t="shared" si="44"/>
        <v>2.1300000000000003</v>
      </c>
      <c r="L221" s="347">
        <v>0.32</v>
      </c>
      <c r="M221" s="347">
        <v>0.03</v>
      </c>
      <c r="N221" s="13">
        <f t="shared" si="45"/>
        <v>1.7800000000000002</v>
      </c>
      <c r="O221" s="519">
        <f t="shared" si="40"/>
        <v>0</v>
      </c>
      <c r="P221" s="330">
        <f t="shared" si="41"/>
        <v>0</v>
      </c>
      <c r="Q221" s="269">
        <v>0</v>
      </c>
      <c r="R221" s="269">
        <f t="shared" si="43"/>
        <v>0</v>
      </c>
      <c r="S221" s="269"/>
    </row>
    <row r="222" spans="1:19" ht="15" customHeight="1" x14ac:dyDescent="0.2">
      <c r="A222" s="6" t="s">
        <v>557</v>
      </c>
      <c r="B222" s="337" t="s">
        <v>593</v>
      </c>
      <c r="C222" s="6" t="s">
        <v>594</v>
      </c>
      <c r="D222" s="6">
        <v>59622</v>
      </c>
      <c r="E222" s="6"/>
      <c r="F222" s="6"/>
      <c r="G222" s="9" t="s">
        <v>599</v>
      </c>
      <c r="H222" s="312">
        <v>804344</v>
      </c>
      <c r="I222" s="183">
        <f t="shared" si="37"/>
        <v>0</v>
      </c>
      <c r="J222" s="17">
        <f t="shared" si="46"/>
        <v>0</v>
      </c>
      <c r="K222" s="344">
        <f t="shared" si="44"/>
        <v>2.1300000000000003</v>
      </c>
      <c r="L222" s="347">
        <v>0.32</v>
      </c>
      <c r="M222" s="347">
        <v>0.03</v>
      </c>
      <c r="N222" s="13">
        <f t="shared" si="45"/>
        <v>1.7800000000000002</v>
      </c>
      <c r="O222" s="519">
        <f t="shared" si="40"/>
        <v>0</v>
      </c>
      <c r="P222" s="330">
        <f t="shared" si="41"/>
        <v>0</v>
      </c>
      <c r="Q222" s="269">
        <v>0</v>
      </c>
      <c r="R222" s="269">
        <f t="shared" si="43"/>
        <v>0</v>
      </c>
      <c r="S222" s="269"/>
    </row>
    <row r="223" spans="1:19" ht="15" customHeight="1" x14ac:dyDescent="0.2">
      <c r="A223" s="6" t="s">
        <v>564</v>
      </c>
      <c r="B223" s="337" t="s">
        <v>593</v>
      </c>
      <c r="C223" s="6" t="s">
        <v>594</v>
      </c>
      <c r="D223" s="6">
        <v>59622</v>
      </c>
      <c r="E223" s="6" t="s">
        <v>595</v>
      </c>
      <c r="F223" s="6"/>
      <c r="G223" s="9" t="s">
        <v>599</v>
      </c>
      <c r="H223" s="312">
        <v>805808</v>
      </c>
      <c r="I223" s="183">
        <f t="shared" si="37"/>
        <v>0</v>
      </c>
      <c r="J223" s="17">
        <f t="shared" si="46"/>
        <v>0</v>
      </c>
      <c r="K223" s="344">
        <f t="shared" si="44"/>
        <v>2.1300000000000003</v>
      </c>
      <c r="L223" s="347">
        <v>0.32</v>
      </c>
      <c r="M223" s="347">
        <v>0.03</v>
      </c>
      <c r="N223" s="13">
        <f t="shared" si="45"/>
        <v>1.7800000000000002</v>
      </c>
      <c r="O223" s="519">
        <f t="shared" si="40"/>
        <v>0</v>
      </c>
      <c r="P223" s="330">
        <f t="shared" si="41"/>
        <v>0</v>
      </c>
      <c r="Q223" s="269">
        <f>(-P223)*0.045</f>
        <v>0</v>
      </c>
      <c r="R223" s="269">
        <f t="shared" si="43"/>
        <v>0</v>
      </c>
    </row>
    <row r="224" spans="1:19" ht="15" customHeight="1" x14ac:dyDescent="0.2">
      <c r="A224" s="135" t="s">
        <v>557</v>
      </c>
      <c r="B224" s="350" t="s">
        <v>593</v>
      </c>
      <c r="C224" s="6" t="s">
        <v>594</v>
      </c>
      <c r="D224" s="6">
        <v>59622</v>
      </c>
      <c r="E224" s="6"/>
      <c r="F224" s="6"/>
      <c r="G224" s="9" t="s">
        <v>599</v>
      </c>
      <c r="H224" s="312">
        <v>816097</v>
      </c>
      <c r="I224" s="183">
        <f t="shared" si="37"/>
        <v>0</v>
      </c>
      <c r="J224" s="17">
        <f t="shared" si="46"/>
        <v>0</v>
      </c>
      <c r="K224" s="344">
        <f t="shared" si="44"/>
        <v>2.1300000000000003</v>
      </c>
      <c r="L224" s="347">
        <v>0.32</v>
      </c>
      <c r="M224" s="347">
        <v>0.03</v>
      </c>
      <c r="N224" s="13">
        <f t="shared" si="45"/>
        <v>1.7800000000000002</v>
      </c>
      <c r="O224" s="519">
        <f t="shared" si="40"/>
        <v>0</v>
      </c>
      <c r="P224" s="330">
        <f t="shared" si="41"/>
        <v>0</v>
      </c>
      <c r="Q224" s="269">
        <v>0</v>
      </c>
      <c r="R224" s="269">
        <f t="shared" si="43"/>
        <v>0</v>
      </c>
      <c r="S224" s="269" t="s">
        <v>1491</v>
      </c>
    </row>
    <row r="225" spans="1:19" ht="15" customHeight="1" x14ac:dyDescent="0.2">
      <c r="A225" s="6" t="s">
        <v>557</v>
      </c>
      <c r="B225" s="337" t="s">
        <v>593</v>
      </c>
      <c r="C225" s="6" t="s">
        <v>594</v>
      </c>
      <c r="D225" s="6">
        <v>59622</v>
      </c>
      <c r="E225" s="6" t="s">
        <v>595</v>
      </c>
      <c r="F225" s="6"/>
      <c r="G225" s="9" t="s">
        <v>599</v>
      </c>
      <c r="H225" s="312">
        <v>824927</v>
      </c>
      <c r="I225" s="183">
        <f t="shared" si="37"/>
        <v>0</v>
      </c>
      <c r="J225" s="17">
        <f t="shared" si="46"/>
        <v>0</v>
      </c>
      <c r="K225" s="344">
        <f t="shared" si="44"/>
        <v>2.1300000000000003</v>
      </c>
      <c r="L225" s="347">
        <v>0.32</v>
      </c>
      <c r="M225" s="347">
        <v>0.03</v>
      </c>
      <c r="N225" s="13">
        <f t="shared" si="45"/>
        <v>1.7800000000000002</v>
      </c>
      <c r="O225" s="519">
        <f t="shared" si="40"/>
        <v>0</v>
      </c>
      <c r="P225" s="330">
        <f t="shared" si="41"/>
        <v>0</v>
      </c>
      <c r="Q225" s="269">
        <f>(-P225)*0.045</f>
        <v>0</v>
      </c>
      <c r="R225" s="269">
        <f t="shared" si="43"/>
        <v>0</v>
      </c>
    </row>
    <row r="226" spans="1:19" ht="15" customHeight="1" x14ac:dyDescent="0.2">
      <c r="A226" s="6" t="s">
        <v>557</v>
      </c>
      <c r="B226" s="337" t="s">
        <v>593</v>
      </c>
      <c r="C226" s="6" t="s">
        <v>594</v>
      </c>
      <c r="D226" s="6">
        <v>59622</v>
      </c>
      <c r="E226" s="6" t="s">
        <v>595</v>
      </c>
      <c r="F226" s="6"/>
      <c r="G226" s="9" t="s">
        <v>599</v>
      </c>
      <c r="H226" s="312">
        <v>827191</v>
      </c>
      <c r="I226" s="183">
        <f t="shared" si="37"/>
        <v>0</v>
      </c>
      <c r="J226" s="17">
        <f t="shared" si="46"/>
        <v>0</v>
      </c>
      <c r="K226" s="344">
        <f t="shared" si="44"/>
        <v>2.1300000000000003</v>
      </c>
      <c r="L226" s="347">
        <v>0.32</v>
      </c>
      <c r="M226" s="347">
        <v>0.03</v>
      </c>
      <c r="N226" s="13">
        <f t="shared" si="45"/>
        <v>1.7800000000000002</v>
      </c>
      <c r="O226" s="519">
        <f t="shared" si="40"/>
        <v>0</v>
      </c>
      <c r="P226" s="330">
        <f t="shared" si="41"/>
        <v>0</v>
      </c>
      <c r="Q226" s="269">
        <f>(-P226)*0.045</f>
        <v>0</v>
      </c>
      <c r="R226" s="269">
        <f t="shared" si="43"/>
        <v>0</v>
      </c>
    </row>
    <row r="227" spans="1:19" ht="15" customHeight="1" x14ac:dyDescent="0.2">
      <c r="A227" s="6" t="s">
        <v>557</v>
      </c>
      <c r="B227" s="337" t="s">
        <v>593</v>
      </c>
      <c r="C227" s="6" t="s">
        <v>594</v>
      </c>
      <c r="D227" s="6">
        <v>59622</v>
      </c>
      <c r="E227" s="6" t="s">
        <v>595</v>
      </c>
      <c r="F227" s="6"/>
      <c r="G227" s="9" t="s">
        <v>599</v>
      </c>
      <c r="H227" s="312">
        <v>827203</v>
      </c>
      <c r="I227" s="183">
        <f t="shared" si="37"/>
        <v>0</v>
      </c>
      <c r="J227" s="17">
        <f t="shared" si="46"/>
        <v>0</v>
      </c>
      <c r="K227" s="344">
        <f t="shared" si="44"/>
        <v>2.1300000000000003</v>
      </c>
      <c r="L227" s="347">
        <v>0.32</v>
      </c>
      <c r="M227" s="347">
        <v>0.03</v>
      </c>
      <c r="N227" s="13">
        <f t="shared" si="45"/>
        <v>1.7800000000000002</v>
      </c>
      <c r="O227" s="519">
        <f t="shared" si="40"/>
        <v>0</v>
      </c>
      <c r="P227" s="330">
        <f t="shared" si="41"/>
        <v>0</v>
      </c>
      <c r="Q227" s="269">
        <f>(-P227)*0.045</f>
        <v>0</v>
      </c>
      <c r="R227" s="269">
        <f t="shared" si="43"/>
        <v>0</v>
      </c>
    </row>
    <row r="228" spans="1:19" ht="15" customHeight="1" x14ac:dyDescent="0.2">
      <c r="A228" s="6" t="s">
        <v>557</v>
      </c>
      <c r="B228" s="337" t="s">
        <v>593</v>
      </c>
      <c r="C228" s="6" t="s">
        <v>594</v>
      </c>
      <c r="D228" s="6">
        <v>59622</v>
      </c>
      <c r="E228" s="6" t="s">
        <v>595</v>
      </c>
      <c r="F228" s="6"/>
      <c r="G228" s="9" t="s">
        <v>599</v>
      </c>
      <c r="H228" s="312">
        <v>828377</v>
      </c>
      <c r="I228" s="183">
        <f t="shared" si="37"/>
        <v>0</v>
      </c>
      <c r="J228" s="17">
        <f t="shared" si="46"/>
        <v>0</v>
      </c>
      <c r="K228" s="344">
        <f t="shared" si="44"/>
        <v>2.1300000000000003</v>
      </c>
      <c r="L228" s="347">
        <v>0.32</v>
      </c>
      <c r="M228" s="347">
        <v>0.03</v>
      </c>
      <c r="N228" s="13">
        <f t="shared" si="45"/>
        <v>1.7800000000000002</v>
      </c>
      <c r="O228" s="519">
        <f t="shared" si="40"/>
        <v>0</v>
      </c>
      <c r="P228" s="330">
        <f t="shared" si="41"/>
        <v>0</v>
      </c>
      <c r="Q228" s="269">
        <v>0</v>
      </c>
      <c r="R228" s="269">
        <f t="shared" si="43"/>
        <v>0</v>
      </c>
      <c r="S228" s="269"/>
    </row>
    <row r="229" spans="1:19" ht="15" customHeight="1" x14ac:dyDescent="0.2">
      <c r="A229" s="6" t="s">
        <v>557</v>
      </c>
      <c r="B229" s="337" t="s">
        <v>593</v>
      </c>
      <c r="C229" s="6" t="s">
        <v>594</v>
      </c>
      <c r="D229" s="6">
        <v>59622</v>
      </c>
      <c r="E229" s="6" t="s">
        <v>595</v>
      </c>
      <c r="F229" s="6"/>
      <c r="G229" s="9" t="s">
        <v>599</v>
      </c>
      <c r="H229" s="312">
        <v>828385</v>
      </c>
      <c r="I229" s="183">
        <f t="shared" si="37"/>
        <v>0</v>
      </c>
      <c r="J229" s="17">
        <f t="shared" si="46"/>
        <v>0</v>
      </c>
      <c r="K229" s="344">
        <f t="shared" si="44"/>
        <v>2.1300000000000003</v>
      </c>
      <c r="L229" s="347">
        <v>0.32</v>
      </c>
      <c r="M229" s="347">
        <v>0.03</v>
      </c>
      <c r="N229" s="13">
        <f t="shared" si="45"/>
        <v>1.7800000000000002</v>
      </c>
      <c r="O229" s="519">
        <f t="shared" si="40"/>
        <v>0</v>
      </c>
      <c r="P229" s="330">
        <f t="shared" si="41"/>
        <v>0</v>
      </c>
      <c r="Q229" s="269">
        <f>(-P229)*0.045</f>
        <v>0</v>
      </c>
      <c r="R229" s="269">
        <f t="shared" si="43"/>
        <v>0</v>
      </c>
    </row>
    <row r="230" spans="1:19" ht="15" customHeight="1" x14ac:dyDescent="0.2">
      <c r="A230" s="6" t="s">
        <v>557</v>
      </c>
      <c r="B230" s="337" t="s">
        <v>593</v>
      </c>
      <c r="C230" s="6" t="s">
        <v>594</v>
      </c>
      <c r="D230" s="6">
        <v>59622</v>
      </c>
      <c r="E230" s="6" t="s">
        <v>595</v>
      </c>
      <c r="F230" s="6"/>
      <c r="G230" s="9" t="s">
        <v>599</v>
      </c>
      <c r="H230" s="312">
        <v>828394</v>
      </c>
      <c r="I230" s="183">
        <f t="shared" si="37"/>
        <v>0</v>
      </c>
      <c r="J230" s="17">
        <f t="shared" si="46"/>
        <v>0</v>
      </c>
      <c r="K230" s="344">
        <f t="shared" si="44"/>
        <v>2.1300000000000003</v>
      </c>
      <c r="L230" s="347">
        <v>0.32</v>
      </c>
      <c r="M230" s="347">
        <v>0.03</v>
      </c>
      <c r="N230" s="13">
        <f t="shared" si="45"/>
        <v>1.7800000000000002</v>
      </c>
      <c r="O230" s="519">
        <f t="shared" si="40"/>
        <v>0</v>
      </c>
      <c r="P230" s="330">
        <f t="shared" si="41"/>
        <v>0</v>
      </c>
      <c r="Q230" s="269">
        <f>(-P230)*0.045</f>
        <v>0</v>
      </c>
      <c r="R230" s="269">
        <f t="shared" si="43"/>
        <v>0</v>
      </c>
    </row>
    <row r="231" spans="1:19" ht="15" customHeight="1" x14ac:dyDescent="0.2">
      <c r="A231" s="6" t="s">
        <v>557</v>
      </c>
      <c r="B231" s="337" t="s">
        <v>593</v>
      </c>
      <c r="C231" s="6" t="s">
        <v>594</v>
      </c>
      <c r="D231" s="6">
        <v>59622</v>
      </c>
      <c r="E231" s="6" t="s">
        <v>595</v>
      </c>
      <c r="F231" s="6"/>
      <c r="G231" s="9" t="s">
        <v>599</v>
      </c>
      <c r="H231" s="312">
        <v>829391</v>
      </c>
      <c r="I231" s="183">
        <f t="shared" si="37"/>
        <v>0</v>
      </c>
      <c r="J231" s="17">
        <f t="shared" si="46"/>
        <v>0</v>
      </c>
      <c r="K231" s="344">
        <f t="shared" si="44"/>
        <v>2.1300000000000003</v>
      </c>
      <c r="L231" s="347">
        <v>0.32</v>
      </c>
      <c r="M231" s="347">
        <v>0.03</v>
      </c>
      <c r="N231" s="13">
        <f t="shared" si="45"/>
        <v>1.7800000000000002</v>
      </c>
      <c r="O231" s="519">
        <f t="shared" si="40"/>
        <v>0</v>
      </c>
      <c r="P231" s="330">
        <f t="shared" si="41"/>
        <v>0</v>
      </c>
      <c r="Q231" s="269">
        <f>(-P231)*0.045</f>
        <v>0</v>
      </c>
      <c r="R231" s="269">
        <f t="shared" si="43"/>
        <v>0</v>
      </c>
    </row>
    <row r="232" spans="1:19" ht="15" customHeight="1" x14ac:dyDescent="0.2">
      <c r="A232" s="6" t="s">
        <v>557</v>
      </c>
      <c r="B232" s="337" t="s">
        <v>593</v>
      </c>
      <c r="C232" s="6" t="s">
        <v>594</v>
      </c>
      <c r="D232" s="6">
        <v>59622</v>
      </c>
      <c r="E232" s="6" t="s">
        <v>595</v>
      </c>
      <c r="F232" s="6"/>
      <c r="G232" s="9" t="s">
        <v>599</v>
      </c>
      <c r="H232" s="312">
        <v>829863</v>
      </c>
      <c r="I232" s="183">
        <f t="shared" si="37"/>
        <v>0</v>
      </c>
      <c r="J232" s="17">
        <f t="shared" si="46"/>
        <v>0</v>
      </c>
      <c r="K232" s="344">
        <f t="shared" si="44"/>
        <v>2.1300000000000003</v>
      </c>
      <c r="L232" s="347">
        <v>0.32</v>
      </c>
      <c r="M232" s="347">
        <v>0.03</v>
      </c>
      <c r="N232" s="13">
        <f t="shared" si="45"/>
        <v>1.7800000000000002</v>
      </c>
      <c r="O232" s="519">
        <f t="shared" si="40"/>
        <v>0</v>
      </c>
      <c r="P232" s="330">
        <f t="shared" si="41"/>
        <v>0</v>
      </c>
      <c r="Q232" s="269">
        <v>0</v>
      </c>
      <c r="R232" s="269">
        <f t="shared" si="43"/>
        <v>0</v>
      </c>
      <c r="S232" s="269"/>
    </row>
    <row r="233" spans="1:19" ht="15" customHeight="1" x14ac:dyDescent="0.2">
      <c r="A233" s="6" t="s">
        <v>557</v>
      </c>
      <c r="B233" s="337" t="s">
        <v>593</v>
      </c>
      <c r="C233" s="6" t="s">
        <v>594</v>
      </c>
      <c r="D233" s="6">
        <v>59622</v>
      </c>
      <c r="E233" s="6" t="s">
        <v>595</v>
      </c>
      <c r="F233" s="6"/>
      <c r="G233" s="9" t="s">
        <v>599</v>
      </c>
      <c r="H233" s="312">
        <v>829864</v>
      </c>
      <c r="I233" s="183">
        <f t="shared" si="37"/>
        <v>0</v>
      </c>
      <c r="J233" s="17">
        <f t="shared" si="46"/>
        <v>0</v>
      </c>
      <c r="K233" s="344">
        <f t="shared" si="44"/>
        <v>2.1300000000000003</v>
      </c>
      <c r="L233" s="347">
        <v>0.32</v>
      </c>
      <c r="M233" s="347">
        <v>0.03</v>
      </c>
      <c r="N233" s="13">
        <f t="shared" si="45"/>
        <v>1.7800000000000002</v>
      </c>
      <c r="O233" s="519">
        <f t="shared" si="40"/>
        <v>0</v>
      </c>
      <c r="P233" s="330">
        <f t="shared" si="41"/>
        <v>0</v>
      </c>
      <c r="Q233" s="269">
        <f>(-P233)*0.045</f>
        <v>0</v>
      </c>
      <c r="R233" s="269">
        <f t="shared" si="43"/>
        <v>0</v>
      </c>
    </row>
    <row r="234" spans="1:19" ht="15" customHeight="1" x14ac:dyDescent="0.2">
      <c r="A234" s="6" t="s">
        <v>557</v>
      </c>
      <c r="B234" s="337" t="s">
        <v>593</v>
      </c>
      <c r="C234" s="6" t="s">
        <v>594</v>
      </c>
      <c r="D234" s="6">
        <v>59622</v>
      </c>
      <c r="E234" s="6" t="s">
        <v>595</v>
      </c>
      <c r="F234" s="6"/>
      <c r="G234" s="9" t="s">
        <v>599</v>
      </c>
      <c r="H234" s="312">
        <v>829948</v>
      </c>
      <c r="I234" s="183">
        <f t="shared" si="37"/>
        <v>0</v>
      </c>
      <c r="J234" s="17">
        <f t="shared" si="46"/>
        <v>0</v>
      </c>
      <c r="K234" s="344">
        <f t="shared" si="44"/>
        <v>2.1300000000000003</v>
      </c>
      <c r="L234" s="347">
        <v>0.32</v>
      </c>
      <c r="M234" s="347">
        <v>0.03</v>
      </c>
      <c r="N234" s="13">
        <f t="shared" si="45"/>
        <v>1.7800000000000002</v>
      </c>
      <c r="O234" s="519">
        <f t="shared" si="40"/>
        <v>0</v>
      </c>
      <c r="P234" s="330">
        <f t="shared" si="41"/>
        <v>0</v>
      </c>
      <c r="Q234" s="269">
        <v>0</v>
      </c>
      <c r="R234" s="269">
        <f>+P234+S234</f>
        <v>0</v>
      </c>
      <c r="S234" s="269"/>
    </row>
    <row r="235" spans="1:19" ht="15" customHeight="1" x14ac:dyDescent="0.2">
      <c r="A235" s="6" t="s">
        <v>1457</v>
      </c>
      <c r="B235" s="6"/>
      <c r="C235" s="1" t="s">
        <v>12</v>
      </c>
      <c r="D235" s="1"/>
      <c r="E235" s="1"/>
      <c r="F235" s="1">
        <v>168454</v>
      </c>
      <c r="G235" s="9" t="s">
        <v>1418</v>
      </c>
      <c r="H235" s="338">
        <v>828355</v>
      </c>
      <c r="I235" s="183" t="str">
        <f t="shared" si="37"/>
        <v>na</v>
      </c>
      <c r="J235" s="17" t="str">
        <f t="shared" si="46"/>
        <v>na</v>
      </c>
      <c r="K235" s="343">
        <f>+$K$3*0.98</f>
        <v>2.0972</v>
      </c>
      <c r="L235" s="219">
        <v>0.32</v>
      </c>
      <c r="M235" s="219">
        <v>0</v>
      </c>
      <c r="N235" s="13">
        <f t="shared" si="45"/>
        <v>1.7771999999999999</v>
      </c>
      <c r="O235" s="519" t="str">
        <f t="shared" si="40"/>
        <v>na</v>
      </c>
      <c r="P235" s="330" t="e">
        <f t="shared" si="41"/>
        <v>#VALUE!</v>
      </c>
      <c r="Q235" s="269" t="e">
        <f>(-P235)*0.045</f>
        <v>#VALUE!</v>
      </c>
      <c r="R235" s="269" t="e">
        <f>+P235+Q235</f>
        <v>#VALUE!</v>
      </c>
    </row>
    <row r="236" spans="1:19" ht="15" customHeight="1" x14ac:dyDescent="0.2">
      <c r="A236" s="6" t="s">
        <v>1457</v>
      </c>
      <c r="B236" s="6"/>
      <c r="C236" s="1" t="s">
        <v>12</v>
      </c>
      <c r="D236" s="1"/>
      <c r="E236" s="1"/>
      <c r="F236" s="1">
        <v>168454</v>
      </c>
      <c r="G236" s="9" t="s">
        <v>1418</v>
      </c>
      <c r="H236" s="338">
        <v>834225</v>
      </c>
      <c r="I236" s="183" t="str">
        <f t="shared" si="37"/>
        <v>na</v>
      </c>
      <c r="J236" s="17" t="str">
        <f t="shared" si="46"/>
        <v>na</v>
      </c>
      <c r="K236" s="343">
        <f>+$K$3*0.98</f>
        <v>2.0972</v>
      </c>
      <c r="L236" s="219">
        <v>0.32</v>
      </c>
      <c r="M236" s="219">
        <v>0</v>
      </c>
      <c r="N236" s="13">
        <f t="shared" si="45"/>
        <v>1.7771999999999999</v>
      </c>
      <c r="O236" s="519" t="str">
        <f t="shared" si="40"/>
        <v>na</v>
      </c>
      <c r="P236" s="330" t="e">
        <f t="shared" si="41"/>
        <v>#VALUE!</v>
      </c>
      <c r="Q236" s="269" t="e">
        <f>(-P236)*0.045</f>
        <v>#VALUE!</v>
      </c>
      <c r="R236" s="269" t="e">
        <f>+P236+Q236</f>
        <v>#VALUE!</v>
      </c>
    </row>
    <row r="237" spans="1:19" ht="15" customHeight="1" x14ac:dyDescent="0.2">
      <c r="A237" s="6" t="s">
        <v>1457</v>
      </c>
      <c r="B237" s="6"/>
      <c r="C237" s="1" t="s">
        <v>1784</v>
      </c>
      <c r="D237" s="1"/>
      <c r="E237" s="1"/>
      <c r="F237" s="1">
        <v>168468</v>
      </c>
      <c r="G237" s="252" t="s">
        <v>1454</v>
      </c>
      <c r="H237" s="338">
        <v>801195</v>
      </c>
      <c r="I237" s="183">
        <f t="shared" si="37"/>
        <v>0</v>
      </c>
      <c r="J237" s="17">
        <f t="shared" si="46"/>
        <v>0</v>
      </c>
      <c r="K237" s="343">
        <f>+$K$3*0.97</f>
        <v>2.0758000000000001</v>
      </c>
      <c r="L237" s="219">
        <v>0.32</v>
      </c>
      <c r="M237" s="219">
        <v>0</v>
      </c>
      <c r="N237" s="13">
        <f t="shared" si="45"/>
        <v>1.7558</v>
      </c>
      <c r="O237" s="519">
        <f t="shared" si="40"/>
        <v>0</v>
      </c>
      <c r="P237" s="330">
        <f t="shared" si="41"/>
        <v>0</v>
      </c>
      <c r="Q237" s="269">
        <f>(-P237)*0.045</f>
        <v>0</v>
      </c>
      <c r="R237" s="269">
        <f>+P237+Q237</f>
        <v>0</v>
      </c>
    </row>
    <row r="238" spans="1:19" ht="15" customHeight="1" x14ac:dyDescent="0.2">
      <c r="A238" s="6" t="s">
        <v>1457</v>
      </c>
      <c r="B238" s="6"/>
      <c r="C238" s="1" t="s">
        <v>1814</v>
      </c>
      <c r="D238" s="1"/>
      <c r="E238" s="1"/>
      <c r="F238" s="186">
        <v>225493</v>
      </c>
      <c r="G238" s="252" t="s">
        <v>1418</v>
      </c>
      <c r="H238" s="338">
        <v>804966</v>
      </c>
      <c r="I238" s="183" t="str">
        <f t="shared" si="37"/>
        <v>na</v>
      </c>
      <c r="J238" s="17" t="str">
        <f t="shared" si="46"/>
        <v>na</v>
      </c>
      <c r="K238" s="343">
        <f>+$K$3*0.98</f>
        <v>2.0972</v>
      </c>
      <c r="L238" s="219">
        <v>0.32</v>
      </c>
      <c r="M238" s="219">
        <v>0</v>
      </c>
      <c r="N238" s="13">
        <f t="shared" si="45"/>
        <v>1.7771999999999999</v>
      </c>
      <c r="O238" s="519" t="str">
        <f t="shared" si="40"/>
        <v>na</v>
      </c>
      <c r="P238" s="330" t="e">
        <f t="shared" si="41"/>
        <v>#VALUE!</v>
      </c>
    </row>
    <row r="239" spans="1:19" ht="15" customHeight="1" x14ac:dyDescent="0.2">
      <c r="A239" s="6" t="s">
        <v>547</v>
      </c>
      <c r="B239" s="329" t="s">
        <v>600</v>
      </c>
      <c r="C239" s="6" t="s">
        <v>601</v>
      </c>
      <c r="D239" s="6">
        <v>65229</v>
      </c>
      <c r="E239" s="6" t="s">
        <v>602</v>
      </c>
      <c r="F239" s="6"/>
      <c r="G239" s="9" t="s">
        <v>574</v>
      </c>
      <c r="H239" s="312">
        <v>800419</v>
      </c>
      <c r="I239" s="183">
        <f t="shared" si="37"/>
        <v>0</v>
      </c>
      <c r="J239" s="17">
        <f t="shared" si="46"/>
        <v>0</v>
      </c>
      <c r="K239" s="344">
        <f>+$K$3*0.95</f>
        <v>2.0329999999999999</v>
      </c>
      <c r="L239" s="347">
        <v>0.32</v>
      </c>
      <c r="M239" s="347">
        <v>0.03</v>
      </c>
      <c r="N239" s="13">
        <f t="shared" si="45"/>
        <v>1.6829999999999998</v>
      </c>
      <c r="O239" s="519">
        <f t="shared" si="40"/>
        <v>0</v>
      </c>
      <c r="P239" s="330">
        <f t="shared" si="41"/>
        <v>0</v>
      </c>
    </row>
    <row r="240" spans="1:19" ht="15" customHeight="1" x14ac:dyDescent="0.2">
      <c r="A240" s="6" t="s">
        <v>1457</v>
      </c>
      <c r="B240" s="6"/>
      <c r="C240" s="1" t="s">
        <v>1801</v>
      </c>
      <c r="D240" s="1"/>
      <c r="E240" s="1"/>
      <c r="F240" s="1">
        <v>163381</v>
      </c>
      <c r="G240" s="9" t="s">
        <v>1453</v>
      </c>
      <c r="H240" s="338">
        <v>835422</v>
      </c>
      <c r="I240" s="183" t="str">
        <f t="shared" si="37"/>
        <v>na</v>
      </c>
      <c r="J240" s="17" t="str">
        <f t="shared" si="46"/>
        <v>na</v>
      </c>
      <c r="K240" s="343">
        <f>+$K$3</f>
        <v>2.14</v>
      </c>
      <c r="L240" s="219">
        <v>0.32</v>
      </c>
      <c r="M240" s="219">
        <v>0</v>
      </c>
      <c r="N240" s="13">
        <f t="shared" si="45"/>
        <v>1.82</v>
      </c>
      <c r="O240" s="519" t="str">
        <f t="shared" si="40"/>
        <v>na</v>
      </c>
      <c r="P240" s="330" t="e">
        <f t="shared" si="41"/>
        <v>#VALUE!</v>
      </c>
      <c r="Q240" s="269" t="e">
        <f>(-P240)*0.045</f>
        <v>#VALUE!</v>
      </c>
      <c r="R240" s="269" t="e">
        <f>+P240+Q240</f>
        <v>#VALUE!</v>
      </c>
    </row>
    <row r="241" spans="1:18" ht="15" customHeight="1" x14ac:dyDescent="0.2">
      <c r="A241" s="6" t="s">
        <v>1457</v>
      </c>
      <c r="B241" s="6"/>
      <c r="C241" s="1" t="s">
        <v>1801</v>
      </c>
      <c r="D241" s="1"/>
      <c r="E241" s="1"/>
      <c r="F241" s="1">
        <v>163381</v>
      </c>
      <c r="G241" s="9" t="s">
        <v>1453</v>
      </c>
      <c r="H241" s="338">
        <v>835423</v>
      </c>
      <c r="I241" s="183" t="str">
        <f t="shared" si="37"/>
        <v>na</v>
      </c>
      <c r="J241" s="17" t="str">
        <f t="shared" si="46"/>
        <v>na</v>
      </c>
      <c r="K241" s="343">
        <f>+$K$3</f>
        <v>2.14</v>
      </c>
      <c r="L241" s="219">
        <v>0.32</v>
      </c>
      <c r="M241" s="219">
        <v>0</v>
      </c>
      <c r="N241" s="13">
        <f t="shared" si="45"/>
        <v>1.82</v>
      </c>
      <c r="O241" s="519" t="str">
        <f t="shared" si="40"/>
        <v>na</v>
      </c>
      <c r="P241" s="330" t="e">
        <f t="shared" si="41"/>
        <v>#VALUE!</v>
      </c>
      <c r="Q241" s="269" t="e">
        <f>(-P241)*0.045</f>
        <v>#VALUE!</v>
      </c>
      <c r="R241" s="269" t="e">
        <f>+P241+Q241</f>
        <v>#VALUE!</v>
      </c>
    </row>
    <row r="242" spans="1:18" ht="15" customHeight="1" x14ac:dyDescent="0.2">
      <c r="A242" s="6" t="s">
        <v>1457</v>
      </c>
      <c r="B242" s="6"/>
      <c r="C242" s="1" t="s">
        <v>1786</v>
      </c>
      <c r="D242" s="1"/>
      <c r="E242" s="1"/>
      <c r="F242" s="1">
        <v>163815</v>
      </c>
      <c r="G242" s="252" t="s">
        <v>1418</v>
      </c>
      <c r="H242" s="338">
        <v>801931</v>
      </c>
      <c r="I242" s="183">
        <f t="shared" si="37"/>
        <v>0</v>
      </c>
      <c r="J242" s="17">
        <f t="shared" si="46"/>
        <v>0</v>
      </c>
      <c r="K242" s="343">
        <f>+$K$3*0.98</f>
        <v>2.0972</v>
      </c>
      <c r="L242" s="219">
        <v>0.32</v>
      </c>
      <c r="M242" s="219">
        <v>0.03</v>
      </c>
      <c r="N242" s="13">
        <f t="shared" si="45"/>
        <v>1.7471999999999999</v>
      </c>
      <c r="O242" s="519">
        <f t="shared" si="40"/>
        <v>0</v>
      </c>
      <c r="P242" s="330">
        <f t="shared" si="41"/>
        <v>0</v>
      </c>
    </row>
    <row r="243" spans="1:18" ht="15" customHeight="1" x14ac:dyDescent="0.2">
      <c r="A243" s="6" t="s">
        <v>1457</v>
      </c>
      <c r="B243" s="6"/>
      <c r="C243" s="1" t="s">
        <v>1760</v>
      </c>
      <c r="D243" s="1"/>
      <c r="E243" s="1"/>
      <c r="F243" s="1">
        <v>163817</v>
      </c>
      <c r="G243" s="252" t="s">
        <v>1418</v>
      </c>
      <c r="H243" s="338">
        <v>801808</v>
      </c>
      <c r="I243" s="183">
        <f t="shared" si="37"/>
        <v>0</v>
      </c>
      <c r="J243" s="17">
        <f t="shared" si="46"/>
        <v>0</v>
      </c>
      <c r="K243" s="343">
        <f>+$K$3*0.98</f>
        <v>2.0972</v>
      </c>
      <c r="L243" s="219">
        <v>0.32</v>
      </c>
      <c r="M243" s="219">
        <v>0</v>
      </c>
      <c r="N243" s="13">
        <f t="shared" si="45"/>
        <v>1.7771999999999999</v>
      </c>
      <c r="O243" s="519">
        <f t="shared" si="40"/>
        <v>0</v>
      </c>
      <c r="P243" s="330">
        <f t="shared" si="41"/>
        <v>0</v>
      </c>
    </row>
    <row r="244" spans="1:18" ht="15" customHeight="1" x14ac:dyDescent="0.2">
      <c r="A244" s="6" t="s">
        <v>547</v>
      </c>
      <c r="B244" s="329" t="s">
        <v>603</v>
      </c>
      <c r="C244" s="666" t="s">
        <v>604</v>
      </c>
      <c r="D244" s="666">
        <v>67883</v>
      </c>
      <c r="E244" s="666" t="s">
        <v>605</v>
      </c>
      <c r="F244" s="666"/>
      <c r="G244" s="828" t="s">
        <v>606</v>
      </c>
      <c r="H244" s="339">
        <v>804452</v>
      </c>
      <c r="I244" s="876">
        <f t="shared" si="37"/>
        <v>0</v>
      </c>
      <c r="J244" s="536">
        <f t="shared" si="46"/>
        <v>175</v>
      </c>
      <c r="K244" s="344">
        <f>+$K$3-0.08</f>
        <v>2.06</v>
      </c>
      <c r="L244" s="347">
        <v>0.32</v>
      </c>
      <c r="M244" s="347">
        <v>0.03</v>
      </c>
      <c r="N244" s="13">
        <f t="shared" si="45"/>
        <v>1.71</v>
      </c>
      <c r="O244" s="519">
        <f t="shared" si="40"/>
        <v>25</v>
      </c>
      <c r="P244" s="330">
        <f t="shared" si="41"/>
        <v>274.25</v>
      </c>
      <c r="Q244" s="878" t="s">
        <v>2202</v>
      </c>
    </row>
    <row r="245" spans="1:18" ht="15" customHeight="1" x14ac:dyDescent="0.2">
      <c r="A245" s="6" t="s">
        <v>1457</v>
      </c>
      <c r="B245" s="6"/>
      <c r="C245" s="1" t="s">
        <v>1758</v>
      </c>
      <c r="D245" s="271" t="s">
        <v>1682</v>
      </c>
      <c r="E245" s="1"/>
      <c r="F245" s="1">
        <v>166887</v>
      </c>
      <c r="G245" s="252" t="s">
        <v>1453</v>
      </c>
      <c r="H245" s="338">
        <v>619045</v>
      </c>
      <c r="I245" s="183">
        <f t="shared" si="37"/>
        <v>0</v>
      </c>
      <c r="J245" s="17">
        <f t="shared" si="46"/>
        <v>0</v>
      </c>
      <c r="K245" s="343">
        <f>+$K$3</f>
        <v>2.14</v>
      </c>
      <c r="L245" s="219">
        <v>0.32</v>
      </c>
      <c r="M245" s="219">
        <v>0</v>
      </c>
      <c r="N245" s="13">
        <f t="shared" si="45"/>
        <v>1.82</v>
      </c>
      <c r="O245" s="519">
        <f t="shared" si="40"/>
        <v>0</v>
      </c>
      <c r="P245" s="330">
        <f t="shared" si="41"/>
        <v>0</v>
      </c>
      <c r="Q245" s="269">
        <v>0</v>
      </c>
      <c r="R245" s="269">
        <f>+P245+Q245</f>
        <v>0</v>
      </c>
    </row>
    <row r="246" spans="1:18" ht="15" customHeight="1" x14ac:dyDescent="0.2">
      <c r="A246" s="6" t="s">
        <v>1457</v>
      </c>
      <c r="B246" s="6"/>
      <c r="C246" s="244" t="s">
        <v>1758</v>
      </c>
      <c r="D246" s="244" t="s">
        <v>1683</v>
      </c>
      <c r="E246" s="1"/>
      <c r="F246" s="1">
        <v>166887</v>
      </c>
      <c r="G246" s="252" t="s">
        <v>1453</v>
      </c>
      <c r="H246" s="338">
        <v>819529</v>
      </c>
      <c r="I246" s="183" t="str">
        <f t="shared" si="37"/>
        <v>na</v>
      </c>
      <c r="J246" s="17" t="str">
        <f t="shared" si="46"/>
        <v>na</v>
      </c>
      <c r="K246" s="343">
        <f>+$K$3</f>
        <v>2.14</v>
      </c>
      <c r="L246" s="219">
        <v>0.32</v>
      </c>
      <c r="M246" s="219">
        <v>0</v>
      </c>
      <c r="N246" s="13">
        <f t="shared" ref="N246:N280" si="47">+K246-L246-M246</f>
        <v>1.82</v>
      </c>
      <c r="O246" s="519" t="str">
        <f t="shared" si="40"/>
        <v>na</v>
      </c>
      <c r="P246" s="330" t="e">
        <f t="shared" si="41"/>
        <v>#VALUE!</v>
      </c>
      <c r="Q246" s="269" t="e">
        <f>(-P246)*0.045</f>
        <v>#VALUE!</v>
      </c>
      <c r="R246" s="269" t="e">
        <f>+P246+Q246</f>
        <v>#VALUE!</v>
      </c>
    </row>
    <row r="247" spans="1:18" ht="15" customHeight="1" x14ac:dyDescent="0.2">
      <c r="A247" s="6" t="s">
        <v>1457</v>
      </c>
      <c r="B247" s="6"/>
      <c r="C247" s="244" t="s">
        <v>1758</v>
      </c>
      <c r="D247" s="244" t="s">
        <v>1683</v>
      </c>
      <c r="E247" s="1"/>
      <c r="F247" s="1">
        <v>166887</v>
      </c>
      <c r="G247" s="252" t="s">
        <v>1453</v>
      </c>
      <c r="H247" s="338">
        <v>820773</v>
      </c>
      <c r="I247" s="183" t="str">
        <f t="shared" si="37"/>
        <v>na</v>
      </c>
      <c r="J247" s="17" t="str">
        <f t="shared" si="46"/>
        <v>na</v>
      </c>
      <c r="K247" s="343">
        <f>+$K$3</f>
        <v>2.14</v>
      </c>
      <c r="L247" s="219">
        <v>0.32</v>
      </c>
      <c r="M247" s="219">
        <v>0</v>
      </c>
      <c r="N247" s="13">
        <f t="shared" si="47"/>
        <v>1.82</v>
      </c>
      <c r="O247" s="519" t="str">
        <f t="shared" si="40"/>
        <v>na</v>
      </c>
      <c r="P247" s="330" t="e">
        <f t="shared" si="41"/>
        <v>#VALUE!</v>
      </c>
      <c r="Q247" s="269" t="e">
        <f>(-P247)*0.045</f>
        <v>#VALUE!</v>
      </c>
      <c r="R247" s="269" t="e">
        <f>+P247+Q247</f>
        <v>#VALUE!</v>
      </c>
    </row>
    <row r="248" spans="1:18" ht="15" customHeight="1" x14ac:dyDescent="0.2">
      <c r="A248" s="6" t="s">
        <v>1457</v>
      </c>
      <c r="B248" s="6"/>
      <c r="C248" s="1" t="s">
        <v>11</v>
      </c>
      <c r="D248" s="186" t="s">
        <v>1802</v>
      </c>
      <c r="E248" s="1"/>
      <c r="F248" s="1">
        <v>164268</v>
      </c>
      <c r="G248" s="252" t="s">
        <v>1525</v>
      </c>
      <c r="H248" s="338">
        <v>804513</v>
      </c>
      <c r="I248" s="263">
        <f t="shared" si="37"/>
        <v>0</v>
      </c>
      <c r="J248" s="263">
        <f t="shared" si="46"/>
        <v>3373</v>
      </c>
      <c r="K248" s="343">
        <f>+$K$3-0.02</f>
        <v>2.12</v>
      </c>
      <c r="L248" s="219">
        <v>0.32</v>
      </c>
      <c r="M248" s="219">
        <v>0</v>
      </c>
      <c r="N248" s="13">
        <f t="shared" si="47"/>
        <v>1.8</v>
      </c>
      <c r="O248" s="519">
        <f t="shared" si="40"/>
        <v>25</v>
      </c>
      <c r="P248" s="330">
        <f t="shared" si="41"/>
        <v>6046.4000000000005</v>
      </c>
      <c r="Q248" s="135"/>
      <c r="R248" s="135"/>
    </row>
    <row r="249" spans="1:18" ht="15" customHeight="1" x14ac:dyDescent="0.2">
      <c r="A249" s="6" t="s">
        <v>1457</v>
      </c>
      <c r="B249" s="6"/>
      <c r="C249" s="1" t="s">
        <v>11</v>
      </c>
      <c r="D249" s="186" t="s">
        <v>1802</v>
      </c>
      <c r="E249" s="1"/>
      <c r="F249" s="1">
        <v>225487</v>
      </c>
      <c r="G249" s="252" t="s">
        <v>1525</v>
      </c>
      <c r="H249" s="338">
        <v>826176</v>
      </c>
      <c r="I249" s="263">
        <f t="shared" si="37"/>
        <v>0</v>
      </c>
      <c r="J249" s="263">
        <f t="shared" si="46"/>
        <v>59</v>
      </c>
      <c r="K249" s="343">
        <f>+$K$3-0.02</f>
        <v>2.12</v>
      </c>
      <c r="L249" s="219">
        <v>0.32</v>
      </c>
      <c r="M249" s="219">
        <v>0</v>
      </c>
      <c r="N249" s="13">
        <f t="shared" si="47"/>
        <v>1.8</v>
      </c>
      <c r="O249" s="519">
        <f t="shared" si="40"/>
        <v>25</v>
      </c>
      <c r="P249" s="330">
        <f t="shared" si="41"/>
        <v>81.2</v>
      </c>
      <c r="Q249" s="135"/>
      <c r="R249" s="135"/>
    </row>
    <row r="250" spans="1:18" ht="15" customHeight="1" x14ac:dyDescent="0.2">
      <c r="A250" s="6" t="s">
        <v>1457</v>
      </c>
      <c r="B250" s="6"/>
      <c r="C250" s="1" t="s">
        <v>1787</v>
      </c>
      <c r="D250" s="1"/>
      <c r="E250" s="1"/>
      <c r="F250" s="1">
        <v>163816</v>
      </c>
      <c r="G250" s="9" t="s">
        <v>1453</v>
      </c>
      <c r="H250" s="338">
        <v>804930</v>
      </c>
      <c r="I250" s="183">
        <f t="shared" si="37"/>
        <v>0</v>
      </c>
      <c r="J250" s="17">
        <f t="shared" si="46"/>
        <v>0</v>
      </c>
      <c r="K250" s="343">
        <f>+$K$3</f>
        <v>2.14</v>
      </c>
      <c r="L250" s="219">
        <v>0.32</v>
      </c>
      <c r="M250" s="219">
        <v>0.03</v>
      </c>
      <c r="N250" s="13">
        <f t="shared" si="47"/>
        <v>1.79</v>
      </c>
      <c r="O250" s="519">
        <f t="shared" si="40"/>
        <v>0</v>
      </c>
      <c r="P250" s="330">
        <f t="shared" si="41"/>
        <v>0</v>
      </c>
      <c r="Q250" s="269">
        <f>(-P250)*0.045</f>
        <v>0</v>
      </c>
      <c r="R250" s="269">
        <f>+P250+Q250</f>
        <v>0</v>
      </c>
    </row>
    <row r="251" spans="1:18" ht="15" customHeight="1" x14ac:dyDescent="0.2">
      <c r="A251" s="6" t="s">
        <v>1457</v>
      </c>
      <c r="B251" s="6"/>
      <c r="C251" s="1" t="s">
        <v>1787</v>
      </c>
      <c r="D251" s="1"/>
      <c r="E251" s="1"/>
      <c r="F251" s="1">
        <v>163816</v>
      </c>
      <c r="G251" s="9" t="s">
        <v>1453</v>
      </c>
      <c r="H251" s="338">
        <v>805113</v>
      </c>
      <c r="I251" s="183">
        <f t="shared" si="37"/>
        <v>0</v>
      </c>
      <c r="J251" s="17">
        <f t="shared" si="46"/>
        <v>0</v>
      </c>
      <c r="K251" s="343">
        <f>+$K$3</f>
        <v>2.14</v>
      </c>
      <c r="L251" s="219">
        <v>0.32</v>
      </c>
      <c r="M251" s="219">
        <v>0</v>
      </c>
      <c r="N251" s="13">
        <f t="shared" si="47"/>
        <v>1.82</v>
      </c>
      <c r="O251" s="519">
        <f t="shared" ref="O251:O283" si="48">IF(ISNA(VLOOKUP(H251,CNRGas,5,FALSE)),"na",VLOOKUP(H251,CNRGas,5,FALSE))</f>
        <v>0</v>
      </c>
      <c r="P251" s="330">
        <f t="shared" si="41"/>
        <v>0</v>
      </c>
      <c r="Q251" s="269">
        <f>(-P251)*0.045</f>
        <v>0</v>
      </c>
      <c r="R251" s="269">
        <f>+P251+Q251</f>
        <v>0</v>
      </c>
    </row>
    <row r="252" spans="1:18" ht="15" customHeight="1" x14ac:dyDescent="0.2">
      <c r="A252" s="6" t="s">
        <v>1457</v>
      </c>
      <c r="B252" s="6"/>
      <c r="C252" s="1" t="s">
        <v>1787</v>
      </c>
      <c r="D252" s="1"/>
      <c r="E252" s="1"/>
      <c r="F252" s="1">
        <v>163816</v>
      </c>
      <c r="G252" s="9" t="s">
        <v>1453</v>
      </c>
      <c r="H252" s="338">
        <v>805945</v>
      </c>
      <c r="I252" s="183">
        <f t="shared" ref="I252:I285" si="49">IF(ISNA(VLOOKUP(H252,CNRGas,4,FALSE)),"na",VLOOKUP(H252,CNRGas,4,FALSE))</f>
        <v>0</v>
      </c>
      <c r="J252" s="17">
        <f t="shared" ref="J252:J285" si="50">IF(ISNA(VLOOKUP(H252,CNRGas,3,FALSE)),"na",VLOOKUP(H252,CNRGas,3,FALSE))</f>
        <v>0</v>
      </c>
      <c r="K252" s="343">
        <f>+$K$3</f>
        <v>2.14</v>
      </c>
      <c r="L252" s="219">
        <v>0.32</v>
      </c>
      <c r="M252" s="219">
        <v>0</v>
      </c>
      <c r="N252" s="13">
        <f t="shared" si="47"/>
        <v>1.82</v>
      </c>
      <c r="O252" s="519">
        <f t="shared" si="48"/>
        <v>0</v>
      </c>
      <c r="P252" s="330">
        <f t="shared" si="41"/>
        <v>0</v>
      </c>
      <c r="Q252" s="269">
        <f>(-P252)*0.045</f>
        <v>0</v>
      </c>
      <c r="R252" s="269">
        <f>+P252+Q252</f>
        <v>0</v>
      </c>
    </row>
    <row r="253" spans="1:18" ht="15" customHeight="1" thickBot="1" x14ac:dyDescent="0.25">
      <c r="A253" s="6" t="s">
        <v>1457</v>
      </c>
      <c r="B253" s="6"/>
      <c r="C253" s="1" t="s">
        <v>1788</v>
      </c>
      <c r="D253" s="1"/>
      <c r="E253" s="1"/>
      <c r="F253" s="186">
        <v>226529</v>
      </c>
      <c r="G253" s="9">
        <v>2.34</v>
      </c>
      <c r="H253" s="338">
        <v>800785</v>
      </c>
      <c r="I253" s="183">
        <f t="shared" si="49"/>
        <v>0</v>
      </c>
      <c r="J253" s="17">
        <f t="shared" si="50"/>
        <v>125</v>
      </c>
      <c r="K253" s="343">
        <v>2.34</v>
      </c>
      <c r="L253" s="219">
        <v>0.32</v>
      </c>
      <c r="M253" s="219">
        <v>0.03</v>
      </c>
      <c r="N253" s="13">
        <f t="shared" si="47"/>
        <v>1.99</v>
      </c>
      <c r="O253" s="519">
        <f t="shared" si="48"/>
        <v>25</v>
      </c>
      <c r="P253" s="330">
        <f t="shared" si="41"/>
        <v>223.75</v>
      </c>
    </row>
    <row r="254" spans="1:18" ht="15" customHeight="1" x14ac:dyDescent="0.2">
      <c r="A254" s="6" t="s">
        <v>1457</v>
      </c>
      <c r="B254" s="6"/>
      <c r="C254" s="464" t="s">
        <v>1791</v>
      </c>
      <c r="D254" s="464"/>
      <c r="E254" s="464"/>
      <c r="F254" s="464">
        <v>222927</v>
      </c>
      <c r="G254" s="521" t="s">
        <v>1826</v>
      </c>
      <c r="H254" s="522">
        <v>801795</v>
      </c>
      <c r="I254" s="523">
        <f t="shared" si="49"/>
        <v>0</v>
      </c>
      <c r="J254" s="268">
        <f t="shared" si="50"/>
        <v>0</v>
      </c>
      <c r="K254" s="424">
        <f>+$K$3</f>
        <v>2.14</v>
      </c>
      <c r="L254" s="524">
        <v>0.32</v>
      </c>
      <c r="M254" s="524">
        <v>0</v>
      </c>
      <c r="N254" s="525">
        <f t="shared" si="47"/>
        <v>1.82</v>
      </c>
      <c r="O254" s="526">
        <f t="shared" si="48"/>
        <v>0</v>
      </c>
      <c r="P254" s="330">
        <f t="shared" si="41"/>
        <v>0</v>
      </c>
      <c r="Q254" s="530" t="s">
        <v>1855</v>
      </c>
      <c r="R254" s="531"/>
    </row>
    <row r="255" spans="1:18" ht="15" customHeight="1" thickBot="1" x14ac:dyDescent="0.25">
      <c r="A255" s="6" t="s">
        <v>1457</v>
      </c>
      <c r="B255" s="6"/>
      <c r="C255" s="464" t="s">
        <v>1791</v>
      </c>
      <c r="D255" s="464"/>
      <c r="E255" s="464"/>
      <c r="F255" s="464">
        <v>222927</v>
      </c>
      <c r="G255" s="521" t="s">
        <v>1826</v>
      </c>
      <c r="H255" s="522">
        <v>802384</v>
      </c>
      <c r="I255" s="523">
        <f t="shared" si="49"/>
        <v>0</v>
      </c>
      <c r="J255" s="268">
        <f t="shared" si="50"/>
        <v>0</v>
      </c>
      <c r="K255" s="424">
        <f>+$K$3</f>
        <v>2.14</v>
      </c>
      <c r="L255" s="524">
        <v>0.32</v>
      </c>
      <c r="M255" s="524">
        <v>0</v>
      </c>
      <c r="N255" s="525">
        <f t="shared" si="47"/>
        <v>1.82</v>
      </c>
      <c r="O255" s="526">
        <f t="shared" si="48"/>
        <v>0</v>
      </c>
      <c r="P255" s="330">
        <f t="shared" si="41"/>
        <v>0</v>
      </c>
      <c r="Q255" s="532" t="s">
        <v>1856</v>
      </c>
      <c r="R255" s="533"/>
    </row>
    <row r="256" spans="1:18" ht="15" customHeight="1" x14ac:dyDescent="0.2">
      <c r="A256" s="6" t="s">
        <v>1457</v>
      </c>
      <c r="B256" s="6"/>
      <c r="C256" s="1" t="s">
        <v>1792</v>
      </c>
      <c r="D256" s="1"/>
      <c r="E256" s="1"/>
      <c r="F256" s="1">
        <v>163821</v>
      </c>
      <c r="G256" s="252" t="s">
        <v>1453</v>
      </c>
      <c r="H256" s="338">
        <v>800998</v>
      </c>
      <c r="I256" s="183">
        <f t="shared" si="49"/>
        <v>0</v>
      </c>
      <c r="J256" s="17">
        <f t="shared" si="50"/>
        <v>0</v>
      </c>
      <c r="K256" s="343">
        <f>+$K$3</f>
        <v>2.14</v>
      </c>
      <c r="L256" s="219">
        <v>0.32</v>
      </c>
      <c r="M256" s="219">
        <v>0</v>
      </c>
      <c r="N256" s="13">
        <f t="shared" si="47"/>
        <v>1.82</v>
      </c>
      <c r="O256" s="519">
        <f t="shared" si="48"/>
        <v>0</v>
      </c>
      <c r="P256" s="330">
        <f t="shared" si="41"/>
        <v>0</v>
      </c>
      <c r="Q256" s="269">
        <f>(-P256)*0.045</f>
        <v>0</v>
      </c>
      <c r="R256" s="269">
        <f>+P256+Q256</f>
        <v>0</v>
      </c>
    </row>
    <row r="257" spans="1:18" ht="15" customHeight="1" x14ac:dyDescent="0.2">
      <c r="A257" s="6" t="s">
        <v>1457</v>
      </c>
      <c r="B257" s="6"/>
      <c r="C257" s="358" t="s">
        <v>619</v>
      </c>
      <c r="D257" s="1"/>
      <c r="E257" s="1"/>
      <c r="F257" s="1"/>
      <c r="G257" s="419" t="s">
        <v>1047</v>
      </c>
      <c r="H257" s="333">
        <v>804939</v>
      </c>
      <c r="I257" s="183" t="str">
        <f t="shared" si="49"/>
        <v>na</v>
      </c>
      <c r="J257" s="448" t="str">
        <f>IF(ISNA(VLOOKUP(H257,CNRGas,3,FALSE)),"na",VLOOKUP(H257,CNRGas,3,FALSE))</f>
        <v>na</v>
      </c>
      <c r="K257" s="418" t="e">
        <f>+'Special Pricing'!$G$550</f>
        <v>#DIV/0!</v>
      </c>
      <c r="L257" s="219">
        <v>0.32</v>
      </c>
      <c r="M257" s="219">
        <v>0</v>
      </c>
      <c r="N257" s="13" t="e">
        <f>+K257-L257-M257</f>
        <v>#DIV/0!</v>
      </c>
      <c r="O257" s="519" t="str">
        <f t="shared" si="48"/>
        <v>na</v>
      </c>
      <c r="P257" s="330" t="e">
        <f t="shared" si="41"/>
        <v>#DIV/0!</v>
      </c>
    </row>
    <row r="258" spans="1:18" ht="15" customHeight="1" x14ac:dyDescent="0.2">
      <c r="A258" s="6" t="s">
        <v>1457</v>
      </c>
      <c r="B258" s="6"/>
      <c r="C258" s="358" t="s">
        <v>619</v>
      </c>
      <c r="D258" s="1"/>
      <c r="E258" s="1"/>
      <c r="F258" s="1"/>
      <c r="G258" s="419" t="s">
        <v>1047</v>
      </c>
      <c r="H258" s="333">
        <v>821587</v>
      </c>
      <c r="I258" s="183" t="str">
        <f t="shared" si="49"/>
        <v>na</v>
      </c>
      <c r="J258" s="448" t="str">
        <f>IF(ISNA(VLOOKUP(H258,CNRGas,3,FALSE)),"na",VLOOKUP(H258,CNRGas,3,FALSE))</f>
        <v>na</v>
      </c>
      <c r="K258" s="418" t="e">
        <f>+'Special Pricing'!$G$550</f>
        <v>#DIV/0!</v>
      </c>
      <c r="L258" s="219">
        <v>0.32</v>
      </c>
      <c r="M258" s="219">
        <v>0</v>
      </c>
      <c r="N258" s="13" t="e">
        <f>+K258-L258-M258</f>
        <v>#DIV/0!</v>
      </c>
      <c r="O258" s="519" t="str">
        <f t="shared" si="48"/>
        <v>na</v>
      </c>
      <c r="P258" s="330" t="e">
        <f t="shared" si="41"/>
        <v>#DIV/0!</v>
      </c>
    </row>
    <row r="259" spans="1:18" ht="15" customHeight="1" x14ac:dyDescent="0.2">
      <c r="A259" s="6" t="s">
        <v>1457</v>
      </c>
      <c r="B259" s="6"/>
      <c r="C259" s="358" t="s">
        <v>619</v>
      </c>
      <c r="D259" s="1"/>
      <c r="E259" s="1"/>
      <c r="F259" s="1"/>
      <c r="G259" s="419" t="s">
        <v>1047</v>
      </c>
      <c r="H259" s="333">
        <v>829051</v>
      </c>
      <c r="I259" s="183" t="str">
        <f t="shared" si="49"/>
        <v>na</v>
      </c>
      <c r="J259" s="448" t="str">
        <f>IF(ISNA(VLOOKUP(H259,CNRGas,3,FALSE)),"na",VLOOKUP(H259,CNRGas,3,FALSE))</f>
        <v>na</v>
      </c>
      <c r="K259" s="418" t="e">
        <f>+'Special Pricing'!$G$550</f>
        <v>#DIV/0!</v>
      </c>
      <c r="L259" s="219">
        <v>0.32</v>
      </c>
      <c r="M259" s="219">
        <v>0</v>
      </c>
      <c r="N259" s="13" t="e">
        <f>+K259-L259-M259</f>
        <v>#DIV/0!</v>
      </c>
      <c r="O259" s="519" t="str">
        <f t="shared" si="48"/>
        <v>na</v>
      </c>
      <c r="P259" s="330" t="e">
        <f t="shared" si="41"/>
        <v>#DIV/0!</v>
      </c>
    </row>
    <row r="260" spans="1:18" ht="15" customHeight="1" x14ac:dyDescent="0.2">
      <c r="A260" s="6" t="s">
        <v>1457</v>
      </c>
      <c r="B260" s="6"/>
      <c r="C260" s="358" t="s">
        <v>619</v>
      </c>
      <c r="D260" s="1"/>
      <c r="E260" s="1"/>
      <c r="F260" s="1"/>
      <c r="G260" s="419" t="s">
        <v>1047</v>
      </c>
      <c r="H260" s="333">
        <v>803841</v>
      </c>
      <c r="I260" s="183" t="str">
        <f t="shared" si="49"/>
        <v>na</v>
      </c>
      <c r="J260" s="448" t="str">
        <f>IF(ISNA(VLOOKUP(H260,CNRGas,3,FALSE)),"na",VLOOKUP(H260,CNRGas,3,FALSE))</f>
        <v>na</v>
      </c>
      <c r="K260" s="418" t="e">
        <f>+'Special Pricing'!$G$550</f>
        <v>#DIV/0!</v>
      </c>
      <c r="L260" s="219">
        <v>0.32</v>
      </c>
      <c r="M260" s="219">
        <v>0</v>
      </c>
      <c r="N260" s="13" t="e">
        <f>+K260-L260-M260</f>
        <v>#DIV/0!</v>
      </c>
      <c r="O260" s="519" t="str">
        <f t="shared" si="48"/>
        <v>na</v>
      </c>
      <c r="P260" s="330" t="e">
        <f t="shared" si="41"/>
        <v>#DIV/0!</v>
      </c>
    </row>
    <row r="261" spans="1:18" ht="15" customHeight="1" x14ac:dyDescent="0.2">
      <c r="A261" s="6" t="s">
        <v>1457</v>
      </c>
      <c r="B261" s="6"/>
      <c r="C261" s="358" t="s">
        <v>619</v>
      </c>
      <c r="D261" s="1"/>
      <c r="E261" s="1"/>
      <c r="F261" s="1"/>
      <c r="G261" s="419" t="s">
        <v>1047</v>
      </c>
      <c r="H261" s="333">
        <v>821588</v>
      </c>
      <c r="I261" s="183" t="str">
        <f t="shared" si="49"/>
        <v>na</v>
      </c>
      <c r="J261" s="448" t="str">
        <f>IF(ISNA(VLOOKUP(H261,CNRGas,3,FALSE)),"na",VLOOKUP(H261,CNRGas,3,FALSE))</f>
        <v>na</v>
      </c>
      <c r="K261" s="418" t="e">
        <f>+'Special Pricing'!$G$550</f>
        <v>#DIV/0!</v>
      </c>
      <c r="L261" s="219">
        <v>0.32</v>
      </c>
      <c r="M261" s="219">
        <v>0</v>
      </c>
      <c r="N261" s="13" t="e">
        <f>+K261-L261-M261</f>
        <v>#DIV/0!</v>
      </c>
      <c r="O261" s="519" t="str">
        <f t="shared" si="48"/>
        <v>na</v>
      </c>
      <c r="P261" s="330" t="e">
        <f t="shared" si="41"/>
        <v>#DIV/0!</v>
      </c>
    </row>
    <row r="262" spans="1:18" ht="15" customHeight="1" x14ac:dyDescent="0.2">
      <c r="A262" s="6" t="s">
        <v>1457</v>
      </c>
      <c r="B262" s="6"/>
      <c r="C262" s="1" t="s">
        <v>1815</v>
      </c>
      <c r="D262" s="1"/>
      <c r="E262" s="1"/>
      <c r="F262" s="1">
        <v>163823</v>
      </c>
      <c r="G262" s="252" t="s">
        <v>1454</v>
      </c>
      <c r="H262" s="338">
        <v>800035</v>
      </c>
      <c r="I262" s="183">
        <f t="shared" si="49"/>
        <v>0</v>
      </c>
      <c r="J262" s="17">
        <f t="shared" si="50"/>
        <v>0</v>
      </c>
      <c r="K262" s="343">
        <f>+$K$3*0.97</f>
        <v>2.0758000000000001</v>
      </c>
      <c r="L262" s="219">
        <v>0.32</v>
      </c>
      <c r="M262" s="219">
        <v>0</v>
      </c>
      <c r="N262" s="13">
        <f t="shared" si="47"/>
        <v>1.7558</v>
      </c>
      <c r="O262" s="519">
        <f t="shared" si="48"/>
        <v>0</v>
      </c>
      <c r="P262" s="330">
        <f t="shared" ref="P262:P285" si="51">(+N262*J262)-O262</f>
        <v>0</v>
      </c>
    </row>
    <row r="263" spans="1:18" ht="15" customHeight="1" x14ac:dyDescent="0.2">
      <c r="A263" s="6" t="s">
        <v>1457</v>
      </c>
      <c r="B263" s="6"/>
      <c r="C263" s="1" t="s">
        <v>1815</v>
      </c>
      <c r="D263" s="1"/>
      <c r="E263" s="1"/>
      <c r="F263" s="1">
        <v>163823</v>
      </c>
      <c r="G263" s="252" t="s">
        <v>1454</v>
      </c>
      <c r="H263" s="338">
        <v>800096</v>
      </c>
      <c r="I263" s="183">
        <f t="shared" si="49"/>
        <v>0</v>
      </c>
      <c r="J263" s="17">
        <f t="shared" si="50"/>
        <v>0</v>
      </c>
      <c r="K263" s="343">
        <f>+$K$3*0.97</f>
        <v>2.0758000000000001</v>
      </c>
      <c r="L263" s="219">
        <v>0.32</v>
      </c>
      <c r="M263" s="219">
        <v>0</v>
      </c>
      <c r="N263" s="13">
        <f t="shared" si="47"/>
        <v>1.7558</v>
      </c>
      <c r="O263" s="519">
        <f t="shared" si="48"/>
        <v>0</v>
      </c>
      <c r="P263" s="330">
        <f t="shared" si="51"/>
        <v>0</v>
      </c>
    </row>
    <row r="264" spans="1:18" ht="15" customHeight="1" x14ac:dyDescent="0.2">
      <c r="A264" s="6" t="s">
        <v>1457</v>
      </c>
      <c r="B264" s="6"/>
      <c r="C264" s="1" t="s">
        <v>1815</v>
      </c>
      <c r="D264" s="1"/>
      <c r="E264" s="1"/>
      <c r="F264" s="1">
        <v>163823</v>
      </c>
      <c r="G264" s="252" t="s">
        <v>1454</v>
      </c>
      <c r="H264" s="338">
        <v>800136</v>
      </c>
      <c r="I264" s="183">
        <f t="shared" si="49"/>
        <v>0</v>
      </c>
      <c r="J264" s="17">
        <f t="shared" si="50"/>
        <v>0</v>
      </c>
      <c r="K264" s="343">
        <f>+$K$3*0.97</f>
        <v>2.0758000000000001</v>
      </c>
      <c r="L264" s="219">
        <v>0.32</v>
      </c>
      <c r="M264" s="219">
        <v>0</v>
      </c>
      <c r="N264" s="13">
        <f t="shared" si="47"/>
        <v>1.7558</v>
      </c>
      <c r="O264" s="519">
        <f t="shared" si="48"/>
        <v>0</v>
      </c>
      <c r="P264" s="330">
        <f t="shared" si="51"/>
        <v>0</v>
      </c>
    </row>
    <row r="265" spans="1:18" ht="15" customHeight="1" x14ac:dyDescent="0.2">
      <c r="A265" s="6" t="s">
        <v>1457</v>
      </c>
      <c r="B265" s="6"/>
      <c r="C265" s="1" t="s">
        <v>1818</v>
      </c>
      <c r="D265" s="1"/>
      <c r="E265" s="1"/>
      <c r="F265" s="1">
        <v>163825</v>
      </c>
      <c r="G265" s="252" t="s">
        <v>1418</v>
      </c>
      <c r="H265" s="338">
        <v>834862</v>
      </c>
      <c r="I265" s="183">
        <f t="shared" si="49"/>
        <v>0</v>
      </c>
      <c r="J265" s="17">
        <f t="shared" si="50"/>
        <v>0</v>
      </c>
      <c r="K265" s="343">
        <f>+$K$3*0.98</f>
        <v>2.0972</v>
      </c>
      <c r="L265" s="219">
        <v>0.32</v>
      </c>
      <c r="M265" s="219">
        <v>0</v>
      </c>
      <c r="N265" s="13">
        <f t="shared" si="47"/>
        <v>1.7771999999999999</v>
      </c>
      <c r="O265" s="519">
        <f t="shared" si="48"/>
        <v>25</v>
      </c>
      <c r="P265" s="330">
        <f t="shared" si="51"/>
        <v>-25</v>
      </c>
    </row>
    <row r="266" spans="1:18" ht="15" customHeight="1" x14ac:dyDescent="0.2">
      <c r="A266" s="6" t="s">
        <v>1457</v>
      </c>
      <c r="B266" s="6"/>
      <c r="C266" s="1" t="s">
        <v>1795</v>
      </c>
      <c r="D266" s="1"/>
      <c r="E266" s="1"/>
      <c r="F266" s="1">
        <v>163829</v>
      </c>
      <c r="G266" s="252" t="s">
        <v>1418</v>
      </c>
      <c r="H266" s="338">
        <v>801153</v>
      </c>
      <c r="I266" s="183">
        <f t="shared" si="49"/>
        <v>0</v>
      </c>
      <c r="J266" s="17">
        <f t="shared" si="50"/>
        <v>60</v>
      </c>
      <c r="K266" s="343">
        <f>+$K$3*0.98</f>
        <v>2.0972</v>
      </c>
      <c r="L266" s="219">
        <v>0.32</v>
      </c>
      <c r="M266" s="219">
        <v>0</v>
      </c>
      <c r="N266" s="13">
        <f t="shared" si="47"/>
        <v>1.7771999999999999</v>
      </c>
      <c r="O266" s="519">
        <f t="shared" si="48"/>
        <v>25</v>
      </c>
      <c r="P266" s="330">
        <f t="shared" si="51"/>
        <v>81.631999999999991</v>
      </c>
      <c r="Q266" s="269">
        <f>(-P266)*0.045</f>
        <v>-3.6734399999999994</v>
      </c>
      <c r="R266" s="269">
        <f>+P266+Q266</f>
        <v>77.958559999999991</v>
      </c>
    </row>
    <row r="267" spans="1:18" ht="15" customHeight="1" x14ac:dyDescent="0.2">
      <c r="A267" s="6" t="s">
        <v>1457</v>
      </c>
      <c r="B267" s="6"/>
      <c r="C267" s="250" t="s">
        <v>1804</v>
      </c>
      <c r="D267" s="250"/>
      <c r="E267" s="250"/>
      <c r="F267" s="250">
        <v>266987</v>
      </c>
      <c r="G267" s="185" t="s">
        <v>1827</v>
      </c>
      <c r="H267" s="338">
        <v>835092</v>
      </c>
      <c r="I267" s="183">
        <f t="shared" si="49"/>
        <v>0</v>
      </c>
      <c r="J267" s="17">
        <f t="shared" si="50"/>
        <v>0</v>
      </c>
      <c r="K267" s="420" t="e">
        <f>+'Special Pricing'!$G$594</f>
        <v>#DIV/0!</v>
      </c>
      <c r="L267" s="219">
        <v>0.32</v>
      </c>
      <c r="M267" s="219">
        <v>0</v>
      </c>
      <c r="N267" s="13" t="e">
        <f t="shared" si="47"/>
        <v>#DIV/0!</v>
      </c>
      <c r="O267" s="519">
        <f t="shared" si="48"/>
        <v>0</v>
      </c>
      <c r="P267" s="330" t="e">
        <f t="shared" si="51"/>
        <v>#DIV/0!</v>
      </c>
    </row>
    <row r="268" spans="1:18" ht="15" customHeight="1" x14ac:dyDescent="0.2">
      <c r="A268" s="6" t="s">
        <v>1457</v>
      </c>
      <c r="B268" s="6"/>
      <c r="C268" s="250" t="s">
        <v>1804</v>
      </c>
      <c r="D268" s="250"/>
      <c r="E268" s="250"/>
      <c r="F268" s="250">
        <v>266987</v>
      </c>
      <c r="G268" s="185" t="s">
        <v>1827</v>
      </c>
      <c r="H268" s="338">
        <v>835093</v>
      </c>
      <c r="I268" s="183">
        <f t="shared" si="49"/>
        <v>0</v>
      </c>
      <c r="J268" s="17">
        <f t="shared" si="50"/>
        <v>0</v>
      </c>
      <c r="K268" s="420" t="e">
        <f>+'Special Pricing'!$G$594</f>
        <v>#DIV/0!</v>
      </c>
      <c r="L268" s="219">
        <v>0.32</v>
      </c>
      <c r="M268" s="219">
        <v>0</v>
      </c>
      <c r="N268" s="13" t="e">
        <f t="shared" si="47"/>
        <v>#DIV/0!</v>
      </c>
      <c r="O268" s="519">
        <f t="shared" si="48"/>
        <v>0</v>
      </c>
      <c r="P268" s="330" t="e">
        <f t="shared" si="51"/>
        <v>#DIV/0!</v>
      </c>
    </row>
    <row r="269" spans="1:18" ht="15" customHeight="1" x14ac:dyDescent="0.2">
      <c r="A269" s="6" t="s">
        <v>1457</v>
      </c>
      <c r="B269" s="6"/>
      <c r="C269" s="250" t="s">
        <v>1804</v>
      </c>
      <c r="D269" s="250"/>
      <c r="E269" s="250"/>
      <c r="F269" s="250">
        <v>266987</v>
      </c>
      <c r="G269" s="185" t="s">
        <v>1827</v>
      </c>
      <c r="H269" s="338">
        <v>835094</v>
      </c>
      <c r="I269" s="183">
        <f t="shared" si="49"/>
        <v>0</v>
      </c>
      <c r="J269" s="17">
        <f t="shared" si="50"/>
        <v>0</v>
      </c>
      <c r="K269" s="420" t="e">
        <f>+'Special Pricing'!$G$594</f>
        <v>#DIV/0!</v>
      </c>
      <c r="L269" s="219">
        <v>0.32</v>
      </c>
      <c r="M269" s="219">
        <v>0</v>
      </c>
      <c r="N269" s="13" t="e">
        <f t="shared" si="47"/>
        <v>#DIV/0!</v>
      </c>
      <c r="O269" s="519">
        <f t="shared" si="48"/>
        <v>0</v>
      </c>
      <c r="P269" s="330" t="e">
        <f t="shared" si="51"/>
        <v>#DIV/0!</v>
      </c>
    </row>
    <row r="270" spans="1:18" ht="15" customHeight="1" x14ac:dyDescent="0.2">
      <c r="A270" s="6" t="s">
        <v>1457</v>
      </c>
      <c r="B270" s="6"/>
      <c r="C270" s="250" t="s">
        <v>1804</v>
      </c>
      <c r="D270" s="250"/>
      <c r="E270" s="250"/>
      <c r="F270" s="250">
        <v>266987</v>
      </c>
      <c r="G270" s="185" t="s">
        <v>1827</v>
      </c>
      <c r="H270" s="338">
        <v>835614</v>
      </c>
      <c r="I270" s="183">
        <f t="shared" si="49"/>
        <v>0</v>
      </c>
      <c r="J270" s="17">
        <f t="shared" si="50"/>
        <v>0</v>
      </c>
      <c r="K270" s="420" t="e">
        <f>+'Special Pricing'!$G$594</f>
        <v>#DIV/0!</v>
      </c>
      <c r="L270" s="219">
        <v>0.32</v>
      </c>
      <c r="M270" s="219">
        <v>0</v>
      </c>
      <c r="N270" s="13" t="e">
        <f t="shared" si="47"/>
        <v>#DIV/0!</v>
      </c>
      <c r="O270" s="519">
        <f t="shared" si="48"/>
        <v>0</v>
      </c>
      <c r="P270" s="330" t="e">
        <f t="shared" si="51"/>
        <v>#DIV/0!</v>
      </c>
    </row>
    <row r="271" spans="1:18" ht="15" customHeight="1" x14ac:dyDescent="0.2">
      <c r="A271" s="6" t="s">
        <v>1457</v>
      </c>
      <c r="B271" s="6"/>
      <c r="C271" s="250" t="s">
        <v>1804</v>
      </c>
      <c r="D271" s="250"/>
      <c r="E271" s="250"/>
      <c r="F271" s="250">
        <v>266987</v>
      </c>
      <c r="G271" s="185" t="s">
        <v>1827</v>
      </c>
      <c r="H271" s="338">
        <v>835619</v>
      </c>
      <c r="I271" s="183">
        <f t="shared" si="49"/>
        <v>0</v>
      </c>
      <c r="J271" s="17">
        <f>IF(ISNA(VLOOKUP(H271,CNRGas,3,FALSE)),"na",VLOOKUP(H271,CNRGas,3,FALSE))</f>
        <v>0</v>
      </c>
      <c r="K271" s="420" t="e">
        <f>+'Special Pricing'!$G$594</f>
        <v>#DIV/0!</v>
      </c>
      <c r="L271" s="219">
        <v>0.32</v>
      </c>
      <c r="M271" s="219">
        <v>0</v>
      </c>
      <c r="N271" s="13" t="e">
        <f>+K271-L271-M271</f>
        <v>#DIV/0!</v>
      </c>
      <c r="O271" s="519">
        <f>IF(ISNA(VLOOKUP(H271,CNRGas,5,FALSE)),"na",VLOOKUP(H271,CNRGas,5,FALSE))</f>
        <v>0</v>
      </c>
      <c r="P271" s="330" t="e">
        <f>(+N271*J271)-O271</f>
        <v>#DIV/0!</v>
      </c>
    </row>
    <row r="272" spans="1:18" ht="15" customHeight="1" x14ac:dyDescent="0.2">
      <c r="A272" s="6" t="s">
        <v>1457</v>
      </c>
      <c r="B272" s="6"/>
      <c r="C272" s="250" t="s">
        <v>1804</v>
      </c>
      <c r="D272" s="250"/>
      <c r="E272" s="250"/>
      <c r="F272" s="250">
        <v>266987</v>
      </c>
      <c r="G272" s="185" t="s">
        <v>1827</v>
      </c>
      <c r="H272" s="338">
        <v>837133</v>
      </c>
      <c r="I272" s="183">
        <f t="shared" si="49"/>
        <v>0</v>
      </c>
      <c r="J272" s="17">
        <f t="shared" si="50"/>
        <v>0</v>
      </c>
      <c r="K272" s="420" t="e">
        <f>+'Special Pricing'!$G$594</f>
        <v>#DIV/0!</v>
      </c>
      <c r="L272" s="219">
        <v>0.32</v>
      </c>
      <c r="M272" s="219">
        <v>0</v>
      </c>
      <c r="N272" s="13" t="e">
        <f t="shared" si="47"/>
        <v>#DIV/0!</v>
      </c>
      <c r="O272" s="519">
        <f t="shared" si="48"/>
        <v>0</v>
      </c>
      <c r="P272" s="330" t="e">
        <f t="shared" si="51"/>
        <v>#DIV/0!</v>
      </c>
    </row>
    <row r="273" spans="1:18" ht="15" customHeight="1" x14ac:dyDescent="0.2">
      <c r="A273" s="6" t="s">
        <v>1457</v>
      </c>
      <c r="B273" s="6"/>
      <c r="C273" s="1" t="s">
        <v>1796</v>
      </c>
      <c r="D273" s="1"/>
      <c r="E273" s="1"/>
      <c r="F273" s="1">
        <v>168352</v>
      </c>
      <c r="G273" s="252" t="s">
        <v>1453</v>
      </c>
      <c r="H273" s="338">
        <v>804186</v>
      </c>
      <c r="I273" s="183">
        <f t="shared" si="49"/>
        <v>0</v>
      </c>
      <c r="J273" s="17">
        <f t="shared" si="50"/>
        <v>0</v>
      </c>
      <c r="K273" s="343">
        <f t="shared" ref="K273:K281" si="52">+$K$3</f>
        <v>2.14</v>
      </c>
      <c r="L273" s="219">
        <v>0.32</v>
      </c>
      <c r="M273" s="219"/>
      <c r="N273" s="13">
        <f t="shared" si="47"/>
        <v>1.82</v>
      </c>
      <c r="O273" s="519">
        <f t="shared" si="48"/>
        <v>0</v>
      </c>
      <c r="P273" s="330">
        <f t="shared" si="51"/>
        <v>0</v>
      </c>
    </row>
    <row r="274" spans="1:18" ht="15" customHeight="1" x14ac:dyDescent="0.2">
      <c r="A274" s="6" t="s">
        <v>1457</v>
      </c>
      <c r="B274" s="6"/>
      <c r="C274" s="1" t="s">
        <v>1796</v>
      </c>
      <c r="D274" s="1"/>
      <c r="E274" s="1"/>
      <c r="F274" s="1">
        <v>168352</v>
      </c>
      <c r="G274" s="252" t="s">
        <v>1453</v>
      </c>
      <c r="H274" s="338">
        <v>804411</v>
      </c>
      <c r="I274" s="183">
        <f t="shared" si="49"/>
        <v>0</v>
      </c>
      <c r="J274" s="17">
        <f t="shared" si="50"/>
        <v>0</v>
      </c>
      <c r="K274" s="343">
        <f t="shared" si="52"/>
        <v>2.14</v>
      </c>
      <c r="L274" s="219">
        <v>0.32</v>
      </c>
      <c r="M274" s="219"/>
      <c r="N274" s="13">
        <f t="shared" si="47"/>
        <v>1.82</v>
      </c>
      <c r="O274" s="519">
        <f t="shared" si="48"/>
        <v>0</v>
      </c>
      <c r="P274" s="330">
        <f t="shared" si="51"/>
        <v>0</v>
      </c>
    </row>
    <row r="275" spans="1:18" ht="15" customHeight="1" x14ac:dyDescent="0.2">
      <c r="A275" s="6" t="s">
        <v>1457</v>
      </c>
      <c r="B275" s="6"/>
      <c r="C275" s="1" t="s">
        <v>1796</v>
      </c>
      <c r="D275" s="1"/>
      <c r="E275" s="1"/>
      <c r="F275" s="1">
        <v>168352</v>
      </c>
      <c r="G275" s="252" t="s">
        <v>1453</v>
      </c>
      <c r="H275" s="338">
        <v>833825</v>
      </c>
      <c r="I275" s="183">
        <f t="shared" si="49"/>
        <v>0</v>
      </c>
      <c r="J275" s="17">
        <f t="shared" si="50"/>
        <v>0</v>
      </c>
      <c r="K275" s="343">
        <f t="shared" si="52"/>
        <v>2.14</v>
      </c>
      <c r="L275" s="219">
        <v>0.32</v>
      </c>
      <c r="M275" s="219">
        <v>0.03</v>
      </c>
      <c r="N275" s="13">
        <f t="shared" si="47"/>
        <v>1.79</v>
      </c>
      <c r="O275" s="519">
        <f t="shared" si="48"/>
        <v>0</v>
      </c>
      <c r="P275" s="330">
        <f t="shared" si="51"/>
        <v>0</v>
      </c>
    </row>
    <row r="276" spans="1:18" ht="15" customHeight="1" x14ac:dyDescent="0.2">
      <c r="A276" s="6" t="s">
        <v>1457</v>
      </c>
      <c r="B276" s="6"/>
      <c r="C276" s="1" t="s">
        <v>14</v>
      </c>
      <c r="D276" s="186" t="s">
        <v>1816</v>
      </c>
      <c r="E276" s="1"/>
      <c r="F276" s="186">
        <v>163827</v>
      </c>
      <c r="G276" s="252" t="s">
        <v>1453</v>
      </c>
      <c r="H276" s="338">
        <v>804174</v>
      </c>
      <c r="I276" s="183">
        <f t="shared" si="49"/>
        <v>0</v>
      </c>
      <c r="J276" s="17">
        <f t="shared" si="50"/>
        <v>0</v>
      </c>
      <c r="K276" s="343">
        <f t="shared" si="52"/>
        <v>2.14</v>
      </c>
      <c r="L276" s="219">
        <v>0.32</v>
      </c>
      <c r="M276" s="219">
        <v>0</v>
      </c>
      <c r="N276" s="13">
        <f t="shared" si="47"/>
        <v>1.82</v>
      </c>
      <c r="O276" s="519">
        <f t="shared" si="48"/>
        <v>0</v>
      </c>
      <c r="P276" s="330">
        <f t="shared" si="51"/>
        <v>0</v>
      </c>
    </row>
    <row r="277" spans="1:18" ht="15" customHeight="1" x14ac:dyDescent="0.2">
      <c r="A277" s="6" t="s">
        <v>1457</v>
      </c>
      <c r="B277" s="6"/>
      <c r="C277" s="1" t="s">
        <v>14</v>
      </c>
      <c r="D277" s="186" t="s">
        <v>1816</v>
      </c>
      <c r="E277" s="1"/>
      <c r="F277" s="186">
        <v>163827</v>
      </c>
      <c r="G277" s="252" t="s">
        <v>1453</v>
      </c>
      <c r="H277" s="338">
        <v>804660</v>
      </c>
      <c r="I277" s="183">
        <f t="shared" si="49"/>
        <v>0</v>
      </c>
      <c r="J277" s="17">
        <f t="shared" si="50"/>
        <v>0</v>
      </c>
      <c r="K277" s="343">
        <f t="shared" si="52"/>
        <v>2.14</v>
      </c>
      <c r="L277" s="219">
        <v>0.32</v>
      </c>
      <c r="M277" s="219">
        <v>0</v>
      </c>
      <c r="N277" s="13">
        <f t="shared" si="47"/>
        <v>1.82</v>
      </c>
      <c r="O277" s="519">
        <f t="shared" si="48"/>
        <v>0</v>
      </c>
      <c r="P277" s="330">
        <f t="shared" si="51"/>
        <v>0</v>
      </c>
    </row>
    <row r="278" spans="1:18" ht="15" customHeight="1" x14ac:dyDescent="0.2">
      <c r="A278" s="6" t="s">
        <v>1457</v>
      </c>
      <c r="B278" s="6"/>
      <c r="C278" s="1" t="s">
        <v>1783</v>
      </c>
      <c r="D278" s="1"/>
      <c r="E278" s="1"/>
      <c r="F278" s="186">
        <v>163869</v>
      </c>
      <c r="G278" s="252" t="s">
        <v>1453</v>
      </c>
      <c r="H278" s="338">
        <v>821443</v>
      </c>
      <c r="I278" s="183">
        <f t="shared" si="49"/>
        <v>0</v>
      </c>
      <c r="J278" s="17">
        <f t="shared" si="50"/>
        <v>0</v>
      </c>
      <c r="K278" s="343">
        <f t="shared" si="52"/>
        <v>2.14</v>
      </c>
      <c r="L278" s="219">
        <v>0.32</v>
      </c>
      <c r="M278" s="219"/>
      <c r="N278" s="13">
        <f t="shared" si="47"/>
        <v>1.82</v>
      </c>
      <c r="O278" s="519">
        <f t="shared" si="48"/>
        <v>0</v>
      </c>
      <c r="P278" s="330">
        <f t="shared" si="51"/>
        <v>0</v>
      </c>
      <c r="Q278" s="269">
        <f>(-P278)*0.045</f>
        <v>0</v>
      </c>
      <c r="R278" s="269">
        <f>+P278+Q278</f>
        <v>0</v>
      </c>
    </row>
    <row r="279" spans="1:18" ht="15" customHeight="1" x14ac:dyDescent="0.2">
      <c r="A279" s="6" t="s">
        <v>1457</v>
      </c>
      <c r="B279" s="6"/>
      <c r="C279" s="1" t="s">
        <v>1783</v>
      </c>
      <c r="D279" s="1"/>
      <c r="E279" s="1"/>
      <c r="F279" s="186">
        <v>163869</v>
      </c>
      <c r="G279" s="252" t="s">
        <v>1453</v>
      </c>
      <c r="H279" s="338">
        <v>830165</v>
      </c>
      <c r="I279" s="183">
        <f t="shared" si="49"/>
        <v>0</v>
      </c>
      <c r="J279" s="17">
        <f t="shared" si="50"/>
        <v>0</v>
      </c>
      <c r="K279" s="343">
        <f t="shared" si="52"/>
        <v>2.14</v>
      </c>
      <c r="L279" s="219">
        <v>0.32</v>
      </c>
      <c r="M279" s="219"/>
      <c r="N279" s="13">
        <f t="shared" si="47"/>
        <v>1.82</v>
      </c>
      <c r="O279" s="519">
        <f t="shared" si="48"/>
        <v>0</v>
      </c>
      <c r="P279" s="330">
        <f t="shared" si="51"/>
        <v>0</v>
      </c>
      <c r="Q279" s="269">
        <f>(-P279)*0.045</f>
        <v>0</v>
      </c>
      <c r="R279" s="269">
        <f>+P279+Q279</f>
        <v>0</v>
      </c>
    </row>
    <row r="280" spans="1:18" ht="15" customHeight="1" x14ac:dyDescent="0.2">
      <c r="A280" s="6" t="s">
        <v>1457</v>
      </c>
      <c r="B280" s="6"/>
      <c r="C280" s="1" t="s">
        <v>1783</v>
      </c>
      <c r="D280" s="1"/>
      <c r="E280" s="1"/>
      <c r="F280" s="186">
        <v>163869</v>
      </c>
      <c r="G280" s="252" t="s">
        <v>1453</v>
      </c>
      <c r="H280" s="338">
        <v>830517</v>
      </c>
      <c r="I280" s="183">
        <f t="shared" si="49"/>
        <v>0</v>
      </c>
      <c r="J280" s="17">
        <f t="shared" si="50"/>
        <v>0</v>
      </c>
      <c r="K280" s="343">
        <f t="shared" si="52"/>
        <v>2.14</v>
      </c>
      <c r="L280" s="219">
        <v>0.32</v>
      </c>
      <c r="M280" s="219"/>
      <c r="N280" s="13">
        <f t="shared" si="47"/>
        <v>1.82</v>
      </c>
      <c r="O280" s="519">
        <f t="shared" si="48"/>
        <v>0</v>
      </c>
      <c r="P280" s="330">
        <f t="shared" si="51"/>
        <v>0</v>
      </c>
      <c r="Q280" s="269">
        <f>(-P280)*0.045</f>
        <v>0</v>
      </c>
      <c r="R280" s="269">
        <f>+P280+Q280</f>
        <v>0</v>
      </c>
    </row>
    <row r="281" spans="1:18" ht="15" customHeight="1" x14ac:dyDescent="0.2">
      <c r="A281" s="6" t="s">
        <v>1457</v>
      </c>
      <c r="B281" s="6"/>
      <c r="C281" s="1" t="s">
        <v>1783</v>
      </c>
      <c r="D281" s="1"/>
      <c r="E281" s="1"/>
      <c r="F281" s="186">
        <v>163869</v>
      </c>
      <c r="G281" s="252" t="s">
        <v>1453</v>
      </c>
      <c r="H281" s="338">
        <v>835089</v>
      </c>
      <c r="I281" s="183">
        <f t="shared" si="49"/>
        <v>0</v>
      </c>
      <c r="J281" s="17">
        <f t="shared" si="50"/>
        <v>0</v>
      </c>
      <c r="K281" s="343">
        <f t="shared" si="52"/>
        <v>2.14</v>
      </c>
      <c r="L281" s="219">
        <v>0.32</v>
      </c>
      <c r="M281" s="219"/>
      <c r="N281" s="13">
        <f>+K281-L281-M281</f>
        <v>1.82</v>
      </c>
      <c r="O281" s="519">
        <f t="shared" si="48"/>
        <v>0</v>
      </c>
      <c r="P281" s="330">
        <f t="shared" si="51"/>
        <v>0</v>
      </c>
      <c r="Q281" s="269">
        <f>(-P281)*0.045</f>
        <v>0</v>
      </c>
      <c r="R281" s="269">
        <f>+P281+Q281</f>
        <v>0</v>
      </c>
    </row>
    <row r="282" spans="1:18" ht="15" customHeight="1" x14ac:dyDescent="0.2">
      <c r="A282" s="6" t="s">
        <v>584</v>
      </c>
      <c r="B282" s="329" t="s">
        <v>611</v>
      </c>
      <c r="C282" s="6" t="s">
        <v>612</v>
      </c>
      <c r="D282" s="6">
        <v>93501</v>
      </c>
      <c r="E282" s="6" t="s">
        <v>614</v>
      </c>
      <c r="F282" s="6"/>
      <c r="G282" s="9" t="s">
        <v>615</v>
      </c>
      <c r="H282" s="312">
        <v>804275</v>
      </c>
      <c r="I282" s="183">
        <f t="shared" si="49"/>
        <v>0</v>
      </c>
      <c r="J282" s="17">
        <f t="shared" si="50"/>
        <v>0</v>
      </c>
      <c r="K282" s="344">
        <f>+$K$3*0.98</f>
        <v>2.0972</v>
      </c>
      <c r="L282" s="347">
        <v>0.32</v>
      </c>
      <c r="M282" s="219">
        <v>0.03</v>
      </c>
      <c r="N282" s="13">
        <f>+K282-L282-M282</f>
        <v>1.7471999999999999</v>
      </c>
      <c r="O282" s="519">
        <f t="shared" si="48"/>
        <v>0</v>
      </c>
      <c r="P282" s="330">
        <f t="shared" si="51"/>
        <v>0</v>
      </c>
    </row>
    <row r="283" spans="1:18" ht="15" customHeight="1" x14ac:dyDescent="0.2">
      <c r="A283" s="6" t="s">
        <v>584</v>
      </c>
      <c r="B283" s="329" t="s">
        <v>611</v>
      </c>
      <c r="C283" s="6" t="s">
        <v>612</v>
      </c>
      <c r="D283" s="6">
        <v>93501</v>
      </c>
      <c r="E283" s="6" t="s">
        <v>614</v>
      </c>
      <c r="F283" s="6"/>
      <c r="G283" s="9" t="s">
        <v>615</v>
      </c>
      <c r="H283" s="312">
        <v>834362</v>
      </c>
      <c r="I283" s="183">
        <f t="shared" si="49"/>
        <v>0</v>
      </c>
      <c r="J283" s="17">
        <f t="shared" si="50"/>
        <v>0</v>
      </c>
      <c r="K283" s="344">
        <f>+$K$3*0.98</f>
        <v>2.0972</v>
      </c>
      <c r="L283" s="347">
        <v>0.32</v>
      </c>
      <c r="M283" s="219">
        <v>0.03</v>
      </c>
      <c r="N283" s="13">
        <f>+K283-L283-M283</f>
        <v>1.7471999999999999</v>
      </c>
      <c r="O283" s="519">
        <f t="shared" si="48"/>
        <v>0</v>
      </c>
      <c r="P283" s="330">
        <f t="shared" si="51"/>
        <v>0</v>
      </c>
    </row>
    <row r="284" spans="1:18" ht="15" customHeight="1" x14ac:dyDescent="0.2">
      <c r="A284" s="6" t="s">
        <v>1457</v>
      </c>
      <c r="B284" s="6"/>
      <c r="C284" s="1" t="s">
        <v>1396</v>
      </c>
      <c r="D284" s="186" t="s">
        <v>1817</v>
      </c>
      <c r="E284" s="1"/>
      <c r="F284" s="186">
        <v>163801</v>
      </c>
      <c r="G284" s="9" t="s">
        <v>1418</v>
      </c>
      <c r="H284" s="338">
        <v>800134</v>
      </c>
      <c r="I284" s="183">
        <f t="shared" si="49"/>
        <v>0</v>
      </c>
      <c r="J284" s="17">
        <f t="shared" si="50"/>
        <v>57</v>
      </c>
      <c r="K284" s="343">
        <f>+$K$3*0.98</f>
        <v>2.0972</v>
      </c>
      <c r="L284" s="219">
        <v>0.32</v>
      </c>
      <c r="M284" s="219">
        <v>0</v>
      </c>
      <c r="N284" s="13">
        <f>+K284-L284-M284</f>
        <v>1.7771999999999999</v>
      </c>
      <c r="O284" s="519">
        <v>12.5</v>
      </c>
      <c r="P284" s="330">
        <f t="shared" si="51"/>
        <v>88.800399999999996</v>
      </c>
    </row>
    <row r="285" spans="1:18" ht="15" customHeight="1" x14ac:dyDescent="0.2">
      <c r="A285" s="6" t="s">
        <v>1457</v>
      </c>
      <c r="B285" s="6"/>
      <c r="C285" s="1" t="s">
        <v>1396</v>
      </c>
      <c r="D285" s="186" t="s">
        <v>1817</v>
      </c>
      <c r="E285" s="1"/>
      <c r="F285" s="186">
        <v>163801</v>
      </c>
      <c r="G285" s="9" t="s">
        <v>1418</v>
      </c>
      <c r="H285" s="338">
        <v>800176</v>
      </c>
      <c r="I285" s="183">
        <f t="shared" si="49"/>
        <v>0</v>
      </c>
      <c r="J285" s="17">
        <f t="shared" si="50"/>
        <v>477</v>
      </c>
      <c r="K285" s="343">
        <f>+$K$3*0.98</f>
        <v>2.0972</v>
      </c>
      <c r="L285" s="219">
        <v>0.32</v>
      </c>
      <c r="M285" s="219">
        <v>0</v>
      </c>
      <c r="N285" s="13">
        <f>+K285-L285-M285</f>
        <v>1.7771999999999999</v>
      </c>
      <c r="O285" s="519">
        <v>12.5</v>
      </c>
      <c r="P285" s="330">
        <f t="shared" si="51"/>
        <v>835.22439999999995</v>
      </c>
    </row>
    <row r="286" spans="1:18" ht="15" customHeight="1" x14ac:dyDescent="0.2">
      <c r="J286" s="849">
        <f>SUM(J5:J285)-SUM(J11:J19)-SUM(J38:J58)-SUM(J254:J255)</f>
        <v>11827</v>
      </c>
    </row>
    <row r="287" spans="1:18" ht="15" customHeight="1" x14ac:dyDescent="0.2">
      <c r="I287" s="349">
        <f>SUM(I5:I286)</f>
        <v>0</v>
      </c>
      <c r="J287" s="4">
        <f>SUM(J5:J285)</f>
        <v>11827</v>
      </c>
    </row>
  </sheetData>
  <phoneticPr fontId="0" type="noConversion"/>
  <pageMargins left="0.3" right="0.37" top="0.42" bottom="0.44" header="0.18" footer="0.21"/>
  <pageSetup scale="81" fitToHeight="10" orientation="landscape" r:id="rId1"/>
  <headerFooter alignWithMargins="0">
    <oddHeader>&amp;A</oddHeader>
    <oddFooter>&amp;LPrepared by:  Volume Management&amp;C&amp;P of &amp;N&amp;R&amp;D  &amp;T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A596"/>
  <sheetViews>
    <sheetView topLeftCell="A172" workbookViewId="0">
      <selection activeCell="C186" sqref="C186"/>
    </sheetView>
  </sheetViews>
  <sheetFormatPr defaultRowHeight="12.75" x14ac:dyDescent="0.2"/>
  <cols>
    <col min="1" max="1" width="13.140625" customWidth="1"/>
    <col min="3" max="3" width="10.28515625" bestFit="1" customWidth="1"/>
    <col min="5" max="5" width="13.5703125" customWidth="1"/>
    <col min="7" max="7" width="10.85546875" style="154" customWidth="1"/>
  </cols>
  <sheetData>
    <row r="2" spans="1:26" x14ac:dyDescent="0.2">
      <c r="A2" s="729"/>
      <c r="B2" s="729"/>
      <c r="C2" s="729"/>
      <c r="D2" s="729"/>
      <c r="E2" s="4"/>
      <c r="F2" s="4"/>
      <c r="G2" s="156"/>
      <c r="H2" s="4"/>
      <c r="I2" s="4"/>
    </row>
    <row r="3" spans="1:26" x14ac:dyDescent="0.2">
      <c r="A3" s="379" t="s">
        <v>1776</v>
      </c>
      <c r="B3" s="149"/>
      <c r="C3" s="463"/>
      <c r="D3" s="463"/>
      <c r="E3" s="452" t="s">
        <v>1041</v>
      </c>
      <c r="F3" s="149"/>
    </row>
    <row r="4" spans="1:26" x14ac:dyDescent="0.2">
      <c r="A4" s="463">
        <v>13000</v>
      </c>
      <c r="B4" s="463">
        <v>3.0750000000000002</v>
      </c>
      <c r="C4" s="452" t="s">
        <v>204</v>
      </c>
      <c r="D4" s="463"/>
      <c r="E4" s="554" t="s">
        <v>451</v>
      </c>
    </row>
    <row r="5" spans="1:26" x14ac:dyDescent="0.2">
      <c r="A5" s="463"/>
      <c r="B5" s="463"/>
      <c r="C5" s="463"/>
      <c r="D5" s="463"/>
    </row>
    <row r="6" spans="1:26" x14ac:dyDescent="0.2">
      <c r="E6" s="138" t="s">
        <v>1474</v>
      </c>
      <c r="F6" s="139"/>
      <c r="G6" s="157">
        <f>cgas!$J$5</f>
        <v>2.14</v>
      </c>
    </row>
    <row r="8" spans="1:26" x14ac:dyDescent="0.2">
      <c r="A8" t="s">
        <v>1475</v>
      </c>
      <c r="C8" t="s">
        <v>1417</v>
      </c>
      <c r="D8" t="s">
        <v>1438</v>
      </c>
    </row>
    <row r="9" spans="1:26" x14ac:dyDescent="0.2">
      <c r="A9" s="141">
        <f>SUM(cnr!J132:J141)</f>
        <v>0</v>
      </c>
      <c r="C9" s="140">
        <v>13000</v>
      </c>
      <c r="D9" s="148">
        <f>+B4</f>
        <v>3.0750000000000002</v>
      </c>
      <c r="E9" s="150">
        <f>+C9*D9</f>
        <v>39975</v>
      </c>
    </row>
    <row r="10" spans="1:26" ht="13.5" thickBot="1" x14ac:dyDescent="0.25">
      <c r="C10" s="262">
        <f>+A9-C9</f>
        <v>-13000</v>
      </c>
      <c r="D10" s="540">
        <f>+G6</f>
        <v>2.14</v>
      </c>
      <c r="E10" s="150">
        <f>+C10*D10</f>
        <v>-27820</v>
      </c>
      <c r="G10" s="154" t="s">
        <v>1478</v>
      </c>
    </row>
    <row r="11" spans="1:26" x14ac:dyDescent="0.2">
      <c r="C11">
        <f>SUM(C9:C10)</f>
        <v>0</v>
      </c>
      <c r="E11" s="541">
        <f>SUM(E9:E10)</f>
        <v>12155</v>
      </c>
      <c r="G11" s="410" t="e">
        <f>ROUND(E11/C11,4)</f>
        <v>#DIV/0!</v>
      </c>
    </row>
    <row r="12" spans="1:26" s="4" customFormat="1" ht="13.5" thickBot="1" x14ac:dyDescent="0.25">
      <c r="A12" s="14"/>
      <c r="B12" s="14"/>
      <c r="C12" s="14"/>
      <c r="D12" s="14"/>
      <c r="E12" s="14"/>
      <c r="F12" s="14"/>
      <c r="G12" s="155"/>
      <c r="H12" s="14"/>
      <c r="I12" s="14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</row>
    <row r="14" spans="1:26" x14ac:dyDescent="0.2">
      <c r="A14" s="147"/>
      <c r="B14" s="147"/>
      <c r="C14" s="147"/>
      <c r="D14" s="147"/>
      <c r="E14" s="4"/>
      <c r="F14" s="4"/>
      <c r="G14" s="156"/>
      <c r="H14" s="4"/>
      <c r="I14" s="4"/>
    </row>
    <row r="15" spans="1:26" x14ac:dyDescent="0.2">
      <c r="A15" s="137" t="s">
        <v>1016</v>
      </c>
      <c r="B15" s="145"/>
      <c r="C15" s="145"/>
      <c r="D15" s="145"/>
    </row>
    <row r="16" spans="1:26" x14ac:dyDescent="0.2">
      <c r="A16" s="145">
        <v>0</v>
      </c>
      <c r="B16" s="403">
        <v>4.5</v>
      </c>
      <c r="C16" s="452" t="s">
        <v>1017</v>
      </c>
      <c r="D16" s="463"/>
      <c r="E16" s="452" t="s">
        <v>1524</v>
      </c>
      <c r="F16" s="553"/>
    </row>
    <row r="17" spans="1:26" x14ac:dyDescent="0.2">
      <c r="A17" s="145">
        <v>2500</v>
      </c>
      <c r="B17" s="403">
        <v>3.01</v>
      </c>
      <c r="C17" s="146" t="s">
        <v>279</v>
      </c>
      <c r="D17" s="145"/>
      <c r="E17" s="554" t="s">
        <v>1504</v>
      </c>
      <c r="F17" s="553"/>
    </row>
    <row r="18" spans="1:26" x14ac:dyDescent="0.2">
      <c r="A18" s="145">
        <v>1250</v>
      </c>
      <c r="B18" s="145">
        <v>5.32</v>
      </c>
      <c r="C18" s="146" t="s">
        <v>1296</v>
      </c>
      <c r="D18" s="145"/>
      <c r="E18" s="554" t="s">
        <v>280</v>
      </c>
      <c r="F18" s="553"/>
    </row>
    <row r="19" spans="1:26" x14ac:dyDescent="0.2">
      <c r="E19" s="138" t="s">
        <v>1474</v>
      </c>
      <c r="F19" s="139"/>
      <c r="G19" s="157">
        <f>cgas!$J$5</f>
        <v>2.14</v>
      </c>
    </row>
    <row r="21" spans="1:26" x14ac:dyDescent="0.2">
      <c r="A21" t="s">
        <v>1475</v>
      </c>
      <c r="C21" t="s">
        <v>1417</v>
      </c>
      <c r="D21" t="s">
        <v>1438</v>
      </c>
    </row>
    <row r="22" spans="1:26" x14ac:dyDescent="0.2">
      <c r="A22" s="141">
        <f>SUM(gatherco!I34:I51)+SUM(cgas!I19)</f>
        <v>0</v>
      </c>
      <c r="C22" s="140">
        <f t="shared" ref="C22:D24" si="0">+A16</f>
        <v>0</v>
      </c>
      <c r="D22" s="222">
        <f t="shared" si="0"/>
        <v>4.5</v>
      </c>
      <c r="E22" s="150">
        <f>+C22*D22</f>
        <v>0</v>
      </c>
    </row>
    <row r="23" spans="1:26" x14ac:dyDescent="0.2">
      <c r="A23" s="141"/>
      <c r="C23" s="140">
        <f t="shared" si="0"/>
        <v>2500</v>
      </c>
      <c r="D23" s="222">
        <f t="shared" si="0"/>
        <v>3.01</v>
      </c>
      <c r="E23" s="150">
        <f>+C23*D23</f>
        <v>7524.9999999999991</v>
      </c>
    </row>
    <row r="24" spans="1:26" x14ac:dyDescent="0.2">
      <c r="A24" s="141"/>
      <c r="C24" s="694">
        <f>+A18</f>
        <v>1250</v>
      </c>
      <c r="D24" s="222">
        <f t="shared" si="0"/>
        <v>5.32</v>
      </c>
      <c r="E24" s="150">
        <f>+C24*D24</f>
        <v>6650</v>
      </c>
    </row>
    <row r="25" spans="1:26" ht="13.5" thickBot="1" x14ac:dyDescent="0.25">
      <c r="C25" s="262">
        <f>+A22-C22-C23-C24</f>
        <v>-3750</v>
      </c>
      <c r="D25" s="540">
        <f>+G19</f>
        <v>2.14</v>
      </c>
      <c r="E25" s="150">
        <f>+C25*D25</f>
        <v>-8025.0000000000009</v>
      </c>
      <c r="G25" s="154" t="s">
        <v>1478</v>
      </c>
    </row>
    <row r="26" spans="1:26" x14ac:dyDescent="0.2">
      <c r="C26">
        <f>SUM(C22:C25)</f>
        <v>0</v>
      </c>
      <c r="E26" s="541">
        <f>SUM(E22:E25)</f>
        <v>6149.9999999999991</v>
      </c>
      <c r="G26" s="410" t="e">
        <f>ROUND(E26/C26,4)</f>
        <v>#DIV/0!</v>
      </c>
    </row>
    <row r="27" spans="1:26" s="4" customFormat="1" ht="13.5" thickBot="1" x14ac:dyDescent="0.25">
      <c r="A27" s="14"/>
      <c r="B27" s="14"/>
      <c r="C27" s="14"/>
      <c r="D27" s="14"/>
      <c r="E27" s="14"/>
      <c r="F27" s="14"/>
      <c r="G27" s="155"/>
      <c r="H27" s="14"/>
      <c r="I27" s="14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</row>
    <row r="29" spans="1:26" x14ac:dyDescent="0.2">
      <c r="A29" s="147"/>
      <c r="B29" s="147"/>
      <c r="C29" s="147"/>
      <c r="D29" s="147"/>
      <c r="E29" s="4"/>
      <c r="F29" s="4"/>
      <c r="G29" s="156"/>
      <c r="H29" s="4"/>
      <c r="I29" s="4"/>
    </row>
    <row r="30" spans="1:26" x14ac:dyDescent="0.2">
      <c r="A30" s="137" t="s">
        <v>2286</v>
      </c>
      <c r="B30" s="145"/>
      <c r="C30" s="145"/>
      <c r="D30" s="145"/>
    </row>
    <row r="31" spans="1:26" x14ac:dyDescent="0.2">
      <c r="A31" s="145">
        <v>2000</v>
      </c>
      <c r="B31" s="145">
        <v>5.0199999999999996</v>
      </c>
      <c r="C31" s="146" t="s">
        <v>279</v>
      </c>
      <c r="D31" s="145"/>
      <c r="E31" s="554" t="s">
        <v>280</v>
      </c>
    </row>
    <row r="32" spans="1:26" x14ac:dyDescent="0.2">
      <c r="A32" s="145"/>
      <c r="B32" s="145"/>
      <c r="C32" s="145"/>
      <c r="D32" s="145"/>
    </row>
    <row r="33" spans="1:26" x14ac:dyDescent="0.2">
      <c r="E33" s="138" t="s">
        <v>1474</v>
      </c>
      <c r="F33" s="139"/>
      <c r="G33" s="157">
        <f>cgas!$J$5</f>
        <v>2.14</v>
      </c>
    </row>
    <row r="35" spans="1:26" x14ac:dyDescent="0.2">
      <c r="A35" t="s">
        <v>1475</v>
      </c>
      <c r="C35" t="s">
        <v>1417</v>
      </c>
      <c r="D35" t="s">
        <v>1438</v>
      </c>
    </row>
    <row r="36" spans="1:26" x14ac:dyDescent="0.2">
      <c r="A36" s="141">
        <f>SUM(cgas!I26:I42)</f>
        <v>0</v>
      </c>
      <c r="C36" s="140">
        <f>+A31</f>
        <v>2000</v>
      </c>
      <c r="D36" s="148">
        <f>+B31</f>
        <v>5.0199999999999996</v>
      </c>
      <c r="E36" s="150">
        <f>+C36*D36</f>
        <v>10040</v>
      </c>
    </row>
    <row r="37" spans="1:26" ht="13.5" thickBot="1" x14ac:dyDescent="0.25">
      <c r="C37" s="262">
        <f>+A36-C36</f>
        <v>-2000</v>
      </c>
      <c r="D37" s="540">
        <f>+G33</f>
        <v>2.14</v>
      </c>
      <c r="E37" s="150">
        <f>+C37*D37</f>
        <v>-4280</v>
      </c>
      <c r="G37" s="154" t="s">
        <v>1478</v>
      </c>
    </row>
    <row r="38" spans="1:26" x14ac:dyDescent="0.2">
      <c r="C38">
        <f>SUM(C36:C37)</f>
        <v>0</v>
      </c>
      <c r="E38" s="541">
        <f>SUM(E36:E37)</f>
        <v>5760</v>
      </c>
      <c r="G38" s="410" t="e">
        <f>ROUND(E38/C38,4)</f>
        <v>#DIV/0!</v>
      </c>
    </row>
    <row r="39" spans="1:26" s="4" customFormat="1" ht="13.5" thickBot="1" x14ac:dyDescent="0.25">
      <c r="A39" s="14"/>
      <c r="B39" s="14"/>
      <c r="C39" s="14"/>
      <c r="D39" s="14"/>
      <c r="E39" s="14"/>
      <c r="F39" s="14"/>
      <c r="G39" s="155"/>
      <c r="H39" s="14"/>
      <c r="I39" s="14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</row>
    <row r="40" spans="1:26" x14ac:dyDescent="0.2">
      <c r="A40" s="391" t="s">
        <v>1025</v>
      </c>
      <c r="B40" s="391"/>
      <c r="E40" s="173"/>
    </row>
    <row r="41" spans="1:26" x14ac:dyDescent="0.2">
      <c r="A41" s="463" t="s">
        <v>1026</v>
      </c>
      <c r="B41" s="725">
        <v>2.6</v>
      </c>
      <c r="C41" s="452" t="s">
        <v>1027</v>
      </c>
      <c r="D41" s="463"/>
      <c r="E41" s="173"/>
    </row>
    <row r="42" spans="1:26" x14ac:dyDescent="0.2">
      <c r="A42" s="391" t="s">
        <v>1459</v>
      </c>
      <c r="B42" s="391"/>
      <c r="C42" s="452" t="s">
        <v>1041</v>
      </c>
      <c r="E42" s="173"/>
    </row>
    <row r="43" spans="1:26" x14ac:dyDescent="0.2">
      <c r="A43" s="391"/>
      <c r="B43" s="391"/>
      <c r="E43" s="173"/>
    </row>
    <row r="44" spans="1:26" x14ac:dyDescent="0.2">
      <c r="A44" s="683" t="s">
        <v>814</v>
      </c>
      <c r="B44" s="145"/>
      <c r="E44" s="393" t="s">
        <v>1474</v>
      </c>
      <c r="F44" s="139"/>
      <c r="G44" s="157">
        <f>cgas!$J$5</f>
        <v>2.14</v>
      </c>
    </row>
    <row r="45" spans="1:26" x14ac:dyDescent="0.2">
      <c r="A45" s="391"/>
      <c r="B45" s="391"/>
      <c r="E45" s="173"/>
    </row>
    <row r="46" spans="1:26" x14ac:dyDescent="0.2">
      <c r="A46" s="391" t="s">
        <v>1475</v>
      </c>
      <c r="B46" s="391"/>
      <c r="C46" t="s">
        <v>1417</v>
      </c>
      <c r="D46" t="s">
        <v>1438</v>
      </c>
      <c r="E46" s="173"/>
    </row>
    <row r="47" spans="1:26" x14ac:dyDescent="0.2">
      <c r="A47" s="726">
        <f>SUM(cgas!I312:I320)+SUM(gatherco!I59:I76)</f>
        <v>0</v>
      </c>
      <c r="B47" s="391"/>
      <c r="C47">
        <v>0</v>
      </c>
      <c r="D47">
        <v>2.6</v>
      </c>
      <c r="E47" s="173">
        <f>C47*D47</f>
        <v>0</v>
      </c>
    </row>
    <row r="48" spans="1:26" s="4" customFormat="1" ht="13.5" thickBot="1" x14ac:dyDescent="0.25">
      <c r="A48"/>
      <c r="B48"/>
      <c r="C48" s="14">
        <f>A47-C47</f>
        <v>0</v>
      </c>
      <c r="D48" s="140">
        <f>G44</f>
        <v>2.14</v>
      </c>
      <c r="E48" s="174">
        <f>C48*D48</f>
        <v>0</v>
      </c>
      <c r="F48"/>
      <c r="G48" s="154" t="s">
        <v>1478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</row>
    <row r="49" spans="1:26" s="4" customFormat="1" x14ac:dyDescent="0.2">
      <c r="A49"/>
      <c r="B49"/>
      <c r="C49">
        <f>SUM(C47:C48)</f>
        <v>0</v>
      </c>
      <c r="D49"/>
      <c r="E49" s="173">
        <f>SUM(E47:E48)</f>
        <v>0</v>
      </c>
      <c r="F49"/>
      <c r="G49" s="414" t="e">
        <f>E49/C49</f>
        <v>#DIV/0!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</row>
    <row r="50" spans="1:26" ht="13.5" thickBot="1" x14ac:dyDescent="0.25">
      <c r="A50" s="14"/>
      <c r="B50" s="14"/>
      <c r="C50" s="14"/>
      <c r="D50" s="14"/>
      <c r="E50" s="14"/>
      <c r="F50" s="14"/>
      <c r="G50" s="155"/>
      <c r="H50" s="14"/>
      <c r="I50" s="14"/>
    </row>
    <row r="51" spans="1:26" x14ac:dyDescent="0.2">
      <c r="A51" s="4"/>
      <c r="B51" s="4"/>
      <c r="C51" s="4"/>
      <c r="D51" s="4"/>
      <c r="E51" s="4"/>
      <c r="F51" s="4"/>
      <c r="G51" s="156"/>
      <c r="H51" s="4"/>
      <c r="I51" s="4"/>
    </row>
    <row r="52" spans="1:26" x14ac:dyDescent="0.2">
      <c r="A52" s="147"/>
      <c r="B52" s="147"/>
      <c r="C52" s="147"/>
      <c r="D52" s="147"/>
      <c r="E52" s="4"/>
      <c r="F52" s="4"/>
      <c r="G52" s="156"/>
      <c r="H52" s="4"/>
      <c r="I52" s="4"/>
    </row>
    <row r="53" spans="1:26" x14ac:dyDescent="0.2">
      <c r="A53" s="415" t="s">
        <v>2306</v>
      </c>
      <c r="B53" s="145"/>
      <c r="C53" s="145"/>
      <c r="D53" s="145"/>
    </row>
    <row r="54" spans="1:26" x14ac:dyDescent="0.2">
      <c r="A54" s="145">
        <v>0</v>
      </c>
      <c r="B54" s="145">
        <v>2.48</v>
      </c>
      <c r="C54" s="452" t="s">
        <v>1041</v>
      </c>
      <c r="D54" s="145"/>
    </row>
    <row r="56" spans="1:26" x14ac:dyDescent="0.2">
      <c r="E56" s="138" t="s">
        <v>1474</v>
      </c>
      <c r="F56" s="139"/>
      <c r="G56" s="157">
        <f>cgas!$J$5</f>
        <v>2.14</v>
      </c>
    </row>
    <row r="58" spans="1:26" x14ac:dyDescent="0.2">
      <c r="A58" t="s">
        <v>1475</v>
      </c>
      <c r="C58" t="s">
        <v>1417</v>
      </c>
      <c r="D58" t="s">
        <v>1438</v>
      </c>
    </row>
    <row r="59" spans="1:26" x14ac:dyDescent="0.2">
      <c r="A59" s="141">
        <f>SUM(cgas!I76:I77)</f>
        <v>0</v>
      </c>
      <c r="C59" s="140">
        <f>+A54</f>
        <v>0</v>
      </c>
      <c r="D59" s="208">
        <f>+B54</f>
        <v>2.48</v>
      </c>
      <c r="E59" s="98">
        <f>C59*D59</f>
        <v>0</v>
      </c>
    </row>
    <row r="60" spans="1:26" ht="13.5" thickBot="1" x14ac:dyDescent="0.25">
      <c r="C60" s="262">
        <f>+A59-C59</f>
        <v>0</v>
      </c>
      <c r="D60" s="203">
        <f>G56</f>
        <v>2.14</v>
      </c>
      <c r="E60" s="189">
        <f>C60*D60</f>
        <v>0</v>
      </c>
      <c r="G60" s="154" t="s">
        <v>1478</v>
      </c>
    </row>
    <row r="61" spans="1:26" x14ac:dyDescent="0.2">
      <c r="C61">
        <f>SUM(C59:C60)</f>
        <v>0</v>
      </c>
      <c r="E61" s="98">
        <f>SUM(E59:E60)</f>
        <v>0</v>
      </c>
      <c r="G61" s="414" t="e">
        <f>E61/C61</f>
        <v>#DIV/0!</v>
      </c>
    </row>
    <row r="62" spans="1:26" ht="13.5" thickBot="1" x14ac:dyDescent="0.25">
      <c r="A62" s="14"/>
      <c r="B62" s="14"/>
      <c r="C62" s="14"/>
      <c r="D62" s="14"/>
      <c r="E62" s="14"/>
      <c r="F62" s="14"/>
      <c r="G62" s="155"/>
      <c r="H62" s="14"/>
      <c r="I62" s="14"/>
    </row>
    <row r="63" spans="1:26" x14ac:dyDescent="0.2">
      <c r="A63" s="4"/>
      <c r="B63" s="4"/>
      <c r="C63" s="4"/>
      <c r="D63" s="4"/>
      <c r="E63" s="4"/>
      <c r="F63" s="4"/>
      <c r="G63" s="156"/>
      <c r="H63" s="4"/>
      <c r="I63" s="4"/>
    </row>
    <row r="64" spans="1:26" x14ac:dyDescent="0.2">
      <c r="A64" s="729"/>
      <c r="B64" s="729"/>
      <c r="C64" s="729"/>
      <c r="D64" s="729"/>
      <c r="E64" s="4"/>
      <c r="F64" s="4"/>
      <c r="G64" s="156"/>
      <c r="H64" s="4"/>
      <c r="I64" s="4"/>
    </row>
    <row r="65" spans="1:9" x14ac:dyDescent="0.2">
      <c r="A65" s="137" t="s">
        <v>1303</v>
      </c>
      <c r="B65" s="463"/>
      <c r="C65" s="452" t="s">
        <v>1041</v>
      </c>
      <c r="D65" s="463"/>
    </row>
    <row r="66" spans="1:9" x14ac:dyDescent="0.2">
      <c r="A66" s="463">
        <v>0</v>
      </c>
      <c r="B66" s="463">
        <v>2.98</v>
      </c>
      <c r="C66" s="452" t="s">
        <v>204</v>
      </c>
      <c r="D66" s="463"/>
      <c r="E66" s="74"/>
    </row>
    <row r="67" spans="1:9" x14ac:dyDescent="0.2">
      <c r="E67" s="138" t="s">
        <v>1304</v>
      </c>
      <c r="F67" s="139"/>
      <c r="G67" s="157">
        <f>cgas!$J$5-0.02</f>
        <v>2.12</v>
      </c>
    </row>
    <row r="69" spans="1:9" x14ac:dyDescent="0.2">
      <c r="A69" t="s">
        <v>1475</v>
      </c>
      <c r="C69" t="s">
        <v>1417</v>
      </c>
      <c r="D69" t="s">
        <v>1438</v>
      </c>
    </row>
    <row r="70" spans="1:9" x14ac:dyDescent="0.2">
      <c r="A70" s="141">
        <f>SUM(cgas!I72:I73)</f>
        <v>0</v>
      </c>
      <c r="C70" s="140">
        <f>+A66</f>
        <v>0</v>
      </c>
      <c r="D70" s="148">
        <f>+B66</f>
        <v>2.98</v>
      </c>
      <c r="E70">
        <f>C70*D70</f>
        <v>0</v>
      </c>
    </row>
    <row r="71" spans="1:9" ht="13.5" thickBot="1" x14ac:dyDescent="0.25">
      <c r="C71" s="14">
        <f>IF(A70&gt;C70,A70-C70,0)</f>
        <v>0</v>
      </c>
      <c r="D71" s="140">
        <f>G67</f>
        <v>2.12</v>
      </c>
      <c r="E71" s="14">
        <f>C71*D71</f>
        <v>0</v>
      </c>
      <c r="G71" s="154" t="s">
        <v>1478</v>
      </c>
    </row>
    <row r="72" spans="1:9" x14ac:dyDescent="0.2">
      <c r="C72">
        <f>SUM(C70:C71)</f>
        <v>0</v>
      </c>
      <c r="E72">
        <f>SUM(E70:E71)</f>
        <v>0</v>
      </c>
      <c r="G72" s="410" t="e">
        <f>ROUND(E72/C72,4)</f>
        <v>#DIV/0!</v>
      </c>
    </row>
    <row r="73" spans="1:9" ht="13.5" thickBot="1" x14ac:dyDescent="0.25">
      <c r="A73" s="14"/>
      <c r="B73" s="14"/>
      <c r="C73" s="14"/>
      <c r="D73" s="14"/>
      <c r="E73" s="14"/>
      <c r="F73" s="14"/>
      <c r="G73" s="155"/>
      <c r="H73" s="14"/>
      <c r="I73" s="14"/>
    </row>
    <row r="74" spans="1:9" x14ac:dyDescent="0.2">
      <c r="A74" s="4"/>
      <c r="B74" s="4"/>
      <c r="C74" s="4"/>
      <c r="D74" s="4"/>
      <c r="E74" s="4"/>
      <c r="F74" s="4"/>
      <c r="G74" s="156"/>
      <c r="H74" s="4"/>
      <c r="I74" s="4"/>
    </row>
    <row r="75" spans="1:9" x14ac:dyDescent="0.2">
      <c r="A75" s="147"/>
      <c r="B75" s="147"/>
      <c r="C75" s="147"/>
      <c r="D75" s="147"/>
      <c r="E75" s="4"/>
      <c r="F75" s="4"/>
      <c r="G75" s="156"/>
      <c r="H75" s="4"/>
      <c r="I75" s="4"/>
    </row>
    <row r="76" spans="1:9" x14ac:dyDescent="0.2">
      <c r="A76" s="137" t="s">
        <v>2307</v>
      </c>
      <c r="B76" s="145"/>
      <c r="C76" s="452" t="s">
        <v>1041</v>
      </c>
      <c r="D76" s="145"/>
    </row>
    <row r="77" spans="1:9" x14ac:dyDescent="0.2">
      <c r="A77" s="463">
        <v>8000</v>
      </c>
      <c r="B77" s="463">
        <v>2.86</v>
      </c>
      <c r="C77" s="452" t="s">
        <v>1060</v>
      </c>
      <c r="D77" s="463"/>
      <c r="E77" s="452"/>
    </row>
    <row r="78" spans="1:9" x14ac:dyDescent="0.2">
      <c r="A78" s="145"/>
      <c r="B78" s="145"/>
      <c r="C78" s="145"/>
      <c r="D78" s="145"/>
    </row>
    <row r="79" spans="1:9" x14ac:dyDescent="0.2">
      <c r="E79" s="138" t="s">
        <v>1474</v>
      </c>
      <c r="F79" s="139"/>
      <c r="G79" s="157">
        <f>cgas!$J$5</f>
        <v>2.14</v>
      </c>
    </row>
    <row r="81" spans="1:26" x14ac:dyDescent="0.2">
      <c r="A81" t="s">
        <v>1475</v>
      </c>
      <c r="C81" t="s">
        <v>1417</v>
      </c>
      <c r="D81" t="s">
        <v>1438</v>
      </c>
    </row>
    <row r="82" spans="1:26" x14ac:dyDescent="0.2">
      <c r="A82" s="141" t="e">
        <f>SUM(cgas!#REF!)</f>
        <v>#REF!</v>
      </c>
      <c r="C82" s="140">
        <f>+A77</f>
        <v>8000</v>
      </c>
      <c r="D82" s="148">
        <f>+B77</f>
        <v>2.86</v>
      </c>
      <c r="E82">
        <f>C82*D82</f>
        <v>22880</v>
      </c>
    </row>
    <row r="83" spans="1:26" ht="13.5" thickBot="1" x14ac:dyDescent="0.25">
      <c r="C83" s="14" t="e">
        <f>IF(A82&gt;C82,A82-C82,0)</f>
        <v>#REF!</v>
      </c>
      <c r="D83" s="140">
        <f>G79</f>
        <v>2.14</v>
      </c>
      <c r="E83" s="14" t="e">
        <f>C83*D83</f>
        <v>#REF!</v>
      </c>
      <c r="G83" s="154" t="s">
        <v>1478</v>
      </c>
    </row>
    <row r="84" spans="1:26" x14ac:dyDescent="0.2">
      <c r="C84" t="e">
        <f>SUM(C82:C83)</f>
        <v>#REF!</v>
      </c>
      <c r="E84" t="e">
        <f>SUM(E82:E83)</f>
        <v>#REF!</v>
      </c>
      <c r="G84" s="410" t="e">
        <f>ROUND(E84/C84,4)</f>
        <v>#REF!</v>
      </c>
    </row>
    <row r="85" spans="1:26" ht="13.5" thickBot="1" x14ac:dyDescent="0.25">
      <c r="A85" s="14"/>
      <c r="B85" s="14"/>
      <c r="C85" s="14"/>
      <c r="D85" s="14"/>
      <c r="E85" s="14"/>
      <c r="F85" s="14"/>
      <c r="G85" s="155"/>
      <c r="H85" s="14"/>
      <c r="I85" s="14"/>
    </row>
    <row r="87" spans="1:26" ht="12.75" customHeight="1" x14ac:dyDescent="0.2">
      <c r="A87" s="434" t="s">
        <v>1608</v>
      </c>
      <c r="B87" s="145"/>
      <c r="C87" s="145"/>
      <c r="D87" s="145"/>
    </row>
    <row r="88" spans="1:26" x14ac:dyDescent="0.2">
      <c r="A88" s="650" t="s">
        <v>2299</v>
      </c>
      <c r="B88" s="671">
        <v>2.91</v>
      </c>
      <c r="C88" s="649" t="s">
        <v>2300</v>
      </c>
      <c r="D88" s="650"/>
      <c r="E88" s="452" t="s">
        <v>1041</v>
      </c>
    </row>
    <row r="89" spans="1:26" x14ac:dyDescent="0.2">
      <c r="A89" s="145" t="s">
        <v>1459</v>
      </c>
      <c r="B89" s="145"/>
      <c r="C89" s="145"/>
      <c r="D89" s="145"/>
    </row>
    <row r="90" spans="1:26" x14ac:dyDescent="0.2">
      <c r="A90" s="143"/>
      <c r="B90" s="149"/>
      <c r="E90" s="138" t="s">
        <v>1474</v>
      </c>
      <c r="F90" s="139"/>
      <c r="G90" s="157">
        <f>cgas!$J$5</f>
        <v>2.14</v>
      </c>
    </row>
    <row r="91" spans="1:26" x14ac:dyDescent="0.2">
      <c r="A91" s="149"/>
      <c r="B91" s="149"/>
    </row>
    <row r="92" spans="1:26" x14ac:dyDescent="0.2">
      <c r="A92" s="149" t="s">
        <v>1475</v>
      </c>
      <c r="B92" s="149"/>
      <c r="C92" t="s">
        <v>1417</v>
      </c>
      <c r="D92" t="s">
        <v>1438</v>
      </c>
    </row>
    <row r="93" spans="1:26" x14ac:dyDescent="0.2">
      <c r="A93" s="201">
        <f>SUM(gatherco!I78:I82)</f>
        <v>0</v>
      </c>
      <c r="B93" s="149"/>
      <c r="C93">
        <v>0</v>
      </c>
      <c r="D93">
        <v>2.91</v>
      </c>
      <c r="E93" s="173">
        <f>C93*D93</f>
        <v>0</v>
      </c>
    </row>
    <row r="94" spans="1:26" s="4" customFormat="1" ht="13.5" thickBot="1" x14ac:dyDescent="0.25">
      <c r="A94"/>
      <c r="B94"/>
      <c r="C94" s="14">
        <f>A93-C93</f>
        <v>0</v>
      </c>
      <c r="D94" s="140">
        <f>G90</f>
        <v>2.14</v>
      </c>
      <c r="E94" s="174">
        <f>C94*D94</f>
        <v>0</v>
      </c>
      <c r="F94"/>
      <c r="G94" s="178" t="s">
        <v>1478</v>
      </c>
      <c r="H94" s="172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</row>
    <row r="95" spans="1:26" s="4" customFormat="1" x14ac:dyDescent="0.2">
      <c r="A95"/>
      <c r="B95"/>
      <c r="C95">
        <f>SUM(C93:C94)</f>
        <v>0</v>
      </c>
      <c r="D95"/>
      <c r="E95" s="173">
        <f>SUM(E93:E94)</f>
        <v>0</v>
      </c>
      <c r="F95"/>
      <c r="G95" s="410" t="e">
        <f>E95/C95</f>
        <v>#DIV/0!</v>
      </c>
      <c r="H95" s="172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</row>
    <row r="96" spans="1:26" s="4" customFormat="1" ht="13.5" thickBot="1" x14ac:dyDescent="0.25">
      <c r="A96" s="14"/>
      <c r="B96" s="14"/>
      <c r="C96" s="14"/>
      <c r="D96" s="14"/>
      <c r="E96" s="174"/>
      <c r="F96" s="14"/>
      <c r="G96" s="155"/>
      <c r="H96" s="14"/>
      <c r="I96" s="14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</row>
    <row r="97" spans="1:26" x14ac:dyDescent="0.2">
      <c r="A97" s="4"/>
      <c r="B97" s="4"/>
      <c r="C97" s="4"/>
      <c r="D97" s="4"/>
      <c r="E97" s="175"/>
      <c r="F97" s="4"/>
      <c r="G97" s="156"/>
      <c r="H97" s="4"/>
      <c r="I97" s="4"/>
    </row>
    <row r="98" spans="1:26" x14ac:dyDescent="0.2">
      <c r="A98" s="434" t="s">
        <v>1630</v>
      </c>
      <c r="B98" s="145"/>
      <c r="C98" s="145"/>
      <c r="D98" s="145"/>
    </row>
    <row r="99" spans="1:26" x14ac:dyDescent="0.2">
      <c r="A99" s="145"/>
      <c r="B99" s="207"/>
      <c r="C99" s="146"/>
      <c r="D99" s="145"/>
      <c r="J99" s="149"/>
      <c r="K99" s="202"/>
      <c r="L99" s="22"/>
    </row>
    <row r="100" spans="1:26" x14ac:dyDescent="0.2">
      <c r="A100" s="145">
        <v>10000</v>
      </c>
      <c r="B100" s="145">
        <v>3.01</v>
      </c>
      <c r="C100" s="463" t="s">
        <v>810</v>
      </c>
      <c r="D100" s="463"/>
      <c r="E100" s="452" t="s">
        <v>1041</v>
      </c>
      <c r="J100" s="149"/>
      <c r="K100" s="149"/>
    </row>
    <row r="101" spans="1:26" x14ac:dyDescent="0.2">
      <c r="A101" s="145">
        <v>5000</v>
      </c>
      <c r="B101" s="145">
        <v>8.4499999999999993</v>
      </c>
      <c r="C101" s="145"/>
      <c r="D101" s="145"/>
    </row>
    <row r="102" spans="1:26" x14ac:dyDescent="0.2">
      <c r="A102" s="143"/>
      <c r="B102" s="149"/>
      <c r="E102" s="138" t="s">
        <v>1474</v>
      </c>
      <c r="F102" s="139"/>
      <c r="G102" s="157">
        <f>cgas!$J$5</f>
        <v>2.14</v>
      </c>
    </row>
    <row r="103" spans="1:26" x14ac:dyDescent="0.2">
      <c r="A103" s="149"/>
      <c r="B103" s="149"/>
    </row>
    <row r="104" spans="1:26" x14ac:dyDescent="0.2">
      <c r="A104" s="149" t="s">
        <v>1475</v>
      </c>
      <c r="B104" s="149"/>
      <c r="C104" t="s">
        <v>1417</v>
      </c>
      <c r="D104" t="s">
        <v>1438</v>
      </c>
    </row>
    <row r="105" spans="1:26" x14ac:dyDescent="0.2">
      <c r="A105" s="201">
        <f>SUM(gatherco!I103:I106)</f>
        <v>0</v>
      </c>
      <c r="B105" s="149"/>
      <c r="C105">
        <v>0</v>
      </c>
      <c r="D105" s="136">
        <f>+B100</f>
        <v>3.01</v>
      </c>
      <c r="E105" s="173">
        <f>C105*D105</f>
        <v>0</v>
      </c>
    </row>
    <row r="106" spans="1:26" x14ac:dyDescent="0.2">
      <c r="A106" s="201"/>
      <c r="B106" s="149"/>
      <c r="C106">
        <v>0</v>
      </c>
      <c r="D106" s="136">
        <f>+B101</f>
        <v>8.4499999999999993</v>
      </c>
      <c r="E106" s="173">
        <f>C106*D106</f>
        <v>0</v>
      </c>
    </row>
    <row r="107" spans="1:26" ht="13.5" thickBot="1" x14ac:dyDescent="0.25">
      <c r="C107" s="262">
        <f>+A105-C105-C106</f>
        <v>0</v>
      </c>
      <c r="D107" s="203">
        <f>G102</f>
        <v>2.14</v>
      </c>
      <c r="E107" s="173">
        <f>C107*D107</f>
        <v>0</v>
      </c>
      <c r="G107" s="178" t="s">
        <v>1478</v>
      </c>
      <c r="H107" s="172"/>
    </row>
    <row r="108" spans="1:26" x14ac:dyDescent="0.2">
      <c r="C108">
        <f>SUM(C105:C107)</f>
        <v>0</v>
      </c>
      <c r="E108" s="173">
        <f>SUM(E105:E107)</f>
        <v>0</v>
      </c>
      <c r="G108" s="410" t="e">
        <f>ROUND(E108/C108,4)</f>
        <v>#DIV/0!</v>
      </c>
      <c r="H108" s="172"/>
    </row>
    <row r="109" spans="1:26" ht="13.5" thickBot="1" x14ac:dyDescent="0.25">
      <c r="A109" s="14"/>
      <c r="B109" s="14"/>
      <c r="C109" s="14"/>
      <c r="D109" s="14"/>
      <c r="E109" s="174"/>
      <c r="F109" s="14"/>
      <c r="G109" s="155"/>
      <c r="H109" s="14"/>
      <c r="I109" s="14"/>
    </row>
    <row r="110" spans="1:26" x14ac:dyDescent="0.2">
      <c r="A110" s="4"/>
      <c r="B110" s="4"/>
      <c r="C110" s="4"/>
      <c r="D110" s="4"/>
      <c r="E110" s="175"/>
      <c r="F110" s="4"/>
      <c r="G110" s="156"/>
      <c r="H110" s="4"/>
      <c r="I110" s="4"/>
    </row>
    <row r="111" spans="1:26" s="4" customFormat="1" ht="13.5" thickBot="1" x14ac:dyDescent="0.25">
      <c r="A111" s="14"/>
      <c r="B111" s="14"/>
      <c r="C111" s="14"/>
      <c r="D111" s="14"/>
      <c r="E111" s="14"/>
      <c r="F111" s="14"/>
      <c r="G111" s="155"/>
      <c r="H111" s="14"/>
      <c r="I111" s="14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</row>
    <row r="112" spans="1:26" s="4" customFormat="1" x14ac:dyDescent="0.2">
      <c r="A112" s="147"/>
      <c r="B112" s="147"/>
      <c r="C112" s="147"/>
      <c r="D112" s="147"/>
      <c r="E112" s="147"/>
      <c r="G112" s="156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</row>
    <row r="113" spans="1:26" s="4" customFormat="1" x14ac:dyDescent="0.2">
      <c r="A113" s="147" t="s">
        <v>1031</v>
      </c>
      <c r="B113" s="147"/>
      <c r="C113" s="147"/>
      <c r="D113" s="729"/>
      <c r="E113" s="452" t="s">
        <v>1041</v>
      </c>
      <c r="G113" s="156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</row>
    <row r="114" spans="1:26" s="4" customFormat="1" x14ac:dyDescent="0.2">
      <c r="A114" s="147" t="s">
        <v>1032</v>
      </c>
      <c r="B114" s="147">
        <v>3.01</v>
      </c>
      <c r="C114" s="147"/>
      <c r="D114" s="452" t="s">
        <v>1033</v>
      </c>
      <c r="E114" s="729"/>
      <c r="G114" s="156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</row>
    <row r="115" spans="1:26" s="4" customFormat="1" x14ac:dyDescent="0.2">
      <c r="A115" s="147"/>
      <c r="B115" s="147"/>
      <c r="C115" s="147"/>
      <c r="D115" s="729"/>
      <c r="E115" s="729"/>
      <c r="G115" s="156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</row>
    <row r="116" spans="1:26" s="4" customFormat="1" x14ac:dyDescent="0.2">
      <c r="G116" s="15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</row>
    <row r="117" spans="1:26" s="4" customFormat="1" x14ac:dyDescent="0.2">
      <c r="A117"/>
      <c r="B117"/>
      <c r="C117"/>
      <c r="D117"/>
      <c r="E117" s="138" t="s">
        <v>1474</v>
      </c>
      <c r="F117" s="139"/>
      <c r="G117" s="157">
        <f>cgas!$J$5</f>
        <v>2.14</v>
      </c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</row>
    <row r="118" spans="1:26" s="4" customFormat="1" x14ac:dyDescent="0.2">
      <c r="A118"/>
      <c r="B118"/>
      <c r="C118"/>
      <c r="D118"/>
      <c r="E118"/>
      <c r="F118"/>
      <c r="G118" s="154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</row>
    <row r="119" spans="1:26" s="4" customFormat="1" x14ac:dyDescent="0.2">
      <c r="A119" t="s">
        <v>1475</v>
      </c>
      <c r="B119"/>
      <c r="C119" t="s">
        <v>1417</v>
      </c>
      <c r="D119" t="s">
        <v>1438</v>
      </c>
      <c r="E119"/>
      <c r="F119"/>
      <c r="G119" s="154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</row>
    <row r="120" spans="1:26" s="4" customFormat="1" x14ac:dyDescent="0.2">
      <c r="A120" s="141">
        <f>SUM(gatherco!I23:I30)</f>
        <v>0</v>
      </c>
      <c r="B120"/>
      <c r="C120">
        <v>0</v>
      </c>
      <c r="D120" s="148">
        <v>3.01</v>
      </c>
      <c r="E120">
        <f>C120*D120</f>
        <v>0</v>
      </c>
      <c r="F120"/>
      <c r="G120" s="154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</row>
    <row r="121" spans="1:26" s="4" customFormat="1" ht="13.5" thickBot="1" x14ac:dyDescent="0.25">
      <c r="A121"/>
      <c r="B121"/>
      <c r="C121" s="14">
        <f>IF(A120&gt;C120,A120-C120,0)</f>
        <v>0</v>
      </c>
      <c r="D121" s="140">
        <f>G117</f>
        <v>2.14</v>
      </c>
      <c r="E121" s="14">
        <f>C121*D121</f>
        <v>0</v>
      </c>
      <c r="F121"/>
      <c r="G121" s="154" t="s">
        <v>1478</v>
      </c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</row>
    <row r="122" spans="1:26" s="4" customFormat="1" x14ac:dyDescent="0.2">
      <c r="A122"/>
      <c r="B122"/>
      <c r="C122">
        <f>SUM(C120:C121)</f>
        <v>0</v>
      </c>
      <c r="D122"/>
      <c r="E122">
        <f>SUM(E120:E121)</f>
        <v>0</v>
      </c>
      <c r="F122"/>
      <c r="G122" s="410" t="e">
        <f>ROUND(E122/C122,4)</f>
        <v>#DIV/0!</v>
      </c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</row>
    <row r="123" spans="1:26" s="4" customFormat="1" x14ac:dyDescent="0.2">
      <c r="G123" s="156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</row>
    <row r="124" spans="1:26" ht="13.5" thickBot="1" x14ac:dyDescent="0.25">
      <c r="A124" s="14"/>
      <c r="B124" s="14"/>
      <c r="C124" s="14"/>
      <c r="D124" s="14"/>
      <c r="E124" s="14"/>
      <c r="F124" s="14"/>
      <c r="G124" s="155"/>
      <c r="H124" s="14"/>
      <c r="I124" s="14"/>
    </row>
    <row r="125" spans="1:26" x14ac:dyDescent="0.2">
      <c r="A125" s="559"/>
      <c r="B125" s="559"/>
      <c r="C125" s="559"/>
      <c r="D125" s="559"/>
      <c r="E125" s="559"/>
      <c r="F125" s="559"/>
      <c r="G125" s="560"/>
      <c r="H125" s="559"/>
      <c r="I125" s="4"/>
    </row>
    <row r="126" spans="1:26" x14ac:dyDescent="0.2">
      <c r="A126" s="561" t="s">
        <v>1770</v>
      </c>
      <c r="B126" s="562"/>
      <c r="C126" s="563" t="s">
        <v>1073</v>
      </c>
      <c r="D126" s="562"/>
      <c r="E126" s="562"/>
      <c r="F126" s="562"/>
      <c r="G126" s="564"/>
      <c r="H126" s="562"/>
    </row>
    <row r="127" spans="1:26" x14ac:dyDescent="0.2">
      <c r="A127" s="562" t="s">
        <v>1828</v>
      </c>
      <c r="B127" s="562">
        <v>2.91</v>
      </c>
      <c r="C127" s="565" t="s">
        <v>1508</v>
      </c>
      <c r="D127" s="562"/>
      <c r="E127" s="562"/>
      <c r="F127" s="562"/>
      <c r="G127" s="564"/>
      <c r="H127" s="562"/>
    </row>
    <row r="128" spans="1:26" x14ac:dyDescent="0.2">
      <c r="A128" s="566"/>
      <c r="B128" s="562"/>
      <c r="C128" s="562"/>
      <c r="D128" s="562"/>
      <c r="E128" s="567" t="s">
        <v>1474</v>
      </c>
      <c r="F128" s="568"/>
      <c r="G128" s="569">
        <f>cgas!$J$5</f>
        <v>2.14</v>
      </c>
      <c r="H128" s="562"/>
    </row>
    <row r="129" spans="1:9" x14ac:dyDescent="0.2">
      <c r="A129" s="562"/>
      <c r="B129" s="562"/>
      <c r="C129" s="562"/>
      <c r="D129" s="562"/>
      <c r="E129" s="562"/>
      <c r="F129" s="562"/>
      <c r="G129" s="564"/>
      <c r="H129" s="562"/>
    </row>
    <row r="130" spans="1:9" x14ac:dyDescent="0.2">
      <c r="A130" s="562" t="s">
        <v>1475</v>
      </c>
      <c r="B130" s="562"/>
      <c r="C130" s="562" t="s">
        <v>1417</v>
      </c>
      <c r="D130" s="562" t="s">
        <v>1438</v>
      </c>
      <c r="E130" s="562"/>
      <c r="F130" s="562"/>
      <c r="G130" s="564"/>
      <c r="H130" s="562"/>
    </row>
    <row r="131" spans="1:9" x14ac:dyDescent="0.2">
      <c r="A131" s="570"/>
      <c r="B131" s="562"/>
      <c r="C131" s="571">
        <v>1500</v>
      </c>
      <c r="D131" s="563">
        <v>2.91</v>
      </c>
      <c r="E131" s="562">
        <f>C131*D131</f>
        <v>4365</v>
      </c>
      <c r="F131" s="562"/>
      <c r="G131" s="564"/>
      <c r="H131" s="562"/>
    </row>
    <row r="132" spans="1:9" ht="13.5" thickBot="1" x14ac:dyDescent="0.25">
      <c r="A132" s="562"/>
      <c r="B132" s="562"/>
      <c r="C132" s="572">
        <f>IF(A131&gt;C131,A131-C131,0)</f>
        <v>0</v>
      </c>
      <c r="D132" s="571">
        <f>G128</f>
        <v>2.14</v>
      </c>
      <c r="E132" s="572">
        <f>C132*D132</f>
        <v>0</v>
      </c>
      <c r="F132" s="562"/>
      <c r="G132" s="564" t="s">
        <v>1478</v>
      </c>
      <c r="H132" s="562"/>
    </row>
    <row r="133" spans="1:9" x14ac:dyDescent="0.2">
      <c r="A133" s="562"/>
      <c r="B133" s="562"/>
      <c r="C133" s="562">
        <f>SUM(C131:C132)</f>
        <v>1500</v>
      </c>
      <c r="D133" s="562"/>
      <c r="E133" s="562">
        <f>SUM(E131:E132)</f>
        <v>4365</v>
      </c>
      <c r="F133" s="562"/>
      <c r="G133" s="564">
        <f>E133/C133</f>
        <v>2.91</v>
      </c>
      <c r="H133" s="562"/>
    </row>
    <row r="134" spans="1:9" ht="13.5" thickBot="1" x14ac:dyDescent="0.25">
      <c r="A134" s="572"/>
      <c r="B134" s="572"/>
      <c r="C134" s="572"/>
      <c r="D134" s="572"/>
      <c r="E134" s="572"/>
      <c r="F134" s="572"/>
      <c r="G134" s="573"/>
      <c r="H134" s="572"/>
      <c r="I134" s="14"/>
    </row>
    <row r="135" spans="1:9" x14ac:dyDescent="0.2">
      <c r="A135" s="4"/>
      <c r="B135" s="4"/>
      <c r="C135" s="4"/>
      <c r="D135" s="4"/>
      <c r="E135" s="4"/>
      <c r="F135" s="4"/>
      <c r="G135" s="156"/>
      <c r="H135" s="4"/>
      <c r="I135" s="4"/>
    </row>
    <row r="136" spans="1:9" x14ac:dyDescent="0.2">
      <c r="A136" s="4"/>
      <c r="B136" s="4"/>
      <c r="C136" s="4"/>
      <c r="D136" s="4"/>
      <c r="E136" s="4"/>
      <c r="F136" s="4"/>
      <c r="G136" s="156"/>
      <c r="H136" s="4"/>
      <c r="I136" s="4"/>
    </row>
    <row r="137" spans="1:9" x14ac:dyDescent="0.2">
      <c r="A137" s="147"/>
      <c r="B137" s="147"/>
      <c r="C137" s="147"/>
      <c r="D137" s="147"/>
      <c r="E137" s="4"/>
      <c r="F137" s="4"/>
      <c r="G137" s="156"/>
      <c r="H137" s="4"/>
      <c r="I137" s="4"/>
    </row>
    <row r="138" spans="1:9" x14ac:dyDescent="0.2">
      <c r="A138" s="137" t="s">
        <v>1810</v>
      </c>
      <c r="B138" s="145"/>
      <c r="C138" s="145"/>
      <c r="D138" s="145"/>
    </row>
    <row r="139" spans="1:9" x14ac:dyDescent="0.2">
      <c r="A139" s="145">
        <v>9000</v>
      </c>
      <c r="B139" s="145">
        <v>2.96</v>
      </c>
      <c r="C139" s="146" t="s">
        <v>1060</v>
      </c>
      <c r="D139" s="145"/>
      <c r="E139" s="554" t="s">
        <v>298</v>
      </c>
    </row>
    <row r="140" spans="1:9" x14ac:dyDescent="0.2">
      <c r="A140" s="145"/>
      <c r="B140" s="145"/>
      <c r="C140" s="145"/>
      <c r="D140" s="145"/>
    </row>
    <row r="141" spans="1:9" x14ac:dyDescent="0.2">
      <c r="E141" s="138" t="s">
        <v>1474</v>
      </c>
      <c r="F141" s="139"/>
      <c r="G141" s="157">
        <f>cgas!$J$5</f>
        <v>2.14</v>
      </c>
    </row>
    <row r="143" spans="1:9" x14ac:dyDescent="0.2">
      <c r="A143" t="s">
        <v>1475</v>
      </c>
      <c r="C143" t="s">
        <v>1417</v>
      </c>
      <c r="D143" t="s">
        <v>1438</v>
      </c>
    </row>
    <row r="144" spans="1:9" x14ac:dyDescent="0.2">
      <c r="A144" s="141">
        <f>SUM(cnr!J20:J22)+SUM(cgas!I43:I55)</f>
        <v>0</v>
      </c>
      <c r="C144" s="140">
        <v>0</v>
      </c>
      <c r="D144" s="148">
        <f>+B139</f>
        <v>2.96</v>
      </c>
      <c r="E144">
        <f>C144*D144</f>
        <v>0</v>
      </c>
    </row>
    <row r="145" spans="1:26" ht="13.5" thickBot="1" x14ac:dyDescent="0.25">
      <c r="C145" s="14">
        <f>IF(A144&gt;C144,A144-C144,0)</f>
        <v>0</v>
      </c>
      <c r="D145" s="140">
        <f>G141</f>
        <v>2.14</v>
      </c>
      <c r="E145" s="14">
        <f>C145*D145</f>
        <v>0</v>
      </c>
      <c r="G145" s="154" t="s">
        <v>1478</v>
      </c>
    </row>
    <row r="146" spans="1:26" x14ac:dyDescent="0.2">
      <c r="C146">
        <f>SUM(C144:C145)</f>
        <v>0</v>
      </c>
      <c r="E146">
        <f>SUM(E144:E145)</f>
        <v>0</v>
      </c>
      <c r="G146" s="410" t="e">
        <f>ROUND(E146/C146,4)</f>
        <v>#DIV/0!</v>
      </c>
    </row>
    <row r="147" spans="1:26" ht="13.5" thickBot="1" x14ac:dyDescent="0.25">
      <c r="A147" s="14"/>
      <c r="B147" s="14"/>
      <c r="C147" s="14"/>
      <c r="D147" s="14"/>
      <c r="E147" s="14"/>
      <c r="F147" s="14"/>
      <c r="G147" s="155"/>
      <c r="H147" s="14"/>
      <c r="I147" s="14"/>
    </row>
    <row r="148" spans="1:26" x14ac:dyDescent="0.2">
      <c r="A148" s="4"/>
      <c r="B148" s="4"/>
      <c r="C148" s="4"/>
      <c r="D148" s="4"/>
      <c r="E148" s="4"/>
      <c r="F148" s="4"/>
      <c r="G148" s="156"/>
      <c r="H148" s="4"/>
      <c r="I148" s="4"/>
    </row>
    <row r="149" spans="1:26" x14ac:dyDescent="0.2">
      <c r="A149" s="172" t="s">
        <v>1028</v>
      </c>
      <c r="B149" s="172"/>
    </row>
    <row r="150" spans="1:26" x14ac:dyDescent="0.2">
      <c r="A150" s="172" t="s">
        <v>1029</v>
      </c>
      <c r="B150" s="399">
        <v>3.34</v>
      </c>
      <c r="C150" s="22" t="s">
        <v>1030</v>
      </c>
      <c r="E150" s="452" t="s">
        <v>1041</v>
      </c>
    </row>
    <row r="151" spans="1:26" x14ac:dyDescent="0.2">
      <c r="A151" s="172" t="s">
        <v>1459</v>
      </c>
      <c r="B151" s="172"/>
    </row>
    <row r="152" spans="1:26" x14ac:dyDescent="0.2">
      <c r="A152" s="172"/>
      <c r="B152" s="172"/>
    </row>
    <row r="153" spans="1:26" x14ac:dyDescent="0.2">
      <c r="A153" s="400" t="s">
        <v>814</v>
      </c>
      <c r="B153" s="172"/>
      <c r="E153" s="138" t="s">
        <v>1474</v>
      </c>
      <c r="F153" s="139"/>
      <c r="G153" s="157">
        <f>cgas!$J$5+0.02</f>
        <v>2.16</v>
      </c>
    </row>
    <row r="154" spans="1:26" x14ac:dyDescent="0.2">
      <c r="A154" s="172"/>
      <c r="B154" s="172"/>
    </row>
    <row r="155" spans="1:26" x14ac:dyDescent="0.2">
      <c r="A155" s="172" t="s">
        <v>1475</v>
      </c>
      <c r="B155" s="172"/>
      <c r="C155" t="s">
        <v>1417</v>
      </c>
      <c r="D155" t="s">
        <v>1438</v>
      </c>
    </row>
    <row r="156" spans="1:26" x14ac:dyDescent="0.2">
      <c r="A156" s="401">
        <v>0</v>
      </c>
      <c r="B156" s="172"/>
      <c r="C156">
        <v>4200</v>
      </c>
      <c r="D156">
        <v>3.34</v>
      </c>
      <c r="E156" s="173">
        <f>C156*D156</f>
        <v>14028</v>
      </c>
    </row>
    <row r="157" spans="1:26" s="4" customFormat="1" ht="13.5" thickBot="1" x14ac:dyDescent="0.25">
      <c r="A157"/>
      <c r="B157"/>
      <c r="C157" s="14">
        <f>A156-C156</f>
        <v>-4200</v>
      </c>
      <c r="D157" s="140">
        <f>G153</f>
        <v>2.16</v>
      </c>
      <c r="E157" s="174">
        <f>C157*D157</f>
        <v>-9072</v>
      </c>
      <c r="F157"/>
      <c r="G157" s="178" t="s">
        <v>1478</v>
      </c>
      <c r="H157" s="172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s="4" customFormat="1" x14ac:dyDescent="0.2">
      <c r="A158"/>
      <c r="B158"/>
      <c r="C158">
        <f>SUM(C156:C157)</f>
        <v>0</v>
      </c>
      <c r="D158"/>
      <c r="E158" s="173">
        <f>SUM(E156:E157)</f>
        <v>4956</v>
      </c>
      <c r="F158"/>
      <c r="G158" s="178" t="e">
        <f>E158/C158</f>
        <v>#DIV/0!</v>
      </c>
      <c r="H158" s="172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s="4" customFormat="1" ht="13.5" thickBot="1" x14ac:dyDescent="0.25">
      <c r="A159" s="14"/>
      <c r="B159" s="14"/>
      <c r="C159" s="14"/>
      <c r="D159" s="14"/>
      <c r="E159" s="174"/>
      <c r="F159" s="14"/>
      <c r="G159" s="155"/>
      <c r="H159" s="14"/>
      <c r="I159" s="14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">
      <c r="A160" s="147"/>
      <c r="B160" s="147"/>
      <c r="C160" s="147"/>
      <c r="D160" s="147"/>
      <c r="E160" s="4"/>
      <c r="F160" s="4"/>
      <c r="G160" s="156"/>
      <c r="H160" s="4"/>
      <c r="I160" s="4"/>
    </row>
    <row r="161" spans="1:26" x14ac:dyDescent="0.2">
      <c r="A161" s="137" t="s">
        <v>281</v>
      </c>
      <c r="B161" s="145"/>
      <c r="C161" s="145"/>
      <c r="D161" s="145"/>
    </row>
    <row r="162" spans="1:26" x14ac:dyDescent="0.2">
      <c r="A162" s="145">
        <v>2400</v>
      </c>
      <c r="B162" s="145">
        <v>3.07</v>
      </c>
      <c r="C162" s="146" t="s">
        <v>1034</v>
      </c>
      <c r="D162" s="145"/>
      <c r="E162" s="452" t="s">
        <v>1041</v>
      </c>
    </row>
    <row r="163" spans="1:26" x14ac:dyDescent="0.2">
      <c r="A163" s="143"/>
      <c r="E163" s="138" t="s">
        <v>1474</v>
      </c>
      <c r="F163" s="139"/>
      <c r="G163" s="157">
        <f>cgas!$J$5</f>
        <v>2.14</v>
      </c>
    </row>
    <row r="165" spans="1:26" x14ac:dyDescent="0.2">
      <c r="A165" t="s">
        <v>1475</v>
      </c>
      <c r="C165" t="s">
        <v>1417</v>
      </c>
      <c r="D165" t="s">
        <v>1438</v>
      </c>
    </row>
    <row r="166" spans="1:26" x14ac:dyDescent="0.2">
      <c r="A166" s="141">
        <f>SUM(cgas!I70) + SUM(cnr!J59:J65)</f>
        <v>0</v>
      </c>
      <c r="C166" s="140">
        <v>0</v>
      </c>
      <c r="D166" s="148">
        <f>+B162</f>
        <v>3.07</v>
      </c>
      <c r="E166">
        <f>C166*D166</f>
        <v>0</v>
      </c>
    </row>
    <row r="167" spans="1:26" ht="13.5" thickBot="1" x14ac:dyDescent="0.25">
      <c r="C167" s="14">
        <f>IF(A166&gt;C166,A166-C166,0)</f>
        <v>0</v>
      </c>
      <c r="D167" s="140">
        <f>G163</f>
        <v>2.14</v>
      </c>
      <c r="E167" s="14">
        <f>C167*D167</f>
        <v>0</v>
      </c>
      <c r="G167" s="154" t="s">
        <v>1478</v>
      </c>
    </row>
    <row r="168" spans="1:26" x14ac:dyDescent="0.2">
      <c r="C168">
        <f>SUM(C166:C167)</f>
        <v>0</v>
      </c>
      <c r="E168">
        <f>SUM(E166:E167)</f>
        <v>0</v>
      </c>
      <c r="G168" s="410" t="e">
        <f>ROUND(E168/C168,4)</f>
        <v>#DIV/0!</v>
      </c>
    </row>
    <row r="169" spans="1:26" ht="13.5" thickBot="1" x14ac:dyDescent="0.25">
      <c r="A169" s="14"/>
      <c r="B169" s="14"/>
      <c r="C169" s="14"/>
      <c r="D169" s="14"/>
      <c r="E169" s="14"/>
      <c r="F169" s="14"/>
      <c r="G169" s="155"/>
      <c r="H169" s="14"/>
      <c r="I169" s="14"/>
    </row>
    <row r="170" spans="1:26" s="4" customFormat="1" x14ac:dyDescent="0.2">
      <c r="E170" s="175"/>
      <c r="G170" s="156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">
      <c r="A171" s="147"/>
      <c r="B171" s="147"/>
      <c r="C171" s="147"/>
      <c r="D171" s="147"/>
      <c r="E171" s="4"/>
      <c r="F171" s="4"/>
      <c r="G171" s="156"/>
      <c r="H171" s="4"/>
      <c r="I171" s="4"/>
    </row>
    <row r="172" spans="1:26" x14ac:dyDescent="0.2">
      <c r="A172" s="137" t="s">
        <v>1790</v>
      </c>
      <c r="B172" s="145"/>
      <c r="C172" s="145"/>
      <c r="D172" s="145"/>
      <c r="E172" s="452" t="s">
        <v>1041</v>
      </c>
    </row>
    <row r="173" spans="1:26" x14ac:dyDescent="0.2">
      <c r="A173" s="145">
        <v>3000</v>
      </c>
      <c r="B173" s="145">
        <v>6.07</v>
      </c>
      <c r="C173" s="146" t="s">
        <v>253</v>
      </c>
      <c r="D173" s="145"/>
      <c r="E173" s="554" t="s">
        <v>299</v>
      </c>
    </row>
    <row r="174" spans="1:26" x14ac:dyDescent="0.2">
      <c r="A174" s="143"/>
      <c r="E174" s="138" t="s">
        <v>1474</v>
      </c>
      <c r="F174" s="139"/>
      <c r="G174" s="157">
        <f>cgas!$J$5</f>
        <v>2.14</v>
      </c>
    </row>
    <row r="176" spans="1:26" x14ac:dyDescent="0.2">
      <c r="A176" t="s">
        <v>1475</v>
      </c>
      <c r="C176" t="s">
        <v>1417</v>
      </c>
      <c r="D176" t="s">
        <v>1438</v>
      </c>
    </row>
    <row r="177" spans="1:15" x14ac:dyDescent="0.2">
      <c r="A177" s="141">
        <f>SUM(cnr!J70:J72)</f>
        <v>0</v>
      </c>
      <c r="C177" s="140">
        <v>0</v>
      </c>
      <c r="D177" s="148">
        <f>+B173</f>
        <v>6.07</v>
      </c>
      <c r="E177">
        <f>C177*D177</f>
        <v>0</v>
      </c>
    </row>
    <row r="178" spans="1:15" ht="13.5" thickBot="1" x14ac:dyDescent="0.25">
      <c r="C178" s="14">
        <f>IF(A177&gt;C177,A177-C177,0)</f>
        <v>0</v>
      </c>
      <c r="D178" s="140">
        <f>G174</f>
        <v>2.14</v>
      </c>
      <c r="E178" s="14">
        <f>C178*D178</f>
        <v>0</v>
      </c>
      <c r="G178" s="154" t="s">
        <v>1478</v>
      </c>
    </row>
    <row r="179" spans="1:15" x14ac:dyDescent="0.2">
      <c r="C179">
        <f>SUM(C177:C178)</f>
        <v>0</v>
      </c>
      <c r="E179">
        <f>SUM(E177:E178)</f>
        <v>0</v>
      </c>
      <c r="G179" s="410" t="e">
        <f>ROUND(E179/C179,4)</f>
        <v>#DIV/0!</v>
      </c>
    </row>
    <row r="180" spans="1:15" ht="13.5" thickBot="1" x14ac:dyDescent="0.25">
      <c r="A180" s="14"/>
      <c r="B180" s="14"/>
      <c r="C180" s="14"/>
      <c r="D180" s="14"/>
      <c r="E180" s="14"/>
      <c r="F180" s="14"/>
      <c r="G180" s="155"/>
      <c r="H180" s="14"/>
      <c r="I180" s="14"/>
    </row>
    <row r="181" spans="1:15" x14ac:dyDescent="0.2">
      <c r="A181" s="146" t="s">
        <v>835</v>
      </c>
      <c r="B181" s="145"/>
      <c r="C181" s="172"/>
      <c r="D181" s="172"/>
      <c r="I181" s="4"/>
      <c r="J181" s="4"/>
      <c r="K181" s="4"/>
      <c r="L181" s="4"/>
      <c r="M181" s="4"/>
      <c r="N181" s="4"/>
      <c r="O181" s="156"/>
    </row>
    <row r="182" spans="1:15" x14ac:dyDescent="0.2">
      <c r="A182">
        <v>2000</v>
      </c>
      <c r="B182" s="98">
        <v>5.75</v>
      </c>
      <c r="C182" s="22" t="s">
        <v>2294</v>
      </c>
      <c r="E182" s="554" t="s">
        <v>1490</v>
      </c>
      <c r="I182" s="4"/>
      <c r="J182" s="4"/>
      <c r="K182" s="440"/>
      <c r="L182" s="4"/>
      <c r="M182" s="281"/>
      <c r="N182" s="4"/>
      <c r="O182" s="156"/>
    </row>
    <row r="183" spans="1:15" x14ac:dyDescent="0.2">
      <c r="B183" s="98"/>
      <c r="C183" s="22"/>
      <c r="E183" s="138" t="s">
        <v>1489</v>
      </c>
      <c r="F183" s="139"/>
      <c r="G183" s="157">
        <f>cgas!$J$5-0.02</f>
        <v>2.12</v>
      </c>
      <c r="I183" s="4"/>
      <c r="J183" s="4"/>
      <c r="K183" s="4"/>
      <c r="L183" s="4"/>
      <c r="M183" s="441"/>
      <c r="N183" s="441"/>
      <c r="O183" s="442"/>
    </row>
    <row r="184" spans="1:15" x14ac:dyDescent="0.2">
      <c r="I184" s="4"/>
      <c r="J184" s="4"/>
      <c r="K184" s="4"/>
      <c r="L184" s="4"/>
      <c r="M184" s="4"/>
      <c r="N184" s="4"/>
      <c r="O184" s="156"/>
    </row>
    <row r="185" spans="1:15" x14ac:dyDescent="0.2">
      <c r="A185" t="s">
        <v>1475</v>
      </c>
      <c r="C185" t="s">
        <v>1417</v>
      </c>
      <c r="D185" t="s">
        <v>1438</v>
      </c>
      <c r="I185" s="4"/>
      <c r="J185" s="4"/>
      <c r="K185" s="4"/>
      <c r="L185" s="4"/>
      <c r="M185" s="4"/>
      <c r="N185" s="4"/>
      <c r="O185" s="156"/>
    </row>
    <row r="186" spans="1:15" x14ac:dyDescent="0.2">
      <c r="A186" s="141">
        <f>SUM(cgas!I87:I91)+SUM(cnr!J76:J78)+SUM('EQTR-Other'!J27:J32)</f>
        <v>0</v>
      </c>
      <c r="C186" s="149">
        <v>768</v>
      </c>
      <c r="D186" s="98">
        <f>+B182</f>
        <v>5.75</v>
      </c>
      <c r="E186" s="98">
        <f>C186*D186</f>
        <v>4416</v>
      </c>
      <c r="I186" s="349"/>
      <c r="J186" s="4"/>
      <c r="K186" s="4"/>
      <c r="L186" s="4"/>
      <c r="M186" s="4"/>
      <c r="N186" s="4"/>
      <c r="O186" s="156"/>
    </row>
    <row r="187" spans="1:15" ht="13.5" thickBot="1" x14ac:dyDescent="0.25">
      <c r="C187" s="262">
        <f>+A186-C186</f>
        <v>-768</v>
      </c>
      <c r="D187" s="140">
        <f>G183</f>
        <v>2.12</v>
      </c>
      <c r="E187" s="189">
        <f>C187*D187</f>
        <v>-1628.16</v>
      </c>
      <c r="G187" s="154" t="s">
        <v>1478</v>
      </c>
      <c r="I187" s="4"/>
      <c r="J187" s="4"/>
      <c r="K187" s="4"/>
      <c r="L187" s="441"/>
      <c r="M187" s="4"/>
      <c r="N187" s="4"/>
      <c r="O187" s="156"/>
    </row>
    <row r="188" spans="1:15" x14ac:dyDescent="0.2">
      <c r="C188">
        <f>SUM(C186:C187)</f>
        <v>0</v>
      </c>
      <c r="E188" s="98">
        <f>SUM(E186:E187)</f>
        <v>2787.84</v>
      </c>
      <c r="G188" s="410" t="e">
        <f>ROUND(E188/C188,4)</f>
        <v>#DIV/0!</v>
      </c>
      <c r="I188" s="4"/>
      <c r="J188" s="4"/>
      <c r="K188" s="4"/>
      <c r="L188" s="4"/>
      <c r="M188" s="4"/>
      <c r="N188" s="4"/>
      <c r="O188" s="156"/>
    </row>
    <row r="189" spans="1:15" ht="13.5" thickBot="1" x14ac:dyDescent="0.25">
      <c r="A189" s="14"/>
      <c r="B189" s="14"/>
      <c r="C189" s="14"/>
      <c r="D189" s="14"/>
      <c r="E189" s="14"/>
      <c r="F189" s="14"/>
      <c r="G189" s="155"/>
      <c r="H189" s="14"/>
      <c r="I189" s="14"/>
      <c r="J189" s="4"/>
      <c r="K189" s="4"/>
      <c r="L189" s="4"/>
      <c r="M189" s="4"/>
      <c r="N189" s="4"/>
      <c r="O189" s="156"/>
    </row>
    <row r="190" spans="1:15" x14ac:dyDescent="0.2">
      <c r="A190" s="147"/>
      <c r="B190" s="147"/>
      <c r="C190" s="147"/>
      <c r="D190" s="147"/>
      <c r="E190" s="4"/>
      <c r="F190" s="4"/>
      <c r="G190" s="156"/>
      <c r="H190" s="4"/>
      <c r="I190" s="4"/>
    </row>
    <row r="191" spans="1:15" x14ac:dyDescent="0.2">
      <c r="A191" s="137" t="s">
        <v>1295</v>
      </c>
      <c r="B191" s="145"/>
      <c r="C191" s="145"/>
      <c r="D191" s="145"/>
      <c r="E191" s="452" t="s">
        <v>1041</v>
      </c>
    </row>
    <row r="192" spans="1:15" x14ac:dyDescent="0.2">
      <c r="A192" s="145">
        <v>9300</v>
      </c>
      <c r="B192" s="145">
        <v>5.25</v>
      </c>
      <c r="C192" s="146" t="s">
        <v>1383</v>
      </c>
      <c r="D192" s="145"/>
      <c r="E192" s="145" t="s">
        <v>1293</v>
      </c>
      <c r="F192" s="145"/>
    </row>
    <row r="193" spans="1:26" x14ac:dyDescent="0.2">
      <c r="A193" s="145">
        <v>12400</v>
      </c>
      <c r="B193" s="403">
        <v>5.8</v>
      </c>
      <c r="C193" s="146" t="s">
        <v>253</v>
      </c>
      <c r="D193" s="145"/>
      <c r="E193" s="145" t="s">
        <v>1294</v>
      </c>
      <c r="F193" s="145"/>
    </row>
    <row r="194" spans="1:26" x14ac:dyDescent="0.2">
      <c r="E194" s="138" t="s">
        <v>1474</v>
      </c>
      <c r="F194" s="139"/>
      <c r="G194" s="157">
        <f>cgas!$J$5</f>
        <v>2.14</v>
      </c>
    </row>
    <row r="195" spans="1:26" x14ac:dyDescent="0.2">
      <c r="A195" t="s">
        <v>1475</v>
      </c>
      <c r="C195" t="s">
        <v>1417</v>
      </c>
      <c r="D195" t="s">
        <v>1438</v>
      </c>
    </row>
    <row r="196" spans="1:26" x14ac:dyDescent="0.2">
      <c r="A196" s="141">
        <f>SUM(cgas!I93)+SUM(cnr!J82:J84)</f>
        <v>0</v>
      </c>
      <c r="C196" s="140">
        <v>0</v>
      </c>
      <c r="D196" s="222">
        <f>+B192</f>
        <v>5.25</v>
      </c>
      <c r="E196">
        <f>C196*D196</f>
        <v>0</v>
      </c>
      <c r="I196" s="750">
        <v>9300</v>
      </c>
      <c r="J196" s="750">
        <v>5.25</v>
      </c>
      <c r="K196" s="750">
        <v>48825</v>
      </c>
      <c r="L196" s="750"/>
      <c r="M196" s="750"/>
    </row>
    <row r="197" spans="1:26" x14ac:dyDescent="0.2">
      <c r="A197" s="141"/>
      <c r="C197" s="694">
        <v>0</v>
      </c>
      <c r="D197" s="222">
        <f>+B193</f>
        <v>5.8</v>
      </c>
      <c r="E197">
        <f>C197*D197</f>
        <v>0</v>
      </c>
      <c r="I197" s="750">
        <v>21101</v>
      </c>
      <c r="J197" s="750">
        <v>5.8</v>
      </c>
      <c r="K197" s="750">
        <v>122385.8</v>
      </c>
      <c r="L197" s="750"/>
      <c r="M197" s="750"/>
    </row>
    <row r="198" spans="1:26" ht="13.5" thickBot="1" x14ac:dyDescent="0.25">
      <c r="C198" s="262">
        <f>+A196-C196-C197</f>
        <v>0</v>
      </c>
      <c r="D198" s="140">
        <f>G194</f>
        <v>2.14</v>
      </c>
      <c r="E198" s="14">
        <f>C198*D198</f>
        <v>0</v>
      </c>
      <c r="G198" s="154" t="s">
        <v>1478</v>
      </c>
      <c r="I198" s="750">
        <v>0</v>
      </c>
      <c r="J198" s="750">
        <v>10.53</v>
      </c>
      <c r="K198" s="750">
        <v>0</v>
      </c>
      <c r="L198" s="750"/>
      <c r="M198" s="750" t="s">
        <v>1478</v>
      </c>
    </row>
    <row r="199" spans="1:26" x14ac:dyDescent="0.2">
      <c r="C199">
        <f>SUM(C196:C198)</f>
        <v>0</v>
      </c>
      <c r="E199">
        <f>SUM(E196:E198)</f>
        <v>0</v>
      </c>
      <c r="G199" s="410" t="e">
        <f>ROUND(E199/C199,4)</f>
        <v>#DIV/0!</v>
      </c>
      <c r="I199" s="750">
        <v>30401</v>
      </c>
      <c r="J199" s="750"/>
      <c r="K199" s="750">
        <v>171210.8</v>
      </c>
      <c r="L199" s="750"/>
      <c r="M199" s="750">
        <v>5.6317489556264588</v>
      </c>
    </row>
    <row r="200" spans="1:26" ht="13.5" thickBot="1" x14ac:dyDescent="0.25">
      <c r="A200" s="14"/>
      <c r="B200" s="14"/>
      <c r="C200" s="14"/>
      <c r="D200" s="14"/>
      <c r="E200" s="14"/>
      <c r="F200" s="14"/>
      <c r="G200" s="155"/>
      <c r="H200" s="14"/>
      <c r="I200" s="14"/>
    </row>
    <row r="201" spans="1:26" s="4" customFormat="1" x14ac:dyDescent="0.2">
      <c r="A201" s="147"/>
      <c r="B201" s="147"/>
      <c r="C201" s="147"/>
      <c r="D201" s="147"/>
      <c r="E201" s="147"/>
      <c r="G201" s="156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</row>
    <row r="202" spans="1:26" s="4" customFormat="1" x14ac:dyDescent="0.2">
      <c r="A202" s="204" t="s">
        <v>2315</v>
      </c>
      <c r="B202" s="147"/>
      <c r="C202" s="147"/>
      <c r="D202" s="147"/>
      <c r="E202" s="452" t="s">
        <v>1041</v>
      </c>
      <c r="G202" s="156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</row>
    <row r="203" spans="1:26" s="4" customFormat="1" x14ac:dyDescent="0.2">
      <c r="A203" s="147">
        <v>0</v>
      </c>
      <c r="B203" s="205">
        <v>3.0750000000000002</v>
      </c>
      <c r="C203" s="452" t="s">
        <v>1057</v>
      </c>
      <c r="D203" s="147"/>
      <c r="E203" s="759" t="s">
        <v>1515</v>
      </c>
      <c r="F203" s="729"/>
      <c r="G203" s="156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</row>
    <row r="204" spans="1:26" s="4" customFormat="1" x14ac:dyDescent="0.2">
      <c r="A204" s="147">
        <v>0</v>
      </c>
      <c r="B204" s="205">
        <v>6.07</v>
      </c>
      <c r="C204" s="452" t="s">
        <v>253</v>
      </c>
      <c r="D204" s="147"/>
      <c r="E204" s="574"/>
      <c r="G204" s="156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</row>
    <row r="205" spans="1:26" s="4" customFormat="1" x14ac:dyDescent="0.2">
      <c r="A205" s="147">
        <v>0</v>
      </c>
      <c r="B205" s="205">
        <v>6.1</v>
      </c>
      <c r="C205" s="452" t="s">
        <v>253</v>
      </c>
      <c r="D205" s="147"/>
      <c r="E205" s="574"/>
      <c r="G205" s="156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</row>
    <row r="206" spans="1:26" s="4" customFormat="1" x14ac:dyDescent="0.2">
      <c r="A206"/>
      <c r="B206"/>
      <c r="C206"/>
      <c r="D206"/>
      <c r="E206" s="138" t="s">
        <v>1474</v>
      </c>
      <c r="F206" s="139"/>
      <c r="G206" s="157">
        <f>cgas!$J$5</f>
        <v>2.14</v>
      </c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</row>
    <row r="207" spans="1:26" s="4" customFormat="1" x14ac:dyDescent="0.2">
      <c r="A207"/>
      <c r="B207"/>
      <c r="C207"/>
      <c r="D207"/>
      <c r="E207"/>
      <c r="F207"/>
      <c r="G207" s="154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</row>
    <row r="208" spans="1:26" s="4" customFormat="1" x14ac:dyDescent="0.2">
      <c r="A208" t="s">
        <v>1475</v>
      </c>
      <c r="B208"/>
      <c r="C208" t="s">
        <v>1417</v>
      </c>
      <c r="D208" t="s">
        <v>1438</v>
      </c>
      <c r="E208"/>
      <c r="F208"/>
      <c r="G208" s="154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</row>
    <row r="209" spans="1:26" s="4" customFormat="1" x14ac:dyDescent="0.2">
      <c r="A209" s="141">
        <f>SUM(cgas!I94)+SUM(gatherco!I91)</f>
        <v>0</v>
      </c>
      <c r="B209"/>
      <c r="C209">
        <f t="shared" ref="C209:D211" si="1">+A203</f>
        <v>0</v>
      </c>
      <c r="D209" s="206">
        <f t="shared" si="1"/>
        <v>3.0750000000000002</v>
      </c>
      <c r="E209" s="150">
        <f>C209*D209</f>
        <v>0</v>
      </c>
      <c r="F209"/>
      <c r="G209" s="154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</row>
    <row r="210" spans="1:26" s="4" customFormat="1" x14ac:dyDescent="0.2">
      <c r="A210" s="141"/>
      <c r="B210"/>
      <c r="C210">
        <f t="shared" si="1"/>
        <v>0</v>
      </c>
      <c r="D210" s="206">
        <f t="shared" si="1"/>
        <v>6.07</v>
      </c>
      <c r="E210" s="150">
        <f>C210*D210</f>
        <v>0</v>
      </c>
      <c r="F210"/>
      <c r="G210" s="154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</row>
    <row r="211" spans="1:26" s="4" customFormat="1" x14ac:dyDescent="0.2">
      <c r="A211" s="141"/>
      <c r="B211"/>
      <c r="C211">
        <f t="shared" si="1"/>
        <v>0</v>
      </c>
      <c r="D211" s="206">
        <f t="shared" si="1"/>
        <v>6.1</v>
      </c>
      <c r="E211" s="150">
        <f>C211*D211</f>
        <v>0</v>
      </c>
      <c r="F211"/>
      <c r="G211" s="154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</row>
    <row r="212" spans="1:26" s="4" customFormat="1" ht="13.5" thickBot="1" x14ac:dyDescent="0.25">
      <c r="A212"/>
      <c r="B212"/>
      <c r="C212" s="14">
        <f>IF(A209&gt;C209,A209-C209-C210-C211,0)</f>
        <v>0</v>
      </c>
      <c r="D212" s="191">
        <f>G206</f>
        <v>2.14</v>
      </c>
      <c r="E212" s="150">
        <f>C212*D212</f>
        <v>0</v>
      </c>
      <c r="F212"/>
      <c r="G212" s="154" t="s">
        <v>1478</v>
      </c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</row>
    <row r="213" spans="1:26" s="4" customFormat="1" x14ac:dyDescent="0.2">
      <c r="A213"/>
      <c r="B213"/>
      <c r="C213">
        <f>SUM(C209:C212)</f>
        <v>0</v>
      </c>
      <c r="D213"/>
      <c r="E213" s="150">
        <f>SUM(E209:E212)</f>
        <v>0</v>
      </c>
      <c r="F213"/>
      <c r="G213" s="410" t="e">
        <f>ROUND(E213/C213,4)</f>
        <v>#DIV/0!</v>
      </c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</row>
    <row r="214" spans="1:26" ht="13.5" thickBot="1" x14ac:dyDescent="0.25">
      <c r="A214" s="14"/>
      <c r="B214" s="14"/>
      <c r="C214" s="14"/>
      <c r="D214" s="14"/>
      <c r="E214" s="14"/>
      <c r="F214" s="14"/>
      <c r="G214" s="155"/>
      <c r="H214" s="14"/>
      <c r="I214" s="14"/>
    </row>
    <row r="215" spans="1:26" x14ac:dyDescent="0.2">
      <c r="A215" s="4"/>
      <c r="B215" s="4"/>
      <c r="C215" s="4"/>
      <c r="D215" s="4"/>
      <c r="E215" s="4"/>
      <c r="F215" s="4"/>
      <c r="G215" s="156"/>
      <c r="H215" s="4"/>
      <c r="I215" s="4"/>
    </row>
    <row r="216" spans="1:26" x14ac:dyDescent="0.2">
      <c r="A216" s="4"/>
      <c r="B216" s="4"/>
      <c r="C216" s="4"/>
      <c r="D216" s="4"/>
      <c r="E216" s="4"/>
      <c r="F216" s="4"/>
      <c r="G216" s="156"/>
      <c r="H216" s="4"/>
      <c r="I216" s="4"/>
    </row>
    <row r="217" spans="1:26" x14ac:dyDescent="0.2">
      <c r="A217" s="147"/>
      <c r="B217" s="147"/>
      <c r="C217" s="147"/>
      <c r="D217" s="147"/>
      <c r="E217" s="4"/>
      <c r="F217" s="4"/>
      <c r="G217" s="156"/>
      <c r="H217" s="4"/>
      <c r="I217" s="4"/>
    </row>
    <row r="218" spans="1:26" x14ac:dyDescent="0.2">
      <c r="A218" s="137" t="s">
        <v>2261</v>
      </c>
      <c r="B218" s="145"/>
      <c r="C218" s="145"/>
      <c r="D218" s="145"/>
      <c r="E218" s="146"/>
      <c r="F218" s="145"/>
      <c r="G218" s="643" t="s">
        <v>86</v>
      </c>
    </row>
    <row r="219" spans="1:26" x14ac:dyDescent="0.2">
      <c r="A219" s="145">
        <v>600</v>
      </c>
      <c r="B219" s="403">
        <v>3.8</v>
      </c>
      <c r="C219" s="146" t="s">
        <v>1836</v>
      </c>
      <c r="D219" s="145"/>
      <c r="E219" s="553"/>
      <c r="H219" s="145">
        <v>2.98</v>
      </c>
      <c r="I219" s="146" t="s">
        <v>1060</v>
      </c>
      <c r="J219" s="145"/>
    </row>
    <row r="220" spans="1:26" x14ac:dyDescent="0.2">
      <c r="A220" s="143"/>
      <c r="E220" s="138" t="s">
        <v>1012</v>
      </c>
      <c r="F220" s="139"/>
      <c r="G220" s="157">
        <f>cgas!$J$5*0.95</f>
        <v>2.0329999999999999</v>
      </c>
    </row>
    <row r="222" spans="1:26" x14ac:dyDescent="0.2">
      <c r="A222" t="s">
        <v>1475</v>
      </c>
      <c r="C222" t="s">
        <v>1417</v>
      </c>
      <c r="D222" t="s">
        <v>1438</v>
      </c>
    </row>
    <row r="223" spans="1:26" x14ac:dyDescent="0.2">
      <c r="A223" s="258">
        <f>SUM(cgas!I97)</f>
        <v>0</v>
      </c>
      <c r="C223" s="140">
        <v>0</v>
      </c>
      <c r="D223" s="208">
        <f>+B219</f>
        <v>3.8</v>
      </c>
      <c r="E223">
        <f>C223*D223</f>
        <v>0</v>
      </c>
    </row>
    <row r="224" spans="1:26" ht="13.5" thickBot="1" x14ac:dyDescent="0.25">
      <c r="C224" s="14">
        <f>IF(A223&gt;C223,A223-C223,0)</f>
        <v>0</v>
      </c>
      <c r="D224" s="203">
        <f>G220</f>
        <v>2.0329999999999999</v>
      </c>
      <c r="E224" s="14">
        <f>C224*D224</f>
        <v>0</v>
      </c>
      <c r="G224" s="154" t="s">
        <v>1478</v>
      </c>
    </row>
    <row r="225" spans="1:9" x14ac:dyDescent="0.2">
      <c r="C225">
        <f>SUM(C223:C224)</f>
        <v>0</v>
      </c>
      <c r="E225">
        <f>SUM(E223:E224)</f>
        <v>0</v>
      </c>
      <c r="G225" s="410" t="e">
        <f>ROUND(E225/C225,4)</f>
        <v>#DIV/0!</v>
      </c>
    </row>
    <row r="226" spans="1:9" ht="13.5" thickBot="1" x14ac:dyDescent="0.25">
      <c r="A226" s="14"/>
      <c r="B226" s="14"/>
      <c r="C226" s="14"/>
      <c r="D226" s="14"/>
      <c r="E226" s="14"/>
      <c r="F226" s="14"/>
      <c r="G226" s="155"/>
      <c r="H226" s="14"/>
      <c r="I226" s="14"/>
    </row>
    <row r="227" spans="1:9" x14ac:dyDescent="0.2">
      <c r="A227" s="4"/>
      <c r="B227" s="4"/>
      <c r="C227" s="4"/>
      <c r="D227" s="4"/>
      <c r="E227" s="4"/>
      <c r="F227" s="4"/>
      <c r="G227" s="156"/>
      <c r="H227" s="4"/>
      <c r="I227" s="4"/>
    </row>
    <row r="228" spans="1:9" x14ac:dyDescent="0.2">
      <c r="A228" s="147"/>
      <c r="B228" s="147"/>
      <c r="C228" s="147"/>
      <c r="D228" s="147"/>
      <c r="E228" s="4"/>
      <c r="F228" s="4"/>
      <c r="G228" s="156"/>
      <c r="H228" s="4"/>
      <c r="I228" s="4"/>
    </row>
    <row r="229" spans="1:9" x14ac:dyDescent="0.2">
      <c r="A229" s="137" t="s">
        <v>9</v>
      </c>
      <c r="B229" s="145"/>
      <c r="C229" s="145"/>
      <c r="D229" s="145"/>
      <c r="E229" t="s">
        <v>1675</v>
      </c>
    </row>
    <row r="230" spans="1:9" x14ac:dyDescent="0.2">
      <c r="A230" s="145">
        <v>26000</v>
      </c>
      <c r="B230" s="145">
        <v>2.77</v>
      </c>
      <c r="C230" s="146" t="s">
        <v>1523</v>
      </c>
      <c r="D230" s="145"/>
      <c r="E230" s="452" t="s">
        <v>1041</v>
      </c>
    </row>
    <row r="231" spans="1:9" x14ac:dyDescent="0.2">
      <c r="A231" s="143"/>
      <c r="E231" s="138" t="s">
        <v>1474</v>
      </c>
      <c r="F231" s="139"/>
      <c r="G231" s="157">
        <f>cgas!$J$5</f>
        <v>2.14</v>
      </c>
    </row>
    <row r="233" spans="1:9" x14ac:dyDescent="0.2">
      <c r="A233" t="s">
        <v>1475</v>
      </c>
      <c r="C233" t="s">
        <v>1417</v>
      </c>
      <c r="D233" t="s">
        <v>1438</v>
      </c>
    </row>
    <row r="234" spans="1:9" x14ac:dyDescent="0.2">
      <c r="A234" s="141">
        <f>SUM(cgas!I98:I100)+SUM('EQTR-Other'!J21)</f>
        <v>0</v>
      </c>
      <c r="C234" s="140">
        <v>26000</v>
      </c>
      <c r="D234" s="148">
        <f>+B230</f>
        <v>2.77</v>
      </c>
      <c r="E234">
        <f>C234*D234</f>
        <v>72020</v>
      </c>
    </row>
    <row r="235" spans="1:9" ht="13.5" thickBot="1" x14ac:dyDescent="0.25">
      <c r="C235" s="14">
        <f>IF(A234&gt;C234,A234-C234,0)</f>
        <v>0</v>
      </c>
      <c r="D235" s="140">
        <f>G231</f>
        <v>2.14</v>
      </c>
      <c r="E235" s="14">
        <f>C235*D235</f>
        <v>0</v>
      </c>
      <c r="G235" s="154" t="s">
        <v>1478</v>
      </c>
    </row>
    <row r="236" spans="1:9" x14ac:dyDescent="0.2">
      <c r="C236">
        <f>SUM(C234:C235)</f>
        <v>26000</v>
      </c>
      <c r="E236">
        <f>SUM(E234:E235)</f>
        <v>72020</v>
      </c>
      <c r="G236" s="410">
        <f>ROUND(E236/C236,4)</f>
        <v>2.77</v>
      </c>
    </row>
    <row r="237" spans="1:9" ht="13.5" thickBot="1" x14ac:dyDescent="0.25">
      <c r="A237" s="14"/>
      <c r="B237" s="14"/>
      <c r="C237" s="14"/>
      <c r="D237" s="14"/>
      <c r="E237" s="14"/>
      <c r="F237" s="14"/>
      <c r="G237" s="155"/>
      <c r="H237" s="14"/>
      <c r="I237" s="14"/>
    </row>
    <row r="238" spans="1:9" x14ac:dyDescent="0.2">
      <c r="A238" s="4"/>
      <c r="B238" s="4"/>
      <c r="C238" s="4"/>
      <c r="D238" s="4"/>
      <c r="E238" s="4"/>
      <c r="F238" s="4"/>
      <c r="G238" s="156"/>
      <c r="H238" s="4"/>
      <c r="I238" s="4"/>
    </row>
    <row r="239" spans="1:9" x14ac:dyDescent="0.2">
      <c r="A239" s="147"/>
      <c r="B239" s="147"/>
      <c r="C239" s="147"/>
      <c r="D239" s="147"/>
      <c r="E239" s="4"/>
      <c r="F239" s="4"/>
      <c r="G239" s="156"/>
      <c r="H239" s="4"/>
      <c r="I239" s="4"/>
    </row>
    <row r="240" spans="1:9" x14ac:dyDescent="0.2">
      <c r="A240" s="137" t="s">
        <v>949</v>
      </c>
      <c r="B240" s="145"/>
      <c r="C240" s="145"/>
      <c r="D240" s="145"/>
    </row>
    <row r="241" spans="1:9" x14ac:dyDescent="0.2">
      <c r="A241" s="145">
        <v>0</v>
      </c>
      <c r="B241" s="145">
        <v>5.58</v>
      </c>
      <c r="C241" s="146" t="s">
        <v>1505</v>
      </c>
      <c r="D241" s="145"/>
      <c r="E241" s="554" t="s">
        <v>1506</v>
      </c>
    </row>
    <row r="242" spans="1:9" x14ac:dyDescent="0.2">
      <c r="A242" s="143"/>
      <c r="E242" s="138" t="s">
        <v>1474</v>
      </c>
      <c r="F242" s="139"/>
      <c r="G242" s="157">
        <f>cgas!$J$5</f>
        <v>2.14</v>
      </c>
    </row>
    <row r="244" spans="1:9" x14ac:dyDescent="0.2">
      <c r="A244" t="s">
        <v>1475</v>
      </c>
      <c r="C244" t="s">
        <v>1417</v>
      </c>
      <c r="D244" t="s">
        <v>1438</v>
      </c>
    </row>
    <row r="245" spans="1:9" x14ac:dyDescent="0.2">
      <c r="A245" s="141">
        <f>SUM(cgas!I101)</f>
        <v>0</v>
      </c>
      <c r="C245" s="140">
        <f>+A241</f>
        <v>0</v>
      </c>
      <c r="D245" s="148">
        <f>+B241</f>
        <v>5.58</v>
      </c>
      <c r="E245">
        <f>C245*D245</f>
        <v>0</v>
      </c>
    </row>
    <row r="246" spans="1:9" ht="13.5" thickBot="1" x14ac:dyDescent="0.25">
      <c r="C246" s="14">
        <f>IF(A245&gt;C245,A245-C245,0)</f>
        <v>0</v>
      </c>
      <c r="D246" s="140">
        <f>G242</f>
        <v>2.14</v>
      </c>
      <c r="E246" s="14">
        <f>C246*D246</f>
        <v>0</v>
      </c>
      <c r="G246" s="154" t="s">
        <v>1478</v>
      </c>
    </row>
    <row r="247" spans="1:9" x14ac:dyDescent="0.2">
      <c r="C247">
        <f>SUM(C245:C246)</f>
        <v>0</v>
      </c>
      <c r="E247">
        <f>SUM(E245:E246)</f>
        <v>0</v>
      </c>
      <c r="G247" s="410" t="e">
        <f>ROUND(E247/C247,4)</f>
        <v>#DIV/0!</v>
      </c>
    </row>
    <row r="248" spans="1:9" ht="13.5" thickBot="1" x14ac:dyDescent="0.25">
      <c r="A248" s="14"/>
      <c r="B248" s="14"/>
      <c r="C248" s="14"/>
      <c r="D248" s="14"/>
      <c r="E248" s="14"/>
      <c r="F248" s="14"/>
      <c r="G248" s="155"/>
      <c r="H248" s="14"/>
      <c r="I248" s="14"/>
    </row>
    <row r="249" spans="1:9" x14ac:dyDescent="0.2">
      <c r="A249" s="4"/>
      <c r="B249" s="4"/>
      <c r="C249" s="4"/>
      <c r="D249" s="4"/>
      <c r="E249" s="4"/>
      <c r="F249" s="4"/>
      <c r="G249" s="156"/>
      <c r="H249" s="4"/>
      <c r="I249" s="4"/>
    </row>
    <row r="250" spans="1:9" x14ac:dyDescent="0.2">
      <c r="A250" s="4"/>
      <c r="B250" s="4"/>
      <c r="C250" s="4"/>
      <c r="D250" s="4"/>
      <c r="E250" s="4"/>
      <c r="F250" s="4"/>
      <c r="G250" s="156"/>
      <c r="H250" s="4"/>
      <c r="I250" s="4"/>
    </row>
    <row r="251" spans="1:9" x14ac:dyDescent="0.2">
      <c r="A251" s="147"/>
      <c r="B251" s="147"/>
      <c r="C251" s="147"/>
      <c r="D251" s="147"/>
      <c r="E251" s="4"/>
      <c r="F251" s="4"/>
      <c r="G251" s="156"/>
      <c r="H251" s="4"/>
      <c r="I251" s="4"/>
    </row>
    <row r="252" spans="1:9" x14ac:dyDescent="0.2">
      <c r="A252" s="137" t="s">
        <v>2284</v>
      </c>
      <c r="B252" s="145"/>
      <c r="C252" s="145"/>
      <c r="D252" s="145"/>
    </row>
    <row r="253" spans="1:9" x14ac:dyDescent="0.2">
      <c r="A253" s="145" t="s">
        <v>2316</v>
      </c>
      <c r="B253" s="145">
        <v>2.72</v>
      </c>
      <c r="C253" s="146" t="s">
        <v>1523</v>
      </c>
      <c r="D253" s="145"/>
      <c r="E253" s="452" t="s">
        <v>1041</v>
      </c>
    </row>
    <row r="254" spans="1:9" x14ac:dyDescent="0.2">
      <c r="A254" s="143"/>
      <c r="E254" s="138" t="s">
        <v>1474</v>
      </c>
      <c r="F254" s="139"/>
      <c r="G254" s="157">
        <f>cgas!$J$5</f>
        <v>2.14</v>
      </c>
    </row>
    <row r="256" spans="1:9" x14ac:dyDescent="0.2">
      <c r="A256" t="s">
        <v>1475</v>
      </c>
      <c r="C256" t="s">
        <v>1417</v>
      </c>
      <c r="D256" t="s">
        <v>1438</v>
      </c>
    </row>
    <row r="257" spans="1:9" x14ac:dyDescent="0.2">
      <c r="A257" s="258">
        <f>SUM(cgas!I108)</f>
        <v>0</v>
      </c>
      <c r="C257" s="140">
        <v>0</v>
      </c>
      <c r="D257" s="148">
        <f>+B253</f>
        <v>2.72</v>
      </c>
      <c r="E257">
        <f>C257*D257</f>
        <v>0</v>
      </c>
    </row>
    <row r="258" spans="1:9" ht="13.5" thickBot="1" x14ac:dyDescent="0.25">
      <c r="C258" s="14">
        <f>IF(A257&gt;C257,A257-C257,0)</f>
        <v>0</v>
      </c>
      <c r="D258" s="140">
        <f>G254</f>
        <v>2.14</v>
      </c>
      <c r="E258" s="14">
        <f>C258*D258</f>
        <v>0</v>
      </c>
      <c r="G258" s="154" t="s">
        <v>1478</v>
      </c>
    </row>
    <row r="259" spans="1:9" x14ac:dyDescent="0.2">
      <c r="C259">
        <f>SUM(C257:C258)</f>
        <v>0</v>
      </c>
      <c r="E259">
        <f>SUM(E257:E258)</f>
        <v>0</v>
      </c>
      <c r="G259" s="410" t="e">
        <f>ROUND(E259/C259,4)</f>
        <v>#DIV/0!</v>
      </c>
    </row>
    <row r="260" spans="1:9" ht="13.5" thickBot="1" x14ac:dyDescent="0.25">
      <c r="A260" s="14"/>
      <c r="B260" s="14"/>
      <c r="C260" s="14"/>
      <c r="D260" s="14"/>
      <c r="E260" s="14"/>
      <c r="F260" s="14"/>
      <c r="G260" s="155"/>
      <c r="H260" s="14"/>
      <c r="I260" s="14"/>
    </row>
    <row r="261" spans="1:9" x14ac:dyDescent="0.2">
      <c r="A261" s="4"/>
      <c r="B261" s="4"/>
      <c r="C261" s="4"/>
      <c r="D261" s="4"/>
      <c r="E261" s="4"/>
      <c r="F261" s="4"/>
      <c r="G261" s="156"/>
      <c r="H261" s="4"/>
      <c r="I261" s="4"/>
    </row>
    <row r="262" spans="1:9" x14ac:dyDescent="0.2">
      <c r="A262" s="4"/>
      <c r="B262" s="4"/>
      <c r="C262" s="4"/>
      <c r="D262" s="4"/>
      <c r="E262" s="4"/>
      <c r="F262" s="4"/>
      <c r="G262" s="156"/>
      <c r="H262" s="4"/>
      <c r="I262" s="4"/>
    </row>
    <row r="263" spans="1:9" x14ac:dyDescent="0.2">
      <c r="A263" s="147"/>
      <c r="B263" s="147"/>
      <c r="C263" s="147"/>
      <c r="D263" s="147"/>
      <c r="E263" s="4"/>
      <c r="F263" s="4"/>
      <c r="G263" s="156"/>
      <c r="H263" s="4"/>
      <c r="I263" s="4"/>
    </row>
    <row r="264" spans="1:9" x14ac:dyDescent="0.2">
      <c r="A264" s="137" t="s">
        <v>1460</v>
      </c>
      <c r="B264" s="145"/>
      <c r="C264" s="145"/>
      <c r="D264" s="145"/>
      <c r="E264" s="452" t="s">
        <v>1041</v>
      </c>
    </row>
    <row r="265" spans="1:9" x14ac:dyDescent="0.2">
      <c r="A265" s="145">
        <v>10000</v>
      </c>
      <c r="B265" s="145">
        <v>4.34</v>
      </c>
      <c r="C265" s="146" t="s">
        <v>1033</v>
      </c>
      <c r="D265" s="145"/>
      <c r="E265" s="553"/>
    </row>
    <row r="266" spans="1:9" x14ac:dyDescent="0.2">
      <c r="A266" s="143"/>
      <c r="E266" s="138" t="s">
        <v>1474</v>
      </c>
      <c r="F266" s="139"/>
      <c r="G266" s="157">
        <f>cgas!$J$5</f>
        <v>2.14</v>
      </c>
    </row>
    <row r="268" spans="1:9" x14ac:dyDescent="0.2">
      <c r="A268" t="s">
        <v>1475</v>
      </c>
      <c r="C268" t="s">
        <v>1417</v>
      </c>
      <c r="D268" t="s">
        <v>1438</v>
      </c>
    </row>
    <row r="269" spans="1:9" x14ac:dyDescent="0.2">
      <c r="A269" s="283">
        <f>SUM(cnr!J100:J109)+SUM(cgas!I113:I114)</f>
        <v>0</v>
      </c>
      <c r="C269" s="140">
        <v>0</v>
      </c>
      <c r="D269" s="148">
        <f>+B265</f>
        <v>4.34</v>
      </c>
      <c r="E269" s="173">
        <f>C269*D269</f>
        <v>0</v>
      </c>
    </row>
    <row r="270" spans="1:9" ht="13.5" thickBot="1" x14ac:dyDescent="0.25">
      <c r="C270" s="14">
        <f>IF(A269&gt;C269,A269-C269,0)</f>
        <v>0</v>
      </c>
      <c r="D270" s="140">
        <f>G266</f>
        <v>2.14</v>
      </c>
      <c r="E270" s="174">
        <f>C270*D270</f>
        <v>0</v>
      </c>
      <c r="G270" s="154" t="s">
        <v>1478</v>
      </c>
    </row>
    <row r="271" spans="1:9" x14ac:dyDescent="0.2">
      <c r="C271">
        <f>SUM(C269:C270)</f>
        <v>0</v>
      </c>
      <c r="E271" s="173">
        <f>SUM(E269:E270)</f>
        <v>0</v>
      </c>
      <c r="G271" s="410" t="e">
        <f>ROUND(E271/C271,4)</f>
        <v>#DIV/0!</v>
      </c>
    </row>
    <row r="272" spans="1:9" ht="13.5" thickBot="1" x14ac:dyDescent="0.25">
      <c r="A272" s="14"/>
      <c r="B272" s="14"/>
      <c r="C272" s="14"/>
      <c r="D272" s="14"/>
      <c r="E272" s="14"/>
      <c r="F272" s="14"/>
      <c r="G272" s="155"/>
      <c r="H272" s="14"/>
      <c r="I272" s="14"/>
    </row>
    <row r="273" spans="1:9" x14ac:dyDescent="0.2">
      <c r="A273" s="4"/>
      <c r="B273" s="4"/>
      <c r="C273" s="4"/>
      <c r="D273" s="4"/>
      <c r="E273" s="4"/>
      <c r="F273" s="4"/>
      <c r="G273" s="156"/>
      <c r="H273" s="4"/>
      <c r="I273" s="4"/>
    </row>
    <row r="274" spans="1:9" x14ac:dyDescent="0.2">
      <c r="A274" s="4"/>
      <c r="B274" s="4"/>
      <c r="C274" s="4"/>
      <c r="D274" s="4"/>
      <c r="E274" s="4"/>
      <c r="F274" s="4"/>
      <c r="G274" s="156"/>
      <c r="H274" s="4"/>
      <c r="I274" s="4"/>
    </row>
    <row r="275" spans="1:9" x14ac:dyDescent="0.2">
      <c r="A275" s="147"/>
      <c r="B275" s="147"/>
      <c r="C275" s="147"/>
      <c r="D275" s="147"/>
      <c r="E275" s="4"/>
      <c r="F275" s="4"/>
      <c r="G275" s="156"/>
      <c r="H275" s="4"/>
      <c r="I275" s="4"/>
    </row>
    <row r="276" spans="1:9" x14ac:dyDescent="0.2">
      <c r="A276" s="137" t="s">
        <v>2317</v>
      </c>
      <c r="B276" s="145"/>
      <c r="C276" s="145"/>
      <c r="D276" s="145"/>
      <c r="E276" s="452" t="s">
        <v>1041</v>
      </c>
    </row>
    <row r="277" spans="1:9" x14ac:dyDescent="0.2">
      <c r="A277" s="149">
        <v>20000</v>
      </c>
      <c r="B277" s="727">
        <v>9.85</v>
      </c>
      <c r="C277" s="728">
        <v>36892</v>
      </c>
      <c r="D277" s="149"/>
      <c r="E277" s="554" t="s">
        <v>990</v>
      </c>
      <c r="F277" s="554"/>
    </row>
    <row r="278" spans="1:9" x14ac:dyDescent="0.2">
      <c r="A278" s="149"/>
      <c r="B278" s="149"/>
      <c r="C278" s="74"/>
      <c r="D278" s="149"/>
      <c r="E278" s="138" t="s">
        <v>1474</v>
      </c>
      <c r="F278" s="139"/>
      <c r="G278" s="157">
        <f>cgas!$J$5</f>
        <v>2.14</v>
      </c>
    </row>
    <row r="280" spans="1:9" x14ac:dyDescent="0.2">
      <c r="A280" t="s">
        <v>1475</v>
      </c>
      <c r="C280" t="s">
        <v>1417</v>
      </c>
      <c r="D280" t="s">
        <v>1438</v>
      </c>
    </row>
    <row r="281" spans="1:9" x14ac:dyDescent="0.2">
      <c r="A281" s="141">
        <f>SUM(cgas!I116:I118)</f>
        <v>0</v>
      </c>
      <c r="C281" s="140">
        <v>0</v>
      </c>
      <c r="D281" s="206">
        <f>+B277</f>
        <v>9.85</v>
      </c>
      <c r="E281" s="150">
        <f>C281*D281</f>
        <v>0</v>
      </c>
    </row>
    <row r="282" spans="1:9" x14ac:dyDescent="0.2">
      <c r="A282" s="141"/>
      <c r="C282" s="140">
        <v>0</v>
      </c>
      <c r="D282" s="206">
        <f>+B278</f>
        <v>0</v>
      </c>
      <c r="E282" s="150">
        <f>C282*D282</f>
        <v>0</v>
      </c>
    </row>
    <row r="283" spans="1:9" ht="13.5" thickBot="1" x14ac:dyDescent="0.25">
      <c r="C283" s="262">
        <f>+A281-C281-C282</f>
        <v>0</v>
      </c>
      <c r="D283" s="191">
        <f>G278</f>
        <v>2.14</v>
      </c>
      <c r="E283" s="151">
        <f>C283*D283</f>
        <v>0</v>
      </c>
      <c r="G283" s="154" t="s">
        <v>1478</v>
      </c>
    </row>
    <row r="284" spans="1:9" x14ac:dyDescent="0.2">
      <c r="C284">
        <f>SUM(C281:C283)</f>
        <v>0</v>
      </c>
      <c r="E284" s="150">
        <f>SUM(E281:E283)</f>
        <v>0</v>
      </c>
      <c r="G284" s="410" t="e">
        <f>ROUND(E284/C284,4)</f>
        <v>#DIV/0!</v>
      </c>
    </row>
    <row r="285" spans="1:9" ht="13.5" thickBot="1" x14ac:dyDescent="0.25">
      <c r="A285" s="14"/>
      <c r="B285" s="14"/>
      <c r="C285" s="14"/>
      <c r="D285" s="14"/>
      <c r="E285" s="14"/>
      <c r="F285" s="14"/>
      <c r="G285" s="155"/>
      <c r="H285" s="14"/>
      <c r="I285" s="14"/>
    </row>
    <row r="287" spans="1:9" x14ac:dyDescent="0.2">
      <c r="A287" s="147"/>
      <c r="B287" s="147"/>
      <c r="C287" s="147"/>
      <c r="D287" s="147"/>
      <c r="E287" s="4"/>
      <c r="F287" s="4"/>
      <c r="G287" s="156"/>
      <c r="H287" s="4"/>
      <c r="I287" s="4"/>
    </row>
    <row r="288" spans="1:9" x14ac:dyDescent="0.2">
      <c r="A288" s="137" t="s">
        <v>6</v>
      </c>
      <c r="B288" s="145"/>
      <c r="C288" s="145"/>
      <c r="D288" s="145"/>
      <c r="E288" s="452" t="s">
        <v>1041</v>
      </c>
    </row>
    <row r="289" spans="1:9" x14ac:dyDescent="0.2">
      <c r="A289" s="145">
        <v>0</v>
      </c>
      <c r="B289" s="145">
        <v>4.62</v>
      </c>
      <c r="C289" s="146" t="s">
        <v>1522</v>
      </c>
      <c r="D289" s="145"/>
      <c r="E289" s="553" t="s">
        <v>450</v>
      </c>
    </row>
    <row r="290" spans="1:9" x14ac:dyDescent="0.2">
      <c r="A290" s="145">
        <v>0</v>
      </c>
      <c r="B290" s="403">
        <v>4.8</v>
      </c>
      <c r="C290" s="146" t="s">
        <v>1522</v>
      </c>
      <c r="D290" s="145"/>
      <c r="E290" s="553" t="s">
        <v>449</v>
      </c>
    </row>
    <row r="291" spans="1:9" x14ac:dyDescent="0.2">
      <c r="A291" s="143"/>
      <c r="E291" s="138" t="s">
        <v>1474</v>
      </c>
      <c r="F291" s="139"/>
      <c r="G291" s="157">
        <f>cgas!$J$5</f>
        <v>2.14</v>
      </c>
    </row>
    <row r="293" spans="1:9" x14ac:dyDescent="0.2">
      <c r="A293" t="s">
        <v>1475</v>
      </c>
      <c r="C293" t="s">
        <v>1417</v>
      </c>
      <c r="D293" t="s">
        <v>1438</v>
      </c>
    </row>
    <row r="294" spans="1:9" x14ac:dyDescent="0.2">
      <c r="A294" s="141">
        <f>SUM(cnr!J116:J124)+SUM(cgas!I119:I120)</f>
        <v>0</v>
      </c>
      <c r="C294" s="140">
        <f>+A289</f>
        <v>0</v>
      </c>
      <c r="D294" s="206">
        <f>+B289</f>
        <v>4.62</v>
      </c>
      <c r="E294" s="150">
        <f>C294*D294</f>
        <v>0</v>
      </c>
    </row>
    <row r="295" spans="1:9" x14ac:dyDescent="0.2">
      <c r="A295" s="141"/>
      <c r="C295" s="140">
        <f>+A290</f>
        <v>0</v>
      </c>
      <c r="D295" s="206">
        <f>+B290</f>
        <v>4.8</v>
      </c>
      <c r="E295" s="150">
        <f>C295*D295</f>
        <v>0</v>
      </c>
    </row>
    <row r="296" spans="1:9" ht="13.5" thickBot="1" x14ac:dyDescent="0.25">
      <c r="C296" s="262">
        <f>+A294-C294-C295</f>
        <v>0</v>
      </c>
      <c r="D296" s="191">
        <f>G291</f>
        <v>2.14</v>
      </c>
      <c r="E296" s="151">
        <f>C296*D296</f>
        <v>0</v>
      </c>
      <c r="G296" s="154" t="s">
        <v>1478</v>
      </c>
    </row>
    <row r="297" spans="1:9" x14ac:dyDescent="0.2">
      <c r="C297">
        <f>SUM(C294:C296)</f>
        <v>0</v>
      </c>
      <c r="E297" s="150">
        <f>SUM(E294:E296)</f>
        <v>0</v>
      </c>
      <c r="G297" s="410" t="e">
        <f>ROUND(E297/C297,4)</f>
        <v>#DIV/0!</v>
      </c>
    </row>
    <row r="298" spans="1:9" ht="13.5" thickBot="1" x14ac:dyDescent="0.25">
      <c r="A298" s="14"/>
      <c r="B298" s="14"/>
      <c r="C298" s="14"/>
      <c r="D298" s="14"/>
      <c r="E298" s="14"/>
      <c r="F298" s="14"/>
      <c r="G298" s="155"/>
      <c r="H298" s="14"/>
      <c r="I298" s="14"/>
    </row>
    <row r="299" spans="1:9" x14ac:dyDescent="0.2">
      <c r="A299" s="147"/>
      <c r="B299" s="147"/>
      <c r="C299" s="147"/>
      <c r="D299" s="147"/>
      <c r="E299" s="4"/>
      <c r="F299" s="4"/>
      <c r="G299" s="156"/>
      <c r="H299" s="4"/>
      <c r="I299" s="4"/>
    </row>
    <row r="300" spans="1:9" x14ac:dyDescent="0.2">
      <c r="A300" s="145" t="s">
        <v>1035</v>
      </c>
      <c r="B300" s="145"/>
      <c r="C300" s="145"/>
      <c r="D300" s="145"/>
    </row>
    <row r="301" spans="1:9" x14ac:dyDescent="0.2">
      <c r="A301" s="650" t="s">
        <v>1036</v>
      </c>
      <c r="B301" s="650">
        <v>2.83</v>
      </c>
      <c r="C301" s="649" t="s">
        <v>1508</v>
      </c>
      <c r="D301" s="650"/>
      <c r="E301" s="452" t="s">
        <v>1041</v>
      </c>
    </row>
    <row r="302" spans="1:9" x14ac:dyDescent="0.2">
      <c r="A302" s="145"/>
      <c r="B302" s="145"/>
      <c r="C302" s="145"/>
      <c r="D302" s="145"/>
    </row>
    <row r="303" spans="1:9" x14ac:dyDescent="0.2">
      <c r="A303" s="143" t="s">
        <v>497</v>
      </c>
      <c r="E303" s="138" t="s">
        <v>278</v>
      </c>
      <c r="F303" s="139"/>
      <c r="G303" s="157">
        <f>cgas!$J$5</f>
        <v>2.14</v>
      </c>
    </row>
    <row r="305" spans="1:9" x14ac:dyDescent="0.2">
      <c r="A305" t="s">
        <v>1475</v>
      </c>
      <c r="C305" t="s">
        <v>1417</v>
      </c>
      <c r="D305" t="s">
        <v>1438</v>
      </c>
    </row>
    <row r="306" spans="1:9" x14ac:dyDescent="0.2">
      <c r="A306" s="141">
        <f>SUM(gatherco!I125)</f>
        <v>0</v>
      </c>
      <c r="C306" s="140">
        <v>0</v>
      </c>
      <c r="D306" s="148">
        <v>2.83</v>
      </c>
      <c r="E306">
        <f>C306*D306</f>
        <v>0</v>
      </c>
    </row>
    <row r="307" spans="1:9" ht="13.5" thickBot="1" x14ac:dyDescent="0.25">
      <c r="C307" s="14">
        <f>IF(A306&gt;C306,A306-C306,0)</f>
        <v>0</v>
      </c>
      <c r="D307" s="140">
        <f>G303</f>
        <v>2.14</v>
      </c>
      <c r="E307" s="14">
        <f>C307*D307</f>
        <v>0</v>
      </c>
      <c r="G307" s="154" t="s">
        <v>1478</v>
      </c>
    </row>
    <row r="308" spans="1:9" x14ac:dyDescent="0.2">
      <c r="C308">
        <f>SUM(C306:C307)</f>
        <v>0</v>
      </c>
      <c r="E308">
        <f>SUM(E306:E307)</f>
        <v>0</v>
      </c>
      <c r="G308" s="410" t="e">
        <f>ROUND(E308/C308,4)</f>
        <v>#DIV/0!</v>
      </c>
    </row>
    <row r="309" spans="1:9" ht="13.5" thickBot="1" x14ac:dyDescent="0.25">
      <c r="A309" s="14"/>
      <c r="B309" s="14"/>
      <c r="C309" s="14"/>
      <c r="D309" s="14"/>
      <c r="E309" s="14"/>
      <c r="F309" s="14"/>
      <c r="G309" s="155"/>
      <c r="H309" s="14"/>
      <c r="I309" s="14"/>
    </row>
    <row r="310" spans="1:9" x14ac:dyDescent="0.2">
      <c r="A310" s="147"/>
      <c r="B310" s="147"/>
      <c r="C310" s="147"/>
      <c r="D310" s="147"/>
      <c r="E310" s="4"/>
      <c r="F310" s="4"/>
      <c r="G310" s="156"/>
      <c r="H310" s="4"/>
      <c r="I310" s="4"/>
    </row>
    <row r="311" spans="1:9" x14ac:dyDescent="0.2">
      <c r="A311" s="146" t="s">
        <v>84</v>
      </c>
      <c r="B311" s="145"/>
      <c r="C311" s="145"/>
      <c r="D311" s="145"/>
    </row>
    <row r="312" spans="1:9" x14ac:dyDescent="0.2">
      <c r="A312" s="145">
        <v>3000</v>
      </c>
      <c r="B312" s="145">
        <v>3.84</v>
      </c>
      <c r="C312" s="146" t="s">
        <v>1033</v>
      </c>
      <c r="D312" s="145"/>
      <c r="E312" s="452" t="s">
        <v>1041</v>
      </c>
    </row>
    <row r="313" spans="1:9" x14ac:dyDescent="0.2">
      <c r="A313" s="145"/>
      <c r="B313" s="145"/>
      <c r="C313" s="145"/>
      <c r="D313" s="145"/>
    </row>
    <row r="314" spans="1:9" x14ac:dyDescent="0.2">
      <c r="A314" s="143"/>
      <c r="E314" s="138" t="s">
        <v>85</v>
      </c>
      <c r="F314" s="139"/>
      <c r="G314" s="157">
        <f>cgas!$J$5-0.03</f>
        <v>2.1100000000000003</v>
      </c>
    </row>
    <row r="316" spans="1:9" x14ac:dyDescent="0.2">
      <c r="A316" t="s">
        <v>1475</v>
      </c>
      <c r="C316" t="s">
        <v>1417</v>
      </c>
      <c r="D316" t="s">
        <v>1438</v>
      </c>
    </row>
    <row r="317" spans="1:9" x14ac:dyDescent="0.2">
      <c r="A317" s="141">
        <f>SUM(gatherco!I126:I128)</f>
        <v>0</v>
      </c>
      <c r="C317" s="140">
        <v>0</v>
      </c>
      <c r="D317" s="148">
        <f>+B312</f>
        <v>3.84</v>
      </c>
      <c r="E317">
        <f>C317*D317</f>
        <v>0</v>
      </c>
    </row>
    <row r="318" spans="1:9" ht="13.5" thickBot="1" x14ac:dyDescent="0.25">
      <c r="C318" s="14">
        <f>IF(A317&gt;C317,A317-C317,0)</f>
        <v>0</v>
      </c>
      <c r="D318" s="140">
        <f>G314</f>
        <v>2.1100000000000003</v>
      </c>
      <c r="E318" s="14">
        <f>C318*D318</f>
        <v>0</v>
      </c>
      <c r="G318" s="154" t="s">
        <v>1478</v>
      </c>
    </row>
    <row r="319" spans="1:9" x14ac:dyDescent="0.2">
      <c r="C319">
        <f>SUM(C317:C318)</f>
        <v>0</v>
      </c>
      <c r="E319">
        <f>SUM(E317:E318)</f>
        <v>0</v>
      </c>
      <c r="G319" s="410" t="e">
        <f>ROUND(E319/C319,4)</f>
        <v>#DIV/0!</v>
      </c>
    </row>
    <row r="320" spans="1:9" ht="13.5" thickBot="1" x14ac:dyDescent="0.25">
      <c r="A320" s="14"/>
      <c r="B320" s="14"/>
      <c r="C320" s="14"/>
      <c r="D320" s="14"/>
      <c r="E320" s="14"/>
      <c r="F320" s="14"/>
      <c r="G320" s="155"/>
      <c r="H320" s="14"/>
      <c r="I320" s="14"/>
    </row>
    <row r="321" spans="1:9" x14ac:dyDescent="0.2">
      <c r="A321" s="4"/>
      <c r="B321" s="4"/>
      <c r="C321" s="4"/>
      <c r="D321" s="4"/>
      <c r="E321" s="4"/>
      <c r="F321" s="4"/>
      <c r="G321" s="156"/>
      <c r="H321" s="4"/>
      <c r="I321" s="4"/>
    </row>
    <row r="322" spans="1:9" x14ac:dyDescent="0.2">
      <c r="A322" s="147"/>
      <c r="B322" s="147"/>
      <c r="C322" s="147"/>
      <c r="D322" s="147"/>
      <c r="E322" s="4"/>
      <c r="F322" s="4"/>
      <c r="G322" s="156"/>
      <c r="H322" s="4"/>
      <c r="I322" s="4"/>
    </row>
    <row r="323" spans="1:9" x14ac:dyDescent="0.2">
      <c r="A323" s="145" t="s">
        <v>1037</v>
      </c>
      <c r="B323" s="145"/>
      <c r="C323" s="145"/>
      <c r="D323" s="145"/>
    </row>
    <row r="324" spans="1:9" x14ac:dyDescent="0.2">
      <c r="A324" s="145" t="s">
        <v>1038</v>
      </c>
      <c r="B324" s="145" t="s">
        <v>1039</v>
      </c>
      <c r="C324" s="146" t="s">
        <v>1040</v>
      </c>
      <c r="D324" s="145"/>
      <c r="E324" s="452" t="s">
        <v>1041</v>
      </c>
    </row>
    <row r="325" spans="1:9" x14ac:dyDescent="0.2">
      <c r="A325" s="145"/>
      <c r="B325" s="145" t="s">
        <v>1042</v>
      </c>
      <c r="C325" s="145"/>
      <c r="D325" s="145"/>
    </row>
    <row r="326" spans="1:9" x14ac:dyDescent="0.2">
      <c r="B326" s="402" t="s">
        <v>1043</v>
      </c>
    </row>
    <row r="327" spans="1:9" x14ac:dyDescent="0.2">
      <c r="A327">
        <v>1000</v>
      </c>
      <c r="B327" s="140">
        <v>30</v>
      </c>
      <c r="C327">
        <f>A327*B327</f>
        <v>30000</v>
      </c>
    </row>
    <row r="329" spans="1:9" x14ac:dyDescent="0.2">
      <c r="E329" s="138" t="s">
        <v>1474</v>
      </c>
      <c r="F329" s="139"/>
      <c r="G329" s="157">
        <f>cgas!$J$5</f>
        <v>2.14</v>
      </c>
    </row>
    <row r="331" spans="1:9" x14ac:dyDescent="0.2">
      <c r="A331" t="s">
        <v>1475</v>
      </c>
      <c r="C331" t="s">
        <v>1417</v>
      </c>
      <c r="D331" t="s">
        <v>1438</v>
      </c>
    </row>
    <row r="332" spans="1:9" x14ac:dyDescent="0.2">
      <c r="A332" s="141">
        <f>SUM(cgas!I132:I134)</f>
        <v>0</v>
      </c>
      <c r="C332" s="140">
        <f>C327</f>
        <v>30000</v>
      </c>
      <c r="D332" s="148">
        <v>2.4500000000000002</v>
      </c>
      <c r="E332">
        <f>C332*D332</f>
        <v>73500</v>
      </c>
    </row>
    <row r="333" spans="1:9" ht="13.5" thickBot="1" x14ac:dyDescent="0.25">
      <c r="C333" s="14">
        <f>IF(A332&gt;C332,A332-C332,0)</f>
        <v>0</v>
      </c>
      <c r="D333" s="140">
        <f>G329</f>
        <v>2.14</v>
      </c>
      <c r="E333" s="14">
        <f>C333*D333</f>
        <v>0</v>
      </c>
      <c r="G333" s="154" t="s">
        <v>1478</v>
      </c>
    </row>
    <row r="334" spans="1:9" x14ac:dyDescent="0.2">
      <c r="C334">
        <f>SUM(C332:C333)</f>
        <v>30000</v>
      </c>
      <c r="E334">
        <f>SUM(E332:E333)</f>
        <v>73500</v>
      </c>
      <c r="G334" s="410">
        <f>ROUND(E334/C334,4)</f>
        <v>2.4500000000000002</v>
      </c>
    </row>
    <row r="335" spans="1:9" ht="15" customHeight="1" thickBot="1" x14ac:dyDescent="0.25">
      <c r="A335" s="14"/>
      <c r="B335" s="14"/>
      <c r="C335" s="14"/>
      <c r="D335" s="14"/>
      <c r="E335" s="14"/>
      <c r="F335" s="14"/>
      <c r="G335" s="155"/>
      <c r="H335" s="14"/>
      <c r="I335" s="14"/>
    </row>
    <row r="336" spans="1:9" x14ac:dyDescent="0.2">
      <c r="A336" s="4"/>
      <c r="B336" s="4"/>
      <c r="C336" s="4"/>
      <c r="D336" s="4"/>
      <c r="E336" s="4"/>
      <c r="F336" s="4"/>
      <c r="G336" s="156"/>
      <c r="H336" s="4"/>
      <c r="I336" s="4"/>
    </row>
    <row r="338" spans="1:9" x14ac:dyDescent="0.2">
      <c r="A338" s="146" t="s">
        <v>1044</v>
      </c>
      <c r="B338" s="145"/>
    </row>
    <row r="339" spans="1:9" x14ac:dyDescent="0.2">
      <c r="A339" s="650" t="s">
        <v>1045</v>
      </c>
      <c r="B339" s="650"/>
      <c r="C339" s="650"/>
      <c r="D339" s="649" t="s">
        <v>1524</v>
      </c>
      <c r="E339" s="452" t="s">
        <v>1041</v>
      </c>
    </row>
    <row r="340" spans="1:9" x14ac:dyDescent="0.2">
      <c r="A340" t="s">
        <v>1459</v>
      </c>
    </row>
    <row r="343" spans="1:9" x14ac:dyDescent="0.2">
      <c r="E343" s="138" t="s">
        <v>288</v>
      </c>
      <c r="F343" s="139"/>
      <c r="G343" s="157">
        <f>cgas!$J$5*0.97</f>
        <v>2.0758000000000001</v>
      </c>
    </row>
    <row r="345" spans="1:9" x14ac:dyDescent="0.2">
      <c r="A345" t="s">
        <v>1475</v>
      </c>
      <c r="C345" t="s">
        <v>1417</v>
      </c>
      <c r="D345" t="s">
        <v>1438</v>
      </c>
    </row>
    <row r="346" spans="1:9" x14ac:dyDescent="0.2">
      <c r="A346" s="141">
        <f>SUM(cgas!I142:I144)</f>
        <v>0</v>
      </c>
      <c r="C346">
        <v>0</v>
      </c>
      <c r="D346">
        <v>3.07</v>
      </c>
      <c r="E346">
        <f>C346*D346</f>
        <v>0</v>
      </c>
    </row>
    <row r="347" spans="1:9" ht="13.5" thickBot="1" x14ac:dyDescent="0.25">
      <c r="C347" s="14">
        <f>IF(A346&gt;C346,A346-C346,0)</f>
        <v>0</v>
      </c>
      <c r="D347" s="140">
        <f>G343</f>
        <v>2.0758000000000001</v>
      </c>
      <c r="E347" s="14">
        <f>C347*D347</f>
        <v>0</v>
      </c>
      <c r="G347" s="154" t="s">
        <v>1478</v>
      </c>
    </row>
    <row r="348" spans="1:9" x14ac:dyDescent="0.2">
      <c r="C348">
        <f>SUM(C346:C347)</f>
        <v>0</v>
      </c>
      <c r="E348">
        <f>SUM(E346:E347)</f>
        <v>0</v>
      </c>
      <c r="G348" s="410" t="e">
        <f>ROUND(E348/C348,4)</f>
        <v>#DIV/0!</v>
      </c>
    </row>
    <row r="349" spans="1:9" ht="13.5" thickBot="1" x14ac:dyDescent="0.25">
      <c r="A349" s="14"/>
      <c r="B349" s="14"/>
      <c r="C349" s="14"/>
      <c r="D349" s="14"/>
      <c r="E349" s="14"/>
      <c r="F349" s="14"/>
      <c r="G349" s="155"/>
      <c r="H349" s="14"/>
      <c r="I349" s="14"/>
    </row>
    <row r="351" spans="1:9" x14ac:dyDescent="0.2">
      <c r="A351" s="147"/>
      <c r="B351" s="147"/>
      <c r="C351" s="147"/>
      <c r="D351" s="147"/>
      <c r="E351" s="4"/>
      <c r="F351" s="4"/>
      <c r="G351" s="156"/>
      <c r="H351" s="4"/>
      <c r="I351" s="4"/>
    </row>
    <row r="352" spans="1:9" x14ac:dyDescent="0.2">
      <c r="A352" s="137" t="s">
        <v>15</v>
      </c>
      <c r="B352" s="145"/>
      <c r="C352" s="145"/>
      <c r="D352" s="145"/>
    </row>
    <row r="353" spans="1:10" x14ac:dyDescent="0.2">
      <c r="A353" s="149">
        <v>0</v>
      </c>
      <c r="B353" s="200">
        <v>5.6</v>
      </c>
      <c r="C353" s="452" t="s">
        <v>253</v>
      </c>
      <c r="D353" s="463"/>
      <c r="E353" s="553" t="s">
        <v>381</v>
      </c>
      <c r="F353" s="452" t="s">
        <v>1041</v>
      </c>
    </row>
    <row r="354" spans="1:10" x14ac:dyDescent="0.2">
      <c r="A354" s="149">
        <v>0</v>
      </c>
      <c r="B354" s="149">
        <v>5.12</v>
      </c>
      <c r="C354" s="74" t="s">
        <v>1296</v>
      </c>
      <c r="D354" s="149"/>
      <c r="E354" s="553" t="s">
        <v>381</v>
      </c>
    </row>
    <row r="355" spans="1:10" x14ac:dyDescent="0.2">
      <c r="A355" s="143"/>
      <c r="E355" s="138" t="s">
        <v>1474</v>
      </c>
      <c r="F355" s="139"/>
      <c r="G355" s="157">
        <f>cgas!$J$5</f>
        <v>2.14</v>
      </c>
    </row>
    <row r="357" spans="1:10" x14ac:dyDescent="0.2">
      <c r="A357" t="s">
        <v>1475</v>
      </c>
      <c r="C357" t="s">
        <v>1417</v>
      </c>
      <c r="D357" t="s">
        <v>1438</v>
      </c>
    </row>
    <row r="358" spans="1:10" x14ac:dyDescent="0.2">
      <c r="A358" s="141">
        <f>SUM(gatherco!I158:I176)</f>
        <v>0</v>
      </c>
      <c r="C358" s="140">
        <f>+A353</f>
        <v>0</v>
      </c>
      <c r="D358" s="208">
        <f>+B353</f>
        <v>5.6</v>
      </c>
      <c r="E358" s="150">
        <f>C358*D358</f>
        <v>0</v>
      </c>
    </row>
    <row r="359" spans="1:10" x14ac:dyDescent="0.2">
      <c r="A359" s="141"/>
      <c r="C359" s="140">
        <f>+A354</f>
        <v>0</v>
      </c>
      <c r="D359" s="208">
        <f>+B354</f>
        <v>5.12</v>
      </c>
      <c r="E359" s="150">
        <f>C359*D359</f>
        <v>0</v>
      </c>
    </row>
    <row r="360" spans="1:10" ht="13.5" thickBot="1" x14ac:dyDescent="0.25">
      <c r="C360" s="262">
        <f>+A358-C358-C359</f>
        <v>0</v>
      </c>
      <c r="D360" s="203">
        <f>+G355</f>
        <v>2.14</v>
      </c>
      <c r="E360" s="151">
        <f>C360*D360</f>
        <v>0</v>
      </c>
      <c r="G360" s="154" t="s">
        <v>1478</v>
      </c>
    </row>
    <row r="361" spans="1:10" x14ac:dyDescent="0.2">
      <c r="C361">
        <f>SUM(C358:C360)</f>
        <v>0</v>
      </c>
      <c r="E361" s="150">
        <f>SUM(E358:E360)</f>
        <v>0</v>
      </c>
      <c r="G361" s="410" t="e">
        <f>ROUND(E361/C361,4)</f>
        <v>#DIV/0!</v>
      </c>
    </row>
    <row r="362" spans="1:10" ht="13.5" thickBot="1" x14ac:dyDescent="0.25">
      <c r="A362" s="14"/>
      <c r="B362" s="14"/>
      <c r="C362" s="14"/>
      <c r="D362" s="14"/>
      <c r="E362" s="14"/>
      <c r="F362" s="14"/>
      <c r="G362" s="155"/>
      <c r="H362" s="14"/>
      <c r="I362" s="14"/>
    </row>
    <row r="363" spans="1:10" ht="13.5" thickBot="1" x14ac:dyDescent="0.25">
      <c r="A363" s="14"/>
      <c r="B363" s="14"/>
      <c r="C363" s="14"/>
      <c r="D363" s="14"/>
      <c r="E363" s="14"/>
      <c r="F363" s="14"/>
      <c r="G363" s="155"/>
      <c r="H363" s="14"/>
      <c r="I363" s="14"/>
    </row>
    <row r="364" spans="1:10" x14ac:dyDescent="0.2">
      <c r="A364" s="4"/>
      <c r="B364" s="4"/>
      <c r="C364" s="4"/>
      <c r="D364" s="4"/>
      <c r="E364" s="4"/>
      <c r="F364" s="4"/>
      <c r="G364" s="156"/>
      <c r="H364" s="4"/>
      <c r="I364" s="4"/>
    </row>
    <row r="365" spans="1:10" x14ac:dyDescent="0.2">
      <c r="A365" s="187" t="s">
        <v>1765</v>
      </c>
      <c r="B365" s="145"/>
    </row>
    <row r="366" spans="1:10" x14ac:dyDescent="0.2">
      <c r="A366">
        <v>30000</v>
      </c>
      <c r="B366" s="727">
        <v>2.85</v>
      </c>
      <c r="C366" s="900">
        <v>37561</v>
      </c>
      <c r="D366" s="452"/>
      <c r="E366" s="899" t="s">
        <v>2127</v>
      </c>
      <c r="F366" s="145"/>
      <c r="G366" s="643"/>
      <c r="H366" s="146" t="s">
        <v>448</v>
      </c>
      <c r="I366" s="673"/>
      <c r="J366" s="98"/>
    </row>
    <row r="367" spans="1:10" x14ac:dyDescent="0.2">
      <c r="A367">
        <v>20000</v>
      </c>
      <c r="B367" s="727">
        <v>3.15</v>
      </c>
      <c r="C367" s="146"/>
      <c r="D367" s="146" t="s">
        <v>1660</v>
      </c>
      <c r="E367" s="145"/>
      <c r="F367" s="145"/>
      <c r="G367" s="643"/>
      <c r="H367" s="146" t="s">
        <v>448</v>
      </c>
      <c r="I367" s="673"/>
      <c r="J367" s="98"/>
    </row>
    <row r="368" spans="1:10" x14ac:dyDescent="0.2">
      <c r="A368">
        <v>30000</v>
      </c>
      <c r="B368" s="727">
        <v>2.87</v>
      </c>
      <c r="C368" s="146"/>
      <c r="D368" s="146"/>
      <c r="E368" s="145"/>
      <c r="F368" s="145"/>
      <c r="G368" s="643"/>
      <c r="H368" s="146" t="s">
        <v>448</v>
      </c>
      <c r="I368" s="403"/>
      <c r="J368" s="98"/>
    </row>
    <row r="369" spans="1:9" x14ac:dyDescent="0.2">
      <c r="A369" t="s">
        <v>1459</v>
      </c>
    </row>
    <row r="370" spans="1:9" x14ac:dyDescent="0.2">
      <c r="E370" s="138" t="s">
        <v>1474</v>
      </c>
      <c r="F370" s="139"/>
      <c r="G370" s="157">
        <f>cgas!$J$5</f>
        <v>2.14</v>
      </c>
    </row>
    <row r="372" spans="1:9" x14ac:dyDescent="0.2">
      <c r="A372" t="s">
        <v>1475</v>
      </c>
      <c r="C372" t="s">
        <v>1417</v>
      </c>
      <c r="D372" t="s">
        <v>1438</v>
      </c>
    </row>
    <row r="373" spans="1:9" x14ac:dyDescent="0.2">
      <c r="A373" s="141">
        <f>SUM(cnr!J169:J197)</f>
        <v>0</v>
      </c>
      <c r="C373">
        <f t="shared" ref="C373:D375" si="2">+A366</f>
        <v>30000</v>
      </c>
      <c r="D373" s="190">
        <f t="shared" si="2"/>
        <v>2.85</v>
      </c>
      <c r="E373" s="98">
        <f>C373*D373</f>
        <v>85500</v>
      </c>
    </row>
    <row r="374" spans="1:9" x14ac:dyDescent="0.2">
      <c r="A374" s="141"/>
      <c r="C374">
        <f t="shared" si="2"/>
        <v>20000</v>
      </c>
      <c r="D374" s="190">
        <f t="shared" si="2"/>
        <v>3.15</v>
      </c>
      <c r="E374" s="98">
        <f>C374*D374</f>
        <v>63000</v>
      </c>
    </row>
    <row r="375" spans="1:9" x14ac:dyDescent="0.2">
      <c r="A375" s="141"/>
      <c r="C375">
        <f t="shared" si="2"/>
        <v>30000</v>
      </c>
      <c r="D375" s="190">
        <f t="shared" si="2"/>
        <v>2.87</v>
      </c>
      <c r="E375" s="98">
        <f>C375*D375</f>
        <v>86100</v>
      </c>
    </row>
    <row r="376" spans="1:9" ht="13.5" thickBot="1" x14ac:dyDescent="0.25">
      <c r="C376" s="262">
        <f>+A373-C373-C374-C375</f>
        <v>-80000</v>
      </c>
      <c r="D376" s="191">
        <f>G370</f>
        <v>2.14</v>
      </c>
      <c r="E376" s="189">
        <f>C376*D376</f>
        <v>-171200</v>
      </c>
      <c r="G376" s="154" t="s">
        <v>1478</v>
      </c>
    </row>
    <row r="377" spans="1:9" x14ac:dyDescent="0.2">
      <c r="C377">
        <f>SUM(C373:C376)</f>
        <v>0</v>
      </c>
      <c r="E377" s="98">
        <f>SUM(E373:E376)</f>
        <v>63400</v>
      </c>
      <c r="G377" s="410" t="e">
        <f>ROUND(E377/C377,4)</f>
        <v>#DIV/0!</v>
      </c>
    </row>
    <row r="378" spans="1:9" ht="13.5" thickBot="1" x14ac:dyDescent="0.25">
      <c r="A378" s="14"/>
      <c r="B378" s="14"/>
      <c r="C378" s="14"/>
      <c r="D378" s="14"/>
      <c r="E378" s="14"/>
      <c r="F378" s="14"/>
      <c r="G378" s="155"/>
      <c r="H378" s="14"/>
      <c r="I378" s="14"/>
    </row>
    <row r="379" spans="1:9" x14ac:dyDescent="0.2">
      <c r="A379" s="4"/>
      <c r="B379" s="4"/>
      <c r="C379" s="4"/>
      <c r="D379" s="4"/>
      <c r="E379" s="4"/>
      <c r="F379" s="4"/>
      <c r="G379" s="156"/>
      <c r="H379" s="4"/>
      <c r="I379" s="4"/>
    </row>
    <row r="380" spans="1:9" x14ac:dyDescent="0.2">
      <c r="A380" s="147"/>
      <c r="B380" s="147"/>
      <c r="C380" s="147"/>
      <c r="D380" s="147"/>
      <c r="E380" s="4"/>
      <c r="F380" s="4"/>
      <c r="G380" s="156"/>
      <c r="H380" s="4"/>
      <c r="I380" s="4"/>
    </row>
    <row r="381" spans="1:9" x14ac:dyDescent="0.2">
      <c r="A381" s="752" t="s">
        <v>1193</v>
      </c>
      <c r="B381" s="553"/>
      <c r="C381" s="187" t="s">
        <v>1194</v>
      </c>
      <c r="D381" s="145"/>
      <c r="E381" s="452" t="s">
        <v>1041</v>
      </c>
    </row>
    <row r="382" spans="1:9" x14ac:dyDescent="0.2">
      <c r="A382" s="145" t="s">
        <v>1668</v>
      </c>
      <c r="B382" s="145">
        <v>3.15</v>
      </c>
      <c r="C382" s="146" t="s">
        <v>1033</v>
      </c>
      <c r="D382" s="145"/>
      <c r="E382" s="553"/>
    </row>
    <row r="383" spans="1:9" x14ac:dyDescent="0.2">
      <c r="A383" s="143"/>
      <c r="E383" s="138" t="s">
        <v>1474</v>
      </c>
      <c r="F383" s="139"/>
      <c r="G383" s="157">
        <f>cgas!$J$5</f>
        <v>2.14</v>
      </c>
      <c r="I383">
        <v>0.95</v>
      </c>
    </row>
    <row r="385" spans="1:9" x14ac:dyDescent="0.2">
      <c r="A385" t="s">
        <v>1475</v>
      </c>
      <c r="C385" t="s">
        <v>1417</v>
      </c>
      <c r="D385" t="s">
        <v>1438</v>
      </c>
    </row>
    <row r="386" spans="1:9" x14ac:dyDescent="0.2">
      <c r="A386" s="141">
        <f>SUM(gatherco!I177:I178)</f>
        <v>0</v>
      </c>
      <c r="C386" s="140">
        <v>260</v>
      </c>
      <c r="D386" s="148">
        <f>+B382</f>
        <v>3.15</v>
      </c>
      <c r="E386" s="98">
        <f>C386*D386</f>
        <v>819</v>
      </c>
    </row>
    <row r="387" spans="1:9" ht="13.5" thickBot="1" x14ac:dyDescent="0.25">
      <c r="C387" s="14">
        <f>IF(A386&gt;C386,A386-C386,0)</f>
        <v>0</v>
      </c>
      <c r="D387" s="140">
        <f>G383</f>
        <v>2.14</v>
      </c>
      <c r="E387" s="189">
        <f>C387*D387</f>
        <v>0</v>
      </c>
      <c r="G387" s="154" t="s">
        <v>1478</v>
      </c>
    </row>
    <row r="388" spans="1:9" x14ac:dyDescent="0.2">
      <c r="C388">
        <f>SUM(C386:C387)</f>
        <v>260</v>
      </c>
      <c r="E388" s="98">
        <f>SUM(E386:E387)</f>
        <v>819</v>
      </c>
      <c r="G388" s="410">
        <f>ROUND(E388/C388,4)</f>
        <v>3.15</v>
      </c>
    </row>
    <row r="389" spans="1:9" ht="13.5" thickBot="1" x14ac:dyDescent="0.25">
      <c r="A389" s="14"/>
      <c r="B389" s="14"/>
      <c r="C389" s="14"/>
      <c r="D389" s="14"/>
      <c r="E389" s="14"/>
      <c r="F389" s="14"/>
      <c r="G389" s="155"/>
      <c r="H389" s="14"/>
      <c r="I389" s="14"/>
    </row>
    <row r="390" spans="1:9" x14ac:dyDescent="0.2">
      <c r="A390" s="4"/>
      <c r="B390" s="4"/>
      <c r="C390" s="4"/>
      <c r="D390" s="4"/>
      <c r="E390" s="4"/>
      <c r="F390" s="4"/>
      <c r="G390" s="156"/>
      <c r="H390" s="4"/>
      <c r="I390" s="4"/>
    </row>
    <row r="391" spans="1:9" x14ac:dyDescent="0.2">
      <c r="A391" s="147"/>
      <c r="B391" s="147"/>
      <c r="C391" s="147"/>
      <c r="D391" s="147"/>
      <c r="E391" s="4"/>
      <c r="F391" s="4"/>
      <c r="G391" s="156"/>
      <c r="H391" s="4"/>
      <c r="I391" s="4"/>
    </row>
    <row r="392" spans="1:9" x14ac:dyDescent="0.2">
      <c r="A392" s="137" t="s">
        <v>2329</v>
      </c>
      <c r="B392" s="145"/>
      <c r="C392" s="145"/>
      <c r="D392" s="145"/>
    </row>
    <row r="393" spans="1:9" x14ac:dyDescent="0.2">
      <c r="A393" s="145" t="s">
        <v>0</v>
      </c>
      <c r="B393" s="145">
        <v>2.64</v>
      </c>
      <c r="C393" s="452" t="s">
        <v>1379</v>
      </c>
      <c r="D393" s="463"/>
      <c r="E393" s="452" t="s">
        <v>1041</v>
      </c>
    </row>
    <row r="394" spans="1:9" x14ac:dyDescent="0.2">
      <c r="A394" s="143"/>
      <c r="E394" s="138" t="s">
        <v>1380</v>
      </c>
      <c r="F394" s="139"/>
      <c r="G394" s="157">
        <f>cgas!$J$5*0.98</f>
        <v>2.0972</v>
      </c>
    </row>
    <row r="396" spans="1:9" x14ac:dyDescent="0.2">
      <c r="A396" t="s">
        <v>1475</v>
      </c>
      <c r="C396" t="s">
        <v>1417</v>
      </c>
      <c r="D396" t="s">
        <v>1438</v>
      </c>
    </row>
    <row r="397" spans="1:9" x14ac:dyDescent="0.2">
      <c r="A397" s="141">
        <v>0</v>
      </c>
      <c r="C397" s="140">
        <v>5000</v>
      </c>
      <c r="D397" s="148">
        <f>+B393</f>
        <v>2.64</v>
      </c>
      <c r="E397">
        <f>C397*D397</f>
        <v>13200</v>
      </c>
    </row>
    <row r="398" spans="1:9" ht="13.5" thickBot="1" x14ac:dyDescent="0.25">
      <c r="C398" s="14">
        <f>IF(A397&gt;C397,A397-C397,0)</f>
        <v>0</v>
      </c>
      <c r="D398" s="140">
        <f>G394</f>
        <v>2.0972</v>
      </c>
      <c r="E398" s="14">
        <f>C398*D398</f>
        <v>0</v>
      </c>
      <c r="G398" s="154" t="s">
        <v>1478</v>
      </c>
    </row>
    <row r="399" spans="1:9" x14ac:dyDescent="0.2">
      <c r="C399">
        <f>SUM(C397:C398)</f>
        <v>5000</v>
      </c>
      <c r="E399">
        <f>SUM(E397:E398)</f>
        <v>13200</v>
      </c>
      <c r="G399" s="410">
        <f>ROUND(E399/C399,4)</f>
        <v>2.64</v>
      </c>
    </row>
    <row r="400" spans="1:9" ht="13.5" thickBot="1" x14ac:dyDescent="0.25">
      <c r="A400" s="14"/>
      <c r="B400" s="14"/>
      <c r="C400" s="14"/>
      <c r="D400" s="14"/>
      <c r="E400" s="14"/>
      <c r="F400" s="14"/>
      <c r="G400" s="155"/>
      <c r="H400" s="14"/>
      <c r="I400" s="14"/>
    </row>
    <row r="401" spans="1:9" x14ac:dyDescent="0.2">
      <c r="A401" s="4"/>
      <c r="B401" s="4"/>
      <c r="C401" s="4"/>
      <c r="D401" s="4"/>
      <c r="E401" s="4"/>
      <c r="F401" s="4"/>
      <c r="G401" s="156"/>
      <c r="H401" s="4"/>
      <c r="I401" s="4"/>
    </row>
    <row r="402" spans="1:9" x14ac:dyDescent="0.2">
      <c r="A402" s="147"/>
      <c r="B402" s="147"/>
      <c r="C402" s="147"/>
      <c r="D402" s="147"/>
      <c r="E402" s="4"/>
      <c r="F402" s="4"/>
      <c r="G402" s="156"/>
      <c r="H402" s="4"/>
      <c r="I402" s="4"/>
    </row>
    <row r="403" spans="1:9" x14ac:dyDescent="0.2">
      <c r="A403" s="137" t="s">
        <v>944</v>
      </c>
      <c r="B403" s="145"/>
      <c r="C403" s="145"/>
      <c r="D403" s="145"/>
      <c r="E403" s="452" t="s">
        <v>1041</v>
      </c>
    </row>
    <row r="404" spans="1:9" x14ac:dyDescent="0.2">
      <c r="A404" s="145">
        <v>5000</v>
      </c>
      <c r="B404" s="145">
        <v>4.07</v>
      </c>
      <c r="C404" s="146" t="s">
        <v>945</v>
      </c>
      <c r="D404" s="145"/>
      <c r="E404" t="s">
        <v>946</v>
      </c>
    </row>
    <row r="405" spans="1:9" x14ac:dyDescent="0.2">
      <c r="A405" s="143"/>
      <c r="E405" s="138" t="s">
        <v>1474</v>
      </c>
      <c r="F405" s="139"/>
      <c r="G405" s="157">
        <f>cgas!$J$5</f>
        <v>2.14</v>
      </c>
    </row>
    <row r="407" spans="1:9" x14ac:dyDescent="0.2">
      <c r="A407" t="s">
        <v>1475</v>
      </c>
      <c r="C407" t="s">
        <v>1417</v>
      </c>
      <c r="D407" t="s">
        <v>1438</v>
      </c>
    </row>
    <row r="408" spans="1:9" x14ac:dyDescent="0.2">
      <c r="A408" s="141">
        <f>SUM(cnr!J202)</f>
        <v>0</v>
      </c>
      <c r="C408" s="140">
        <v>0</v>
      </c>
      <c r="D408" s="148">
        <f>+B404</f>
        <v>4.07</v>
      </c>
      <c r="E408">
        <f>C408*D408</f>
        <v>0</v>
      </c>
    </row>
    <row r="409" spans="1:9" ht="13.5" thickBot="1" x14ac:dyDescent="0.25">
      <c r="C409" s="14">
        <f>IF(A408&gt;C408,A408-C408,0)</f>
        <v>0</v>
      </c>
      <c r="D409" s="140">
        <f>G405</f>
        <v>2.14</v>
      </c>
      <c r="E409" s="14">
        <f>C409*D409</f>
        <v>0</v>
      </c>
      <c r="G409" s="154" t="s">
        <v>1478</v>
      </c>
    </row>
    <row r="410" spans="1:9" x14ac:dyDescent="0.2">
      <c r="C410">
        <f>SUM(C408:C409)</f>
        <v>0</v>
      </c>
      <c r="E410">
        <f>SUM(E408:E409)</f>
        <v>0</v>
      </c>
      <c r="G410" s="410" t="e">
        <f>ROUND(E410/C410,4)</f>
        <v>#DIV/0!</v>
      </c>
    </row>
    <row r="411" spans="1:9" ht="13.5" thickBot="1" x14ac:dyDescent="0.25">
      <c r="A411" s="14"/>
      <c r="B411" s="14"/>
      <c r="C411" s="14"/>
      <c r="D411" s="14"/>
      <c r="E411" s="14"/>
      <c r="F411" s="14"/>
      <c r="G411" s="155"/>
      <c r="H411" s="14"/>
      <c r="I411" s="14"/>
    </row>
    <row r="412" spans="1:9" x14ac:dyDescent="0.2">
      <c r="A412" s="4"/>
      <c r="B412" s="4"/>
      <c r="C412" s="4"/>
      <c r="D412" s="4"/>
      <c r="E412" s="4"/>
      <c r="F412" s="4"/>
      <c r="G412" s="156"/>
      <c r="H412" s="4"/>
      <c r="I412" s="4"/>
    </row>
    <row r="413" spans="1:9" x14ac:dyDescent="0.2">
      <c r="A413" s="147"/>
      <c r="B413" s="147"/>
      <c r="C413" s="147"/>
      <c r="D413" s="147"/>
      <c r="E413" s="4"/>
      <c r="F413" s="4"/>
      <c r="G413" s="156"/>
      <c r="H413" s="4"/>
      <c r="I413" s="4"/>
    </row>
    <row r="414" spans="1:9" x14ac:dyDescent="0.2">
      <c r="A414" s="137" t="s">
        <v>1357</v>
      </c>
      <c r="B414" s="145"/>
      <c r="C414" s="145"/>
      <c r="D414" s="145"/>
    </row>
    <row r="415" spans="1:9" x14ac:dyDescent="0.2">
      <c r="A415" s="145">
        <v>3300</v>
      </c>
      <c r="B415" s="145">
        <v>4.49</v>
      </c>
      <c r="C415" s="146" t="s">
        <v>1358</v>
      </c>
      <c r="D415" s="145"/>
      <c r="E415" s="553" t="s">
        <v>1359</v>
      </c>
    </row>
    <row r="416" spans="1:9" x14ac:dyDescent="0.2">
      <c r="A416" s="143"/>
      <c r="E416" s="138" t="s">
        <v>1474</v>
      </c>
      <c r="F416" s="139"/>
      <c r="G416" s="157">
        <f>cgas!$J$5</f>
        <v>2.14</v>
      </c>
    </row>
    <row r="418" spans="1:26" x14ac:dyDescent="0.2">
      <c r="A418" t="s">
        <v>1475</v>
      </c>
      <c r="C418" t="s">
        <v>1417</v>
      </c>
      <c r="D418" t="s">
        <v>1438</v>
      </c>
    </row>
    <row r="419" spans="1:26" x14ac:dyDescent="0.2">
      <c r="A419" s="141">
        <f>SUM(cgas!I171)+SUM(gatherco!I208:I209)</f>
        <v>0</v>
      </c>
      <c r="C419" s="140">
        <f>+A415</f>
        <v>3300</v>
      </c>
      <c r="D419" s="148">
        <f>+B415</f>
        <v>4.49</v>
      </c>
      <c r="E419">
        <f>C419*D419</f>
        <v>14817</v>
      </c>
    </row>
    <row r="420" spans="1:26" ht="13.5" thickBot="1" x14ac:dyDescent="0.25">
      <c r="C420" s="14">
        <f>IF(A419&gt;C419,A419-C419,0)</f>
        <v>0</v>
      </c>
      <c r="D420" s="140">
        <f>G416</f>
        <v>2.14</v>
      </c>
      <c r="E420" s="14">
        <f>C420*D420</f>
        <v>0</v>
      </c>
      <c r="G420" s="154" t="s">
        <v>1478</v>
      </c>
    </row>
    <row r="421" spans="1:26" x14ac:dyDescent="0.2">
      <c r="C421">
        <f>SUM(C419:C420)</f>
        <v>3300</v>
      </c>
      <c r="E421">
        <f>SUM(E419:E420)</f>
        <v>14817</v>
      </c>
      <c r="G421" s="410">
        <f>E421/C421</f>
        <v>4.49</v>
      </c>
    </row>
    <row r="422" spans="1:26" ht="13.5" thickBot="1" x14ac:dyDescent="0.25">
      <c r="A422" s="14"/>
      <c r="B422" s="14"/>
      <c r="C422" s="14"/>
      <c r="D422" s="14"/>
      <c r="E422" s="14"/>
      <c r="F422" s="14"/>
      <c r="G422" s="155"/>
      <c r="H422" s="14"/>
      <c r="I422" s="14"/>
    </row>
    <row r="423" spans="1:26" x14ac:dyDescent="0.2">
      <c r="A423" s="4"/>
      <c r="B423" s="4"/>
      <c r="C423" s="4"/>
      <c r="D423" s="4"/>
      <c r="E423" s="4"/>
      <c r="F423" s="4"/>
      <c r="G423" s="156"/>
      <c r="H423" s="4"/>
      <c r="I423" s="4"/>
    </row>
    <row r="424" spans="1:26" s="4" customFormat="1" x14ac:dyDescent="0.2">
      <c r="A424" s="147"/>
      <c r="B424" s="147"/>
      <c r="C424" s="147"/>
      <c r="D424" s="147"/>
      <c r="E424" s="135"/>
      <c r="G424" s="156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</row>
    <row r="425" spans="1:26" s="4" customFormat="1" x14ac:dyDescent="0.2">
      <c r="A425" s="182" t="s">
        <v>1426</v>
      </c>
      <c r="B425" s="147"/>
      <c r="C425" s="147"/>
      <c r="D425" s="147"/>
      <c r="E425" s="135"/>
      <c r="F425" s="147" t="s">
        <v>821</v>
      </c>
      <c r="G425" s="897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</row>
    <row r="426" spans="1:26" s="4" customFormat="1" x14ac:dyDescent="0.2">
      <c r="A426" s="147">
        <v>30000</v>
      </c>
      <c r="B426" s="205">
        <v>3</v>
      </c>
      <c r="C426" s="672" t="s">
        <v>823</v>
      </c>
      <c r="D426" s="575"/>
      <c r="E426" s="574"/>
      <c r="F426" s="878" t="s">
        <v>822</v>
      </c>
      <c r="G426" s="897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</row>
    <row r="427" spans="1:26" s="4" customFormat="1" x14ac:dyDescent="0.2">
      <c r="A427" s="147">
        <v>0</v>
      </c>
      <c r="B427" s="205">
        <v>4.92</v>
      </c>
      <c r="C427" s="672"/>
      <c r="D427" s="575"/>
      <c r="E427" s="574"/>
      <c r="G427" s="156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</row>
    <row r="428" spans="1:26" s="4" customFormat="1" x14ac:dyDescent="0.2">
      <c r="A428"/>
      <c r="B428"/>
      <c r="C428"/>
      <c r="D428"/>
      <c r="E428" s="138" t="s">
        <v>1474</v>
      </c>
      <c r="F428" s="139"/>
      <c r="G428" s="157">
        <f>cgas!$J$5</f>
        <v>2.14</v>
      </c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</row>
    <row r="429" spans="1:26" s="4" customFormat="1" x14ac:dyDescent="0.2">
      <c r="A429"/>
      <c r="B429"/>
      <c r="C429"/>
      <c r="D429"/>
      <c r="E429"/>
      <c r="F429"/>
      <c r="G429" s="154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</row>
    <row r="430" spans="1:26" s="4" customFormat="1" x14ac:dyDescent="0.2">
      <c r="A430" t="s">
        <v>1475</v>
      </c>
      <c r="B430"/>
      <c r="C430" t="s">
        <v>1417</v>
      </c>
      <c r="D430" t="s">
        <v>1438</v>
      </c>
      <c r="E430"/>
      <c r="F430"/>
      <c r="G430" s="154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</row>
    <row r="431" spans="1:26" s="4" customFormat="1" x14ac:dyDescent="0.2">
      <c r="A431" s="141">
        <f>SUM(gatherco!I213:I271)+SUM(cgas!I174:I189)</f>
        <v>0</v>
      </c>
      <c r="B431"/>
      <c r="C431">
        <f>+A426</f>
        <v>30000</v>
      </c>
      <c r="D431" s="206">
        <f>+B426</f>
        <v>3</v>
      </c>
      <c r="E431" s="98">
        <f>C431*D431</f>
        <v>90000</v>
      </c>
      <c r="F431"/>
      <c r="G431" s="154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</row>
    <row r="432" spans="1:26" s="4" customFormat="1" x14ac:dyDescent="0.2">
      <c r="A432" s="141"/>
      <c r="B432"/>
      <c r="C432" s="141">
        <f>+A427</f>
        <v>0</v>
      </c>
      <c r="D432" s="206">
        <f>+B427</f>
        <v>4.92</v>
      </c>
      <c r="E432" s="98">
        <f>C432*D432</f>
        <v>0</v>
      </c>
      <c r="F432"/>
      <c r="G432" s="154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</row>
    <row r="433" spans="1:26" s="4" customFormat="1" ht="13.5" thickBot="1" x14ac:dyDescent="0.25">
      <c r="A433"/>
      <c r="B433"/>
      <c r="C433" s="262">
        <f>+A431-C431-C432</f>
        <v>-30000</v>
      </c>
      <c r="D433" s="191">
        <f>G428</f>
        <v>2.14</v>
      </c>
      <c r="E433" s="98">
        <f>C433*D433</f>
        <v>-64200.000000000007</v>
      </c>
      <c r="F433"/>
      <c r="G433" s="154" t="s">
        <v>1478</v>
      </c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</row>
    <row r="434" spans="1:26" s="4" customFormat="1" x14ac:dyDescent="0.2">
      <c r="A434"/>
      <c r="B434"/>
      <c r="C434">
        <f>SUM(C431:C433)</f>
        <v>0</v>
      </c>
      <c r="D434"/>
      <c r="E434">
        <f>SUM(E431:E433)</f>
        <v>25799.999999999993</v>
      </c>
      <c r="F434"/>
      <c r="G434" s="410" t="e">
        <f>ROUND(E434/C434,4)</f>
        <v>#DIV/0!</v>
      </c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</row>
    <row r="435" spans="1:26" ht="13.5" thickBot="1" x14ac:dyDescent="0.25">
      <c r="A435" s="14"/>
      <c r="B435" s="14"/>
      <c r="C435" s="14"/>
      <c r="D435" s="14"/>
      <c r="E435" s="14"/>
      <c r="F435" s="14"/>
      <c r="G435" s="155"/>
      <c r="H435" s="14"/>
      <c r="I435" s="14"/>
    </row>
    <row r="436" spans="1:26" s="4" customFormat="1" x14ac:dyDescent="0.2">
      <c r="A436" s="147"/>
      <c r="B436" s="147"/>
      <c r="C436" s="147"/>
      <c r="D436" s="147"/>
      <c r="G436" s="15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</row>
    <row r="437" spans="1:26" s="4" customFormat="1" x14ac:dyDescent="0.2">
      <c r="A437" s="415" t="s">
        <v>2318</v>
      </c>
      <c r="B437" s="145"/>
      <c r="C437" s="463"/>
      <c r="D437" s="463"/>
      <c r="E437" s="463"/>
      <c r="F437" s="452" t="s">
        <v>1041</v>
      </c>
      <c r="G437" s="154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</row>
    <row r="438" spans="1:26" s="4" customFormat="1" x14ac:dyDescent="0.2">
      <c r="A438" s="145" t="s">
        <v>2319</v>
      </c>
      <c r="B438" s="145">
        <v>2.2999999999999998</v>
      </c>
      <c r="C438" s="146" t="s">
        <v>2302</v>
      </c>
      <c r="D438" s="145"/>
      <c r="E438" s="22"/>
      <c r="F438"/>
      <c r="G438" s="154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</row>
    <row r="439" spans="1:26" s="4" customFormat="1" x14ac:dyDescent="0.2">
      <c r="A439" s="145"/>
      <c r="B439" s="145"/>
      <c r="C439" s="145"/>
      <c r="D439" s="145"/>
      <c r="E439"/>
      <c r="F439"/>
      <c r="G439" s="154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</row>
    <row r="440" spans="1:26" s="4" customFormat="1" x14ac:dyDescent="0.2">
      <c r="A440"/>
      <c r="B440"/>
      <c r="C440"/>
      <c r="D440"/>
      <c r="E440"/>
      <c r="F440"/>
      <c r="G440" s="154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</row>
    <row r="441" spans="1:26" s="4" customFormat="1" x14ac:dyDescent="0.2">
      <c r="A441"/>
      <c r="B441"/>
      <c r="C441"/>
      <c r="D441"/>
      <c r="E441" s="138" t="s">
        <v>1474</v>
      </c>
      <c r="F441" s="139"/>
      <c r="G441" s="157">
        <f>cgas!$J$5</f>
        <v>2.14</v>
      </c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</row>
    <row r="442" spans="1:26" s="4" customFormat="1" x14ac:dyDescent="0.2">
      <c r="A442"/>
      <c r="B442"/>
      <c r="C442"/>
      <c r="D442"/>
      <c r="E442"/>
      <c r="F442"/>
      <c r="G442" s="154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</row>
    <row r="443" spans="1:26" s="4" customFormat="1" x14ac:dyDescent="0.2">
      <c r="A443" t="s">
        <v>1475</v>
      </c>
      <c r="B443"/>
      <c r="C443" t="s">
        <v>1417</v>
      </c>
      <c r="D443" t="s">
        <v>1438</v>
      </c>
      <c r="E443"/>
      <c r="F443"/>
      <c r="G443" s="154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</row>
    <row r="444" spans="1:26" s="4" customFormat="1" x14ac:dyDescent="0.2">
      <c r="A444" s="141">
        <f>SUM(cgas!I117:I119)</f>
        <v>0</v>
      </c>
      <c r="B444"/>
      <c r="C444" s="140">
        <v>46500</v>
      </c>
      <c r="D444" s="222">
        <f>+B438</f>
        <v>2.2999999999999998</v>
      </c>
      <c r="E444" s="150">
        <f>C444*D444</f>
        <v>106949.99999999999</v>
      </c>
      <c r="F444"/>
      <c r="G444" s="15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</row>
    <row r="445" spans="1:26" s="4" customFormat="1" ht="13.5" thickBot="1" x14ac:dyDescent="0.25">
      <c r="A445"/>
      <c r="B445"/>
      <c r="C445" s="14">
        <f>IF(A444&gt;C444,A444-C444,0)</f>
        <v>0</v>
      </c>
      <c r="D445" s="188">
        <f>G441</f>
        <v>2.14</v>
      </c>
      <c r="E445" s="151">
        <f>C445*D445</f>
        <v>0</v>
      </c>
      <c r="F445"/>
      <c r="G445" s="154" t="s">
        <v>1478</v>
      </c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</row>
    <row r="446" spans="1:26" x14ac:dyDescent="0.2">
      <c r="C446">
        <f>SUM(C444:C445)</f>
        <v>46500</v>
      </c>
      <c r="E446" s="150">
        <f>SUM(E444:E445)</f>
        <v>106949.99999999999</v>
      </c>
      <c r="G446" s="414">
        <f>E446/C446</f>
        <v>2.2999999999999998</v>
      </c>
    </row>
    <row r="447" spans="1:26" ht="13.5" thickBot="1" x14ac:dyDescent="0.25">
      <c r="A447" s="14"/>
      <c r="B447" s="14"/>
      <c r="C447" s="14"/>
      <c r="D447" s="14"/>
      <c r="E447" s="14"/>
      <c r="F447" s="14"/>
      <c r="G447" s="155"/>
      <c r="H447" s="14"/>
      <c r="I447" s="14"/>
    </row>
    <row r="448" spans="1:26" s="4" customFormat="1" x14ac:dyDescent="0.2">
      <c r="A448" s="147"/>
      <c r="B448" s="147"/>
      <c r="C448" s="147"/>
      <c r="D448" s="147"/>
      <c r="G448" s="156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</row>
    <row r="449" spans="1:26" s="4" customFormat="1" x14ac:dyDescent="0.2">
      <c r="A449" s="137" t="s">
        <v>2301</v>
      </c>
      <c r="B449" s="145"/>
      <c r="C449" s="145"/>
      <c r="D449" s="145"/>
      <c r="E449"/>
      <c r="F449"/>
      <c r="G449" s="154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</row>
    <row r="450" spans="1:26" s="4" customFormat="1" x14ac:dyDescent="0.2">
      <c r="A450" s="145">
        <v>0</v>
      </c>
      <c r="B450" s="145">
        <v>3.42</v>
      </c>
      <c r="C450" s="146" t="s">
        <v>177</v>
      </c>
      <c r="D450" s="145"/>
      <c r="E450" s="554" t="s">
        <v>280</v>
      </c>
      <c r="F450"/>
      <c r="G450" s="154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</row>
    <row r="451" spans="1:26" s="4" customFormat="1" x14ac:dyDescent="0.2">
      <c r="A451" s="145"/>
      <c r="B451" s="145"/>
      <c r="C451" s="145"/>
      <c r="D451" s="145"/>
      <c r="E451"/>
      <c r="F451"/>
      <c r="G451" s="154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</row>
    <row r="452" spans="1:26" s="4" customFormat="1" x14ac:dyDescent="0.2">
      <c r="A452"/>
      <c r="B452"/>
      <c r="C452"/>
      <c r="D452"/>
      <c r="E452"/>
      <c r="F452"/>
      <c r="G452" s="154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</row>
    <row r="453" spans="1:26" s="4" customFormat="1" x14ac:dyDescent="0.2">
      <c r="A453"/>
      <c r="B453"/>
      <c r="C453"/>
      <c r="D453"/>
      <c r="E453" s="138" t="s">
        <v>1474</v>
      </c>
      <c r="F453" s="139"/>
      <c r="G453" s="157">
        <f>cgas!$J$5</f>
        <v>2.14</v>
      </c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</row>
    <row r="454" spans="1:26" s="4" customFormat="1" x14ac:dyDescent="0.2">
      <c r="A454"/>
      <c r="B454"/>
      <c r="C454"/>
      <c r="D454"/>
      <c r="E454"/>
      <c r="F454"/>
      <c r="G454" s="1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</row>
    <row r="455" spans="1:26" s="4" customFormat="1" x14ac:dyDescent="0.2">
      <c r="A455" t="s">
        <v>1475</v>
      </c>
      <c r="B455"/>
      <c r="C455" t="s">
        <v>1417</v>
      </c>
      <c r="D455" t="s">
        <v>1438</v>
      </c>
      <c r="E455"/>
      <c r="F455"/>
      <c r="G455" s="154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</row>
    <row r="456" spans="1:26" s="4" customFormat="1" x14ac:dyDescent="0.2">
      <c r="A456" s="141">
        <f>SUM(gatherco!I276:I305)+SUM(cgas!I195)</f>
        <v>0</v>
      </c>
      <c r="B456"/>
      <c r="C456" s="140">
        <f>+A450</f>
        <v>0</v>
      </c>
      <c r="D456" s="148">
        <f>+B450</f>
        <v>3.42</v>
      </c>
      <c r="E456" s="98">
        <f>C456*D456</f>
        <v>0</v>
      </c>
      <c r="F456"/>
      <c r="G456" s="154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</row>
    <row r="457" spans="1:26" s="4" customFormat="1" ht="13.5" thickBot="1" x14ac:dyDescent="0.25">
      <c r="A457"/>
      <c r="B457"/>
      <c r="C457" s="262">
        <f>+A456-C456</f>
        <v>0</v>
      </c>
      <c r="D457" s="140">
        <f>G453</f>
        <v>2.14</v>
      </c>
      <c r="E457" s="189">
        <f>C457*D457</f>
        <v>0</v>
      </c>
      <c r="F457"/>
      <c r="G457" s="154" t="s">
        <v>1478</v>
      </c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</row>
    <row r="458" spans="1:26" x14ac:dyDescent="0.2">
      <c r="C458">
        <f>SUM(C456:C457)</f>
        <v>0</v>
      </c>
      <c r="E458">
        <f>SUM(E456:E457)</f>
        <v>0</v>
      </c>
      <c r="G458" s="410" t="e">
        <f>ROUND(E458/C458,4)</f>
        <v>#DIV/0!</v>
      </c>
    </row>
    <row r="459" spans="1:26" ht="13.5" thickBot="1" x14ac:dyDescent="0.25">
      <c r="A459" s="14"/>
      <c r="B459" s="14"/>
      <c r="C459" s="14"/>
      <c r="D459" s="14"/>
      <c r="E459" s="14"/>
      <c r="F459" s="14"/>
      <c r="G459" s="155"/>
      <c r="H459" s="14"/>
      <c r="I459" s="14"/>
    </row>
    <row r="460" spans="1:26" x14ac:dyDescent="0.2">
      <c r="A460" s="4"/>
      <c r="B460" s="4"/>
      <c r="C460" s="4"/>
      <c r="D460" s="4"/>
      <c r="E460" s="4"/>
      <c r="F460" s="4"/>
      <c r="G460" s="156"/>
      <c r="H460" s="4"/>
      <c r="I460" s="4"/>
    </row>
    <row r="461" spans="1:26" x14ac:dyDescent="0.2">
      <c r="A461" s="147"/>
      <c r="B461" s="147"/>
      <c r="C461" s="147"/>
      <c r="D461" s="147"/>
      <c r="E461" s="4"/>
      <c r="F461" s="4"/>
      <c r="G461" s="156"/>
      <c r="H461" s="4"/>
      <c r="I461" s="4"/>
    </row>
    <row r="462" spans="1:26" x14ac:dyDescent="0.2">
      <c r="A462" s="137" t="s">
        <v>2303</v>
      </c>
      <c r="B462" s="145"/>
      <c r="C462" s="145"/>
      <c r="D462" s="145"/>
    </row>
    <row r="463" spans="1:26" x14ac:dyDescent="0.2">
      <c r="A463" s="145">
        <v>25000</v>
      </c>
      <c r="B463" s="145">
        <v>3.47</v>
      </c>
      <c r="C463" s="146" t="s">
        <v>1661</v>
      </c>
      <c r="D463" s="145"/>
      <c r="E463" s="554" t="s">
        <v>1662</v>
      </c>
      <c r="F463" s="553"/>
      <c r="G463" s="930"/>
    </row>
    <row r="464" spans="1:26" x14ac:dyDescent="0.2">
      <c r="A464" s="145"/>
      <c r="B464" s="145"/>
      <c r="C464" s="145"/>
      <c r="D464" s="145"/>
    </row>
    <row r="466" spans="1:9" x14ac:dyDescent="0.2">
      <c r="E466" s="138" t="s">
        <v>1474</v>
      </c>
      <c r="F466" s="139"/>
      <c r="G466" s="157">
        <f>cgas!$J$5</f>
        <v>2.14</v>
      </c>
    </row>
    <row r="468" spans="1:9" x14ac:dyDescent="0.2">
      <c r="A468" t="s">
        <v>1475</v>
      </c>
      <c r="C468" t="s">
        <v>1417</v>
      </c>
      <c r="D468" t="s">
        <v>1438</v>
      </c>
    </row>
    <row r="469" spans="1:9" x14ac:dyDescent="0.2">
      <c r="A469" s="141">
        <f>SUM(gatherco!I307:I312)</f>
        <v>0</v>
      </c>
      <c r="C469" s="140">
        <f>+A463</f>
        <v>25000</v>
      </c>
      <c r="D469" s="148">
        <f>+B463</f>
        <v>3.47</v>
      </c>
      <c r="E469">
        <f>C469*D469</f>
        <v>86750</v>
      </c>
    </row>
    <row r="470" spans="1:9" ht="13.5" thickBot="1" x14ac:dyDescent="0.25">
      <c r="C470" s="14">
        <f>IF(A469&gt;C469,A469-C469,0)</f>
        <v>0</v>
      </c>
      <c r="D470" s="140">
        <f>G466</f>
        <v>2.14</v>
      </c>
      <c r="E470" s="14">
        <f>C470*D470</f>
        <v>0</v>
      </c>
      <c r="G470" s="154" t="s">
        <v>1478</v>
      </c>
    </row>
    <row r="471" spans="1:9" x14ac:dyDescent="0.2">
      <c r="C471">
        <f>SUM(C469:C470)</f>
        <v>25000</v>
      </c>
      <c r="E471">
        <f>SUM(E469:E470)</f>
        <v>86750</v>
      </c>
      <c r="G471" s="410">
        <f>ROUND(E471/C471,4)</f>
        <v>3.47</v>
      </c>
    </row>
    <row r="472" spans="1:9" ht="13.5" thickBot="1" x14ac:dyDescent="0.25">
      <c r="A472" s="14"/>
      <c r="B472" s="14"/>
      <c r="C472" s="14"/>
      <c r="D472" s="14"/>
      <c r="E472" s="14"/>
      <c r="F472" s="14"/>
      <c r="G472" s="155"/>
      <c r="H472" s="14"/>
      <c r="I472" s="14"/>
    </row>
    <row r="473" spans="1:9" x14ac:dyDescent="0.2">
      <c r="A473" s="4"/>
      <c r="B473" s="4"/>
      <c r="C473" s="4"/>
      <c r="D473" s="4"/>
      <c r="E473" s="4"/>
      <c r="F473" s="4"/>
      <c r="G473" s="156"/>
      <c r="H473" s="4"/>
      <c r="I473" s="4"/>
    </row>
    <row r="474" spans="1:9" x14ac:dyDescent="0.2">
      <c r="A474" s="147"/>
      <c r="B474" s="147"/>
      <c r="C474" s="147"/>
      <c r="D474" s="147"/>
      <c r="E474" s="4"/>
      <c r="F474" s="4"/>
      <c r="G474" s="156"/>
      <c r="H474" s="4"/>
      <c r="I474" s="4"/>
    </row>
    <row r="475" spans="1:9" x14ac:dyDescent="0.2">
      <c r="A475" s="137" t="s">
        <v>297</v>
      </c>
      <c r="B475" s="145"/>
      <c r="C475" s="145"/>
      <c r="D475" s="145"/>
    </row>
    <row r="476" spans="1:9" x14ac:dyDescent="0.2">
      <c r="A476" s="145">
        <v>10000</v>
      </c>
      <c r="B476" s="403">
        <v>4.3</v>
      </c>
      <c r="C476" s="146" t="s">
        <v>300</v>
      </c>
      <c r="D476" s="145"/>
      <c r="E476" s="452" t="s">
        <v>1041</v>
      </c>
    </row>
    <row r="477" spans="1:9" x14ac:dyDescent="0.2">
      <c r="A477" s="145"/>
      <c r="B477" s="145"/>
      <c r="C477" s="145"/>
      <c r="D477" s="145"/>
    </row>
    <row r="479" spans="1:9" x14ac:dyDescent="0.2">
      <c r="E479" s="138" t="s">
        <v>1474</v>
      </c>
      <c r="F479" s="139"/>
      <c r="G479" s="157">
        <f>cgas!$J$5</f>
        <v>2.14</v>
      </c>
    </row>
    <row r="481" spans="1:9" x14ac:dyDescent="0.2">
      <c r="A481" t="s">
        <v>1475</v>
      </c>
      <c r="C481" t="s">
        <v>1417</v>
      </c>
      <c r="D481" t="s">
        <v>1438</v>
      </c>
    </row>
    <row r="482" spans="1:9" x14ac:dyDescent="0.2">
      <c r="A482" s="141">
        <f>SUM(cgas!I198:I202)+SUM(gatherco!I315:I323)</f>
        <v>0</v>
      </c>
      <c r="C482" s="140">
        <v>0</v>
      </c>
      <c r="D482" s="222">
        <f>+B476</f>
        <v>4.3</v>
      </c>
      <c r="E482" s="98">
        <f>C482*D482</f>
        <v>0</v>
      </c>
    </row>
    <row r="483" spans="1:9" ht="13.5" thickBot="1" x14ac:dyDescent="0.25">
      <c r="C483" s="14">
        <f>IF(A482&gt;C482,A482-C482,0)</f>
        <v>0</v>
      </c>
      <c r="D483" s="140">
        <f>G479</f>
        <v>2.14</v>
      </c>
      <c r="E483" s="14">
        <f>C483*D483</f>
        <v>0</v>
      </c>
      <c r="G483" s="154" t="s">
        <v>1478</v>
      </c>
    </row>
    <row r="484" spans="1:9" x14ac:dyDescent="0.2">
      <c r="C484">
        <f>SUM(C482:C483)</f>
        <v>0</v>
      </c>
      <c r="E484">
        <f>SUM(E482:E483)</f>
        <v>0</v>
      </c>
      <c r="G484" s="410" t="e">
        <f>ROUND(E484/C484,4)</f>
        <v>#DIV/0!</v>
      </c>
    </row>
    <row r="485" spans="1:9" ht="13.5" thickBot="1" x14ac:dyDescent="0.25">
      <c r="A485" s="14"/>
      <c r="B485" s="14"/>
      <c r="C485" s="14"/>
      <c r="D485" s="14"/>
      <c r="E485" s="14"/>
      <c r="F485" s="14"/>
      <c r="G485" s="155"/>
      <c r="H485" s="14"/>
      <c r="I485" s="14"/>
    </row>
    <row r="486" spans="1:9" x14ac:dyDescent="0.2">
      <c r="A486" s="4"/>
      <c r="B486" s="4"/>
      <c r="C486" s="4"/>
      <c r="D486" s="4"/>
      <c r="E486" s="4"/>
      <c r="F486" s="4"/>
      <c r="G486" s="156"/>
      <c r="H486" s="4"/>
      <c r="I486" s="4"/>
    </row>
    <row r="487" spans="1:9" x14ac:dyDescent="0.2">
      <c r="A487" s="147"/>
      <c r="B487" s="147"/>
      <c r="C487" s="147"/>
      <c r="D487" s="147"/>
      <c r="E487" s="4"/>
      <c r="F487" s="4"/>
      <c r="G487" s="156"/>
      <c r="H487" s="4"/>
      <c r="I487" s="4"/>
    </row>
    <row r="488" spans="1:9" x14ac:dyDescent="0.2">
      <c r="A488" s="137" t="s">
        <v>2311</v>
      </c>
      <c r="B488" s="463"/>
      <c r="C488" s="463"/>
      <c r="D488" s="463"/>
      <c r="E488" s="452" t="s">
        <v>1041</v>
      </c>
    </row>
    <row r="489" spans="1:9" x14ac:dyDescent="0.2">
      <c r="A489" s="145">
        <v>2000</v>
      </c>
      <c r="B489" s="145">
        <v>2.5739999999999998</v>
      </c>
      <c r="C489" s="146" t="s">
        <v>2302</v>
      </c>
      <c r="D489" s="145"/>
      <c r="E489" s="22"/>
    </row>
    <row r="490" spans="1:9" x14ac:dyDescent="0.2">
      <c r="A490" s="145"/>
      <c r="B490" s="145"/>
      <c r="C490" s="145"/>
      <c r="D490" s="145"/>
    </row>
    <row r="492" spans="1:9" x14ac:dyDescent="0.2">
      <c r="E492" s="138" t="s">
        <v>1474</v>
      </c>
      <c r="F492" s="139"/>
      <c r="G492" s="157">
        <f>cgas!$J$5</f>
        <v>2.14</v>
      </c>
    </row>
    <row r="494" spans="1:9" x14ac:dyDescent="0.2">
      <c r="A494" t="s">
        <v>1475</v>
      </c>
      <c r="C494" t="s">
        <v>1417</v>
      </c>
      <c r="D494" t="s">
        <v>1438</v>
      </c>
    </row>
    <row r="495" spans="1:9" x14ac:dyDescent="0.2">
      <c r="A495" s="141">
        <v>0</v>
      </c>
      <c r="C495" s="140">
        <f>+A489</f>
        <v>2000</v>
      </c>
      <c r="D495" s="148">
        <f>+B489</f>
        <v>2.5739999999999998</v>
      </c>
      <c r="E495">
        <f>C495*D495</f>
        <v>5148</v>
      </c>
    </row>
    <row r="496" spans="1:9" ht="13.5" thickBot="1" x14ac:dyDescent="0.25">
      <c r="C496" s="14">
        <f>IF(A495&gt;C495,A495-C495,0)</f>
        <v>0</v>
      </c>
      <c r="D496" s="140">
        <f>G492</f>
        <v>2.14</v>
      </c>
      <c r="E496" s="14">
        <f>C496*D496</f>
        <v>0</v>
      </c>
      <c r="G496" s="154" t="s">
        <v>1478</v>
      </c>
    </row>
    <row r="497" spans="1:9" x14ac:dyDescent="0.2">
      <c r="C497">
        <f>SUM(C495:C496)</f>
        <v>2000</v>
      </c>
      <c r="E497">
        <f>SUM(E495:E496)</f>
        <v>5148</v>
      </c>
      <c r="G497" s="410">
        <f>ROUND(E497/C497,4)</f>
        <v>2.5739999999999998</v>
      </c>
    </row>
    <row r="498" spans="1:9" ht="13.5" thickBot="1" x14ac:dyDescent="0.25">
      <c r="A498" s="14"/>
      <c r="B498" s="14"/>
      <c r="C498" s="14"/>
      <c r="D498" s="14"/>
      <c r="E498" s="14"/>
      <c r="F498" s="14"/>
      <c r="G498" s="155"/>
      <c r="H498" s="14"/>
      <c r="I498" s="14"/>
    </row>
    <row r="499" spans="1:9" x14ac:dyDescent="0.2">
      <c r="A499" s="147"/>
      <c r="B499" s="147"/>
      <c r="C499" s="147"/>
      <c r="D499" s="147"/>
      <c r="E499" s="4"/>
      <c r="F499" s="4"/>
      <c r="G499" s="156"/>
      <c r="H499" s="4"/>
      <c r="I499" s="4"/>
    </row>
    <row r="500" spans="1:9" x14ac:dyDescent="0.2">
      <c r="A500" s="137" t="s">
        <v>1071</v>
      </c>
      <c r="B500" s="145"/>
      <c r="C500" s="145"/>
      <c r="D500" s="145"/>
    </row>
    <row r="501" spans="1:9" x14ac:dyDescent="0.2">
      <c r="A501" s="145">
        <v>5000</v>
      </c>
      <c r="B501" s="264">
        <v>3.085</v>
      </c>
      <c r="C501" s="146" t="s">
        <v>993</v>
      </c>
      <c r="D501" s="145"/>
      <c r="E501" s="452" t="s">
        <v>1041</v>
      </c>
    </row>
    <row r="502" spans="1:9" x14ac:dyDescent="0.2">
      <c r="A502" s="145">
        <v>5000</v>
      </c>
      <c r="B502" s="264">
        <v>3.7</v>
      </c>
      <c r="C502" s="146" t="s">
        <v>1383</v>
      </c>
      <c r="D502" s="145"/>
      <c r="E502" s="553"/>
    </row>
    <row r="503" spans="1:9" x14ac:dyDescent="0.2">
      <c r="A503">
        <v>10000</v>
      </c>
      <c r="B503">
        <v>5.29</v>
      </c>
      <c r="C503" t="s">
        <v>1383</v>
      </c>
      <c r="E503" t="s">
        <v>2216</v>
      </c>
      <c r="F503" t="s">
        <v>2217</v>
      </c>
    </row>
    <row r="504" spans="1:9" x14ac:dyDescent="0.2">
      <c r="E504" s="138" t="s">
        <v>1474</v>
      </c>
      <c r="F504" s="139"/>
      <c r="G504" s="157">
        <f>cgas!$J$5</f>
        <v>2.14</v>
      </c>
    </row>
    <row r="506" spans="1:9" x14ac:dyDescent="0.2">
      <c r="A506" t="s">
        <v>1475</v>
      </c>
      <c r="C506" t="s">
        <v>1417</v>
      </c>
      <c r="D506" t="s">
        <v>1438</v>
      </c>
    </row>
    <row r="507" spans="1:9" x14ac:dyDescent="0.2">
      <c r="A507" s="141">
        <f>SUM(cgas!I238)</f>
        <v>0</v>
      </c>
      <c r="C507" s="140">
        <f t="shared" ref="C507:D509" si="3">+A501</f>
        <v>5000</v>
      </c>
      <c r="D507" s="279">
        <f t="shared" si="3"/>
        <v>3.085</v>
      </c>
      <c r="E507" s="150">
        <f>C507*D507</f>
        <v>15425</v>
      </c>
    </row>
    <row r="508" spans="1:9" x14ac:dyDescent="0.2">
      <c r="A508" s="141"/>
      <c r="C508" s="140">
        <f t="shared" si="3"/>
        <v>5000</v>
      </c>
      <c r="D508" s="279">
        <f t="shared" si="3"/>
        <v>3.7</v>
      </c>
      <c r="E508" s="150">
        <f>C508*D508</f>
        <v>18500</v>
      </c>
      <c r="G508" s="150">
        <f>E508*F508</f>
        <v>0</v>
      </c>
    </row>
    <row r="509" spans="1:9" x14ac:dyDescent="0.2">
      <c r="A509" s="141"/>
      <c r="C509" s="140">
        <f t="shared" si="3"/>
        <v>10000</v>
      </c>
      <c r="D509" s="279">
        <f t="shared" si="3"/>
        <v>5.29</v>
      </c>
      <c r="E509" s="150">
        <f>C509*D509</f>
        <v>52900</v>
      </c>
    </row>
    <row r="510" spans="1:9" ht="13.5" thickBot="1" x14ac:dyDescent="0.25">
      <c r="C510" s="262">
        <f>+A507-C507-C508-C509</f>
        <v>-20000</v>
      </c>
      <c r="D510" s="280">
        <f>G504</f>
        <v>2.14</v>
      </c>
      <c r="E510" s="151">
        <f>C510*D510</f>
        <v>-42800</v>
      </c>
      <c r="G510" s="154" t="s">
        <v>1478</v>
      </c>
    </row>
    <row r="511" spans="1:9" x14ac:dyDescent="0.2">
      <c r="C511">
        <f>SUM(C507:C510)</f>
        <v>0</v>
      </c>
      <c r="E511" s="150">
        <f>SUM(E507:E510)</f>
        <v>44025</v>
      </c>
      <c r="G511" s="410" t="e">
        <f>E511/C511</f>
        <v>#DIV/0!</v>
      </c>
    </row>
    <row r="512" spans="1:9" ht="13.5" thickBot="1" x14ac:dyDescent="0.25">
      <c r="A512" s="14"/>
      <c r="B512" s="14"/>
      <c r="C512" s="14"/>
      <c r="D512" s="14"/>
      <c r="E512" s="14"/>
      <c r="F512" s="14"/>
      <c r="G512" s="155"/>
      <c r="H512" s="14"/>
      <c r="I512" s="14"/>
    </row>
    <row r="513" spans="1:27" ht="13.5" thickBot="1" x14ac:dyDescent="0.25">
      <c r="A513" s="834"/>
      <c r="B513" s="834"/>
      <c r="C513" s="834"/>
      <c r="D513" s="834"/>
      <c r="E513" s="834"/>
      <c r="F513" s="834"/>
      <c r="G513" s="835"/>
      <c r="H513" s="834"/>
      <c r="I513" s="834"/>
    </row>
    <row r="514" spans="1:27" x14ac:dyDescent="0.2">
      <c r="A514" s="4"/>
      <c r="B514" s="4"/>
      <c r="C514" s="4"/>
      <c r="D514" s="4"/>
      <c r="E514" s="4"/>
      <c r="F514" s="4"/>
      <c r="G514" s="156"/>
      <c r="H514" s="4"/>
      <c r="I514" s="4"/>
    </row>
    <row r="515" spans="1:27" s="4" customFormat="1" x14ac:dyDescent="0.2">
      <c r="A515" s="147"/>
      <c r="B515" s="147"/>
      <c r="C515" s="147"/>
      <c r="D515" s="147"/>
      <c r="E515" s="147"/>
      <c r="G515" s="156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</row>
    <row r="516" spans="1:27" s="4" customFormat="1" x14ac:dyDescent="0.2">
      <c r="A516" s="204" t="s">
        <v>1850</v>
      </c>
      <c r="B516" s="147"/>
      <c r="C516" s="147"/>
      <c r="D516" s="147"/>
      <c r="E516" s="147"/>
      <c r="G516" s="15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</row>
    <row r="517" spans="1:27" s="4" customFormat="1" x14ac:dyDescent="0.2">
      <c r="A517" s="147">
        <v>10000</v>
      </c>
      <c r="B517" s="205">
        <v>3.2</v>
      </c>
      <c r="C517" s="146" t="s">
        <v>178</v>
      </c>
      <c r="D517" s="147"/>
      <c r="E517" s="575" t="s">
        <v>280</v>
      </c>
      <c r="G517" s="156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</row>
    <row r="518" spans="1:27" s="4" customFormat="1" x14ac:dyDescent="0.2">
      <c r="A518" s="147">
        <v>10000</v>
      </c>
      <c r="B518" s="205">
        <v>3.22</v>
      </c>
      <c r="C518" s="146" t="s">
        <v>178</v>
      </c>
      <c r="D518" s="147"/>
      <c r="E518" s="147"/>
      <c r="G518" s="156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</row>
    <row r="519" spans="1:27" s="4" customFormat="1" x14ac:dyDescent="0.2">
      <c r="A519"/>
      <c r="B519"/>
      <c r="C519"/>
      <c r="D519"/>
      <c r="E519" s="138" t="s">
        <v>1474</v>
      </c>
      <c r="F519" s="139"/>
      <c r="G519" s="157">
        <f>cgas!$J$5</f>
        <v>2.14</v>
      </c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</row>
    <row r="520" spans="1:27" s="4" customFormat="1" x14ac:dyDescent="0.2">
      <c r="A520"/>
      <c r="B520"/>
      <c r="C520"/>
      <c r="D520"/>
      <c r="E520"/>
      <c r="F520"/>
      <c r="G520" s="154"/>
      <c r="H520" s="281"/>
      <c r="I520" s="149"/>
      <c r="J520" s="149"/>
      <c r="K520" s="149"/>
      <c r="L520" s="149"/>
      <c r="M520" s="149"/>
      <c r="N520"/>
      <c r="O520"/>
      <c r="P520"/>
      <c r="Q520"/>
      <c r="R520"/>
      <c r="S520"/>
      <c r="T520"/>
      <c r="U520"/>
      <c r="V520"/>
      <c r="W520"/>
      <c r="X520"/>
    </row>
    <row r="521" spans="1:27" s="4" customFormat="1" x14ac:dyDescent="0.2">
      <c r="A521" t="s">
        <v>1475</v>
      </c>
      <c r="B521"/>
      <c r="C521" t="s">
        <v>1417</v>
      </c>
      <c r="D521" t="s">
        <v>1438</v>
      </c>
      <c r="E521"/>
      <c r="F521"/>
      <c r="G521" s="154"/>
      <c r="H521" s="149"/>
      <c r="I521" s="149"/>
      <c r="J521" s="149"/>
      <c r="K521" s="149"/>
      <c r="L521" s="149"/>
      <c r="M521" s="282"/>
      <c r="N521"/>
      <c r="O521"/>
      <c r="P521"/>
      <c r="Q521"/>
      <c r="R521"/>
      <c r="S521"/>
      <c r="T521"/>
      <c r="U521"/>
      <c r="V521"/>
      <c r="W521"/>
      <c r="X521"/>
    </row>
    <row r="522" spans="1:27" s="4" customFormat="1" x14ac:dyDescent="0.2">
      <c r="A522" s="141">
        <f>SUM(cgas!I259:I266)</f>
        <v>0</v>
      </c>
      <c r="B522"/>
      <c r="C522">
        <v>10000</v>
      </c>
      <c r="D522" s="206">
        <f>+B517</f>
        <v>3.2</v>
      </c>
      <c r="E522" s="98">
        <f>C522*D522</f>
        <v>32000</v>
      </c>
      <c r="F522"/>
      <c r="G522" s="154"/>
      <c r="H522" s="283"/>
      <c r="I522" s="149"/>
      <c r="J522" s="149"/>
      <c r="K522" s="284"/>
      <c r="L522" s="200"/>
      <c r="M522" s="282"/>
      <c r="N522"/>
      <c r="O522"/>
      <c r="P522"/>
      <c r="Q522"/>
      <c r="R522"/>
      <c r="S522"/>
      <c r="T522"/>
      <c r="U522"/>
      <c r="V522"/>
      <c r="W522"/>
      <c r="X522"/>
    </row>
    <row r="523" spans="1:27" s="4" customFormat="1" x14ac:dyDescent="0.2">
      <c r="A523" s="141"/>
      <c r="B523"/>
      <c r="C523">
        <f>+A518</f>
        <v>10000</v>
      </c>
      <c r="D523" s="206">
        <f>+B518</f>
        <v>3.22</v>
      </c>
      <c r="E523" s="98">
        <f>C523*D523</f>
        <v>32200.000000000004</v>
      </c>
      <c r="F523"/>
      <c r="G523" s="154"/>
      <c r="H523" s="283"/>
      <c r="I523" s="149"/>
      <c r="J523" s="149"/>
      <c r="K523" s="284"/>
      <c r="L523" s="200"/>
      <c r="M523" s="282"/>
      <c r="N523"/>
      <c r="O523"/>
      <c r="P523"/>
      <c r="Q523"/>
      <c r="R523"/>
      <c r="S523"/>
      <c r="T523"/>
      <c r="U523"/>
      <c r="V523"/>
      <c r="W523"/>
      <c r="X523"/>
    </row>
    <row r="524" spans="1:27" s="4" customFormat="1" ht="13.5" thickBot="1" x14ac:dyDescent="0.25">
      <c r="A524"/>
      <c r="B524"/>
      <c r="C524" s="262">
        <f>+A522-C522-C523</f>
        <v>-20000</v>
      </c>
      <c r="D524" s="191">
        <f>G519</f>
        <v>2.14</v>
      </c>
      <c r="E524" s="98">
        <f>C524*D524</f>
        <v>-42800</v>
      </c>
      <c r="F524" s="98"/>
      <c r="G524" s="154" t="s">
        <v>1478</v>
      </c>
      <c r="I524" s="149"/>
      <c r="J524" s="149"/>
      <c r="K524" s="149"/>
      <c r="L524" s="149"/>
      <c r="M524" s="149"/>
      <c r="N524" s="282"/>
      <c r="O524"/>
      <c r="P524"/>
      <c r="Q524"/>
      <c r="R524"/>
      <c r="S524"/>
      <c r="T524"/>
      <c r="U524"/>
      <c r="V524"/>
      <c r="W524"/>
      <c r="X524"/>
      <c r="Y524"/>
    </row>
    <row r="525" spans="1:27" s="4" customFormat="1" x14ac:dyDescent="0.2">
      <c r="A525"/>
      <c r="B525"/>
      <c r="C525">
        <f>SUM(C522:C524)</f>
        <v>0</v>
      </c>
      <c r="D525"/>
      <c r="E525">
        <f>SUM(E522:E524)</f>
        <v>21400</v>
      </c>
      <c r="F525"/>
      <c r="G525" s="410" t="e">
        <f>ROUND(E525/C525,4)</f>
        <v>#DIV/0!</v>
      </c>
      <c r="J525" s="149"/>
      <c r="K525" s="149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</row>
    <row r="526" spans="1:27" ht="13.5" thickBot="1" x14ac:dyDescent="0.25">
      <c r="A526" s="14"/>
      <c r="B526" s="14"/>
      <c r="C526" s="14"/>
      <c r="D526" s="14"/>
      <c r="E526" s="14"/>
      <c r="F526" s="14"/>
      <c r="G526" s="155"/>
      <c r="H526" s="14"/>
      <c r="I526" s="14"/>
    </row>
    <row r="527" spans="1:27" x14ac:dyDescent="0.2">
      <c r="A527" s="4"/>
      <c r="B527" s="4"/>
      <c r="C527" s="4"/>
      <c r="D527" s="4"/>
      <c r="E527" s="4"/>
      <c r="F527" s="4"/>
      <c r="G527" s="156"/>
      <c r="H527" s="4"/>
      <c r="I527" s="4"/>
    </row>
    <row r="528" spans="1:27" x14ac:dyDescent="0.2">
      <c r="A528" s="147"/>
      <c r="B528" s="147"/>
      <c r="C528" s="147"/>
      <c r="D528" s="147"/>
      <c r="E528" s="4"/>
      <c r="F528" s="4"/>
      <c r="G528" s="156"/>
      <c r="H528" s="4"/>
      <c r="I528" s="4"/>
    </row>
    <row r="529" spans="1:9" x14ac:dyDescent="0.2">
      <c r="A529" s="137" t="s">
        <v>2305</v>
      </c>
      <c r="B529" s="145"/>
      <c r="C529" s="145"/>
      <c r="D529" s="145"/>
    </row>
    <row r="530" spans="1:9" x14ac:dyDescent="0.2">
      <c r="A530" s="145">
        <v>10000</v>
      </c>
      <c r="B530" s="207">
        <v>5.22</v>
      </c>
      <c r="C530" s="146" t="s">
        <v>364</v>
      </c>
      <c r="D530" s="145"/>
      <c r="E530" s="554"/>
    </row>
    <row r="532" spans="1:9" x14ac:dyDescent="0.2">
      <c r="E532" s="138" t="s">
        <v>1474</v>
      </c>
      <c r="F532" s="139"/>
      <c r="G532" s="157">
        <f>cgas!$J$5</f>
        <v>2.14</v>
      </c>
    </row>
    <row r="534" spans="1:9" x14ac:dyDescent="0.2">
      <c r="A534" t="s">
        <v>1475</v>
      </c>
      <c r="C534" t="s">
        <v>1417</v>
      </c>
      <c r="D534" t="s">
        <v>1438</v>
      </c>
    </row>
    <row r="535" spans="1:9" x14ac:dyDescent="0.2">
      <c r="A535" s="141">
        <f>SUM(gatherco!I402:I408)+SUM(cgas!I268:I270)</f>
        <v>0</v>
      </c>
      <c r="C535" s="140">
        <f>+A530</f>
        <v>10000</v>
      </c>
      <c r="D535" s="206">
        <f>+B530</f>
        <v>5.22</v>
      </c>
      <c r="E535">
        <f>C535*D535</f>
        <v>52200</v>
      </c>
    </row>
    <row r="536" spans="1:9" ht="13.5" thickBot="1" x14ac:dyDescent="0.25">
      <c r="C536" s="14">
        <f>IF(A535&gt;C535,A535-C535,0)</f>
        <v>0</v>
      </c>
      <c r="D536" s="191">
        <f>G532</f>
        <v>2.14</v>
      </c>
      <c r="E536" s="14">
        <f>C536*D536</f>
        <v>0</v>
      </c>
      <c r="G536" s="154" t="s">
        <v>1478</v>
      </c>
    </row>
    <row r="537" spans="1:9" x14ac:dyDescent="0.2">
      <c r="C537">
        <f>SUM(C535:C536)</f>
        <v>10000</v>
      </c>
      <c r="E537">
        <f>SUM(E535:E536)</f>
        <v>52200</v>
      </c>
      <c r="G537" s="410">
        <f>ROUND(E537/C537,4)</f>
        <v>5.22</v>
      </c>
    </row>
    <row r="538" spans="1:9" ht="13.5" thickBot="1" x14ac:dyDescent="0.25">
      <c r="A538" s="14"/>
      <c r="B538" s="14"/>
      <c r="C538" s="14"/>
      <c r="D538" s="14"/>
      <c r="E538" s="14"/>
      <c r="F538" s="14"/>
      <c r="G538" s="155"/>
      <c r="H538" s="14"/>
      <c r="I538" s="14"/>
    </row>
    <row r="539" spans="1:9" x14ac:dyDescent="0.2">
      <c r="A539" s="22" t="s">
        <v>1046</v>
      </c>
    </row>
    <row r="541" spans="1:9" x14ac:dyDescent="0.2">
      <c r="A541" s="145" t="s">
        <v>1512</v>
      </c>
      <c r="B541" s="403">
        <v>3.37</v>
      </c>
      <c r="C541" s="146" t="s">
        <v>1030</v>
      </c>
      <c r="D541" s="145"/>
      <c r="E541" s="452" t="s">
        <v>1041</v>
      </c>
    </row>
    <row r="542" spans="1:9" x14ac:dyDescent="0.2">
      <c r="B542" s="98"/>
      <c r="C542" s="22"/>
    </row>
    <row r="543" spans="1:9" x14ac:dyDescent="0.2">
      <c r="A543" s="404" t="s">
        <v>1047</v>
      </c>
      <c r="D543" s="138" t="s">
        <v>1048</v>
      </c>
      <c r="F543" s="139"/>
      <c r="G543" s="157">
        <f>cgas!$J$5+0.02</f>
        <v>2.16</v>
      </c>
    </row>
    <row r="545" spans="1:9" x14ac:dyDescent="0.2">
      <c r="A545" t="s">
        <v>1475</v>
      </c>
      <c r="C545" t="s">
        <v>1417</v>
      </c>
      <c r="D545" t="s">
        <v>1438</v>
      </c>
    </row>
    <row r="546" spans="1:9" x14ac:dyDescent="0.2">
      <c r="A546" s="150">
        <f>SUM(cgas!I277:I278)+SUM(gatherco!I417:I424)+SUM(cnr!J257:J261)</f>
        <v>0</v>
      </c>
      <c r="C546" s="152">
        <v>6000</v>
      </c>
      <c r="D546" s="150">
        <v>3.37</v>
      </c>
      <c r="E546" s="150">
        <f>C546*D546</f>
        <v>20220</v>
      </c>
    </row>
    <row r="547" spans="1:9" x14ac:dyDescent="0.2">
      <c r="A547" s="141"/>
      <c r="C547" s="152"/>
      <c r="D547" s="405"/>
      <c r="E547" s="150"/>
    </row>
    <row r="548" spans="1:9" x14ac:dyDescent="0.2">
      <c r="A548" s="141"/>
      <c r="C548" s="406"/>
      <c r="D548" s="405"/>
      <c r="E548" s="150"/>
    </row>
    <row r="549" spans="1:9" ht="13.5" thickBot="1" x14ac:dyDescent="0.25">
      <c r="C549" s="407">
        <f>A546-C546</f>
        <v>-6000</v>
      </c>
      <c r="D549" s="408">
        <f>G543</f>
        <v>2.16</v>
      </c>
      <c r="E549" s="151">
        <f>C549*D549</f>
        <v>-12960</v>
      </c>
      <c r="G549" s="154" t="s">
        <v>1478</v>
      </c>
    </row>
    <row r="550" spans="1:9" x14ac:dyDescent="0.2">
      <c r="C550" s="152">
        <f>SUM(C546:C549)</f>
        <v>0</v>
      </c>
      <c r="E550" s="150">
        <f>SUM(E546:E549)</f>
        <v>7260</v>
      </c>
      <c r="G550" s="410" t="e">
        <f>ROUND(E550/C550,4)</f>
        <v>#DIV/0!</v>
      </c>
    </row>
    <row r="551" spans="1:9" ht="13.5" thickBot="1" x14ac:dyDescent="0.25">
      <c r="A551" s="14"/>
      <c r="B551" s="14"/>
      <c r="C551" s="14"/>
      <c r="D551" s="14"/>
      <c r="E551" s="14"/>
      <c r="F551" s="14"/>
      <c r="G551" s="155"/>
      <c r="H551" s="14"/>
      <c r="I551" s="14"/>
    </row>
    <row r="552" spans="1:9" x14ac:dyDescent="0.2">
      <c r="B552" s="4"/>
      <c r="C552" s="4"/>
      <c r="D552" s="4"/>
      <c r="E552" s="4"/>
      <c r="F552" s="4"/>
      <c r="G552" s="156"/>
      <c r="H552" s="4"/>
      <c r="I552" s="4"/>
    </row>
    <row r="553" spans="1:9" x14ac:dyDescent="0.2">
      <c r="A553" s="22" t="s">
        <v>1054</v>
      </c>
    </row>
    <row r="554" spans="1:9" x14ac:dyDescent="0.2">
      <c r="A554" t="s">
        <v>1055</v>
      </c>
      <c r="D554" s="452" t="s">
        <v>1041</v>
      </c>
    </row>
    <row r="555" spans="1:9" x14ac:dyDescent="0.2">
      <c r="A555" t="s">
        <v>1459</v>
      </c>
    </row>
    <row r="557" spans="1:9" x14ac:dyDescent="0.2">
      <c r="E557" s="138" t="s">
        <v>1474</v>
      </c>
      <c r="F557" s="139"/>
      <c r="G557" s="157">
        <f>+cgas!$J$5</f>
        <v>2.14</v>
      </c>
    </row>
    <row r="559" spans="1:9" x14ac:dyDescent="0.2">
      <c r="A559" t="s">
        <v>1475</v>
      </c>
      <c r="C559" t="s">
        <v>1417</v>
      </c>
      <c r="D559" t="s">
        <v>1438</v>
      </c>
    </row>
    <row r="560" spans="1:9" x14ac:dyDescent="0.2">
      <c r="A560" s="141">
        <v>0</v>
      </c>
      <c r="C560">
        <v>15000</v>
      </c>
      <c r="D560">
        <v>2.4700000000000002</v>
      </c>
      <c r="E560">
        <f>C560*D560</f>
        <v>37050</v>
      </c>
    </row>
    <row r="561" spans="1:9" ht="13.5" thickBot="1" x14ac:dyDescent="0.25">
      <c r="C561" s="14">
        <f>IF(A560&gt;C560,A560-C560,0)</f>
        <v>0</v>
      </c>
      <c r="D561" s="140">
        <f>G557</f>
        <v>2.14</v>
      </c>
      <c r="E561" s="14">
        <f>C561*D561</f>
        <v>0</v>
      </c>
      <c r="G561" s="154" t="s">
        <v>1478</v>
      </c>
    </row>
    <row r="562" spans="1:9" x14ac:dyDescent="0.2">
      <c r="C562">
        <f>SUM(C560:C561)</f>
        <v>15000</v>
      </c>
      <c r="E562">
        <f>SUM(E560:E561)</f>
        <v>37050</v>
      </c>
      <c r="G562" s="410">
        <f>ROUND(E562/C562,4)</f>
        <v>2.4700000000000002</v>
      </c>
    </row>
    <row r="565" spans="1:9" ht="13.5" thickBot="1" x14ac:dyDescent="0.25">
      <c r="A565" s="14"/>
      <c r="B565" s="14"/>
      <c r="C565" s="14"/>
      <c r="D565" s="14"/>
      <c r="E565" s="14"/>
      <c r="F565" s="14"/>
      <c r="G565" s="155"/>
      <c r="H565" s="14"/>
      <c r="I565" s="14"/>
    </row>
    <row r="566" spans="1:9" x14ac:dyDescent="0.2">
      <c r="A566" s="4"/>
    </row>
    <row r="568" spans="1:9" x14ac:dyDescent="0.2">
      <c r="A568" t="s">
        <v>1056</v>
      </c>
    </row>
    <row r="569" spans="1:9" x14ac:dyDescent="0.2">
      <c r="A569" t="s">
        <v>1459</v>
      </c>
    </row>
    <row r="570" spans="1:9" x14ac:dyDescent="0.2">
      <c r="A570" s="145">
        <v>10000</v>
      </c>
      <c r="B570" s="145">
        <v>2.75</v>
      </c>
      <c r="C570" s="146" t="s">
        <v>2041</v>
      </c>
      <c r="D570" s="145"/>
      <c r="E570" s="554" t="s">
        <v>2042</v>
      </c>
      <c r="F570" s="553"/>
    </row>
    <row r="572" spans="1:9" x14ac:dyDescent="0.2">
      <c r="E572" s="138" t="s">
        <v>277</v>
      </c>
      <c r="F572" s="663"/>
      <c r="G572" s="157">
        <f>+cgas!$J$5</f>
        <v>2.14</v>
      </c>
    </row>
    <row r="574" spans="1:9" x14ac:dyDescent="0.2">
      <c r="A574" t="s">
        <v>1475</v>
      </c>
      <c r="C574" t="s">
        <v>1417</v>
      </c>
      <c r="D574" t="s">
        <v>1438</v>
      </c>
    </row>
    <row r="575" spans="1:9" x14ac:dyDescent="0.2">
      <c r="A575" s="141">
        <f>SUM(gatherco!I469:I478)+SUM(cgas!I309)</f>
        <v>0</v>
      </c>
      <c r="C575">
        <v>10000</v>
      </c>
      <c r="D575" s="98">
        <f>+B570</f>
        <v>2.75</v>
      </c>
      <c r="E575">
        <f>C575*D575</f>
        <v>27500</v>
      </c>
    </row>
    <row r="576" spans="1:9" ht="13.5" thickBot="1" x14ac:dyDescent="0.25">
      <c r="C576" s="14">
        <f>A575-C575</f>
        <v>-10000</v>
      </c>
      <c r="D576" s="140">
        <f>G572</f>
        <v>2.14</v>
      </c>
      <c r="E576" s="14">
        <f>C576*D576</f>
        <v>-21400</v>
      </c>
      <c r="G576" s="154" t="s">
        <v>1478</v>
      </c>
    </row>
    <row r="577" spans="1:9" x14ac:dyDescent="0.2">
      <c r="C577">
        <f>SUM(C575:C576)</f>
        <v>0</v>
      </c>
      <c r="E577">
        <f>SUM(E575:E576)</f>
        <v>6100</v>
      </c>
      <c r="G577" s="410" t="e">
        <f>ROUND(E577/C577,4)</f>
        <v>#DIV/0!</v>
      </c>
    </row>
    <row r="578" spans="1:9" ht="13.5" thickBot="1" x14ac:dyDescent="0.25">
      <c r="A578" s="14"/>
      <c r="B578" s="14"/>
      <c r="C578" s="14"/>
      <c r="D578" s="14"/>
      <c r="E578" s="14"/>
      <c r="F578" s="14"/>
      <c r="G578" s="155"/>
      <c r="H578" s="14"/>
      <c r="I578" s="14"/>
    </row>
    <row r="579" spans="1:9" x14ac:dyDescent="0.2">
      <c r="A579" s="4"/>
      <c r="B579" s="4"/>
      <c r="C579" s="4"/>
      <c r="D579" s="4"/>
      <c r="E579" s="4"/>
      <c r="F579" s="4"/>
      <c r="G579" s="156"/>
      <c r="H579" s="4"/>
      <c r="I579" s="4"/>
    </row>
    <row r="580" spans="1:9" x14ac:dyDescent="0.2">
      <c r="A580" s="4"/>
      <c r="B580" s="4"/>
      <c r="C580" s="4"/>
      <c r="D580" s="4"/>
      <c r="E580" s="135"/>
      <c r="F580" s="135"/>
      <c r="G580" s="538"/>
      <c r="H580" s="135"/>
      <c r="I580" s="4"/>
    </row>
    <row r="581" spans="1:9" x14ac:dyDescent="0.2">
      <c r="A581" s="187" t="s">
        <v>1804</v>
      </c>
      <c r="B581" s="145"/>
      <c r="E581" s="135"/>
      <c r="F581" s="135"/>
      <c r="G581" s="538"/>
      <c r="H581" s="135"/>
    </row>
    <row r="582" spans="1:9" x14ac:dyDescent="0.2">
      <c r="C582" s="22"/>
      <c r="D582" s="74"/>
      <c r="E582" s="539"/>
      <c r="F582" s="135"/>
      <c r="G582" s="539"/>
      <c r="H582" s="135"/>
    </row>
    <row r="583" spans="1:9" x14ac:dyDescent="0.2">
      <c r="A583" s="145">
        <v>10000</v>
      </c>
      <c r="B583" s="145">
        <v>3.28</v>
      </c>
      <c r="C583" s="576">
        <v>37165</v>
      </c>
      <c r="D583" s="554" t="s">
        <v>452</v>
      </c>
      <c r="E583" s="577"/>
      <c r="F583" s="135"/>
      <c r="G583" s="539"/>
      <c r="H583" s="135"/>
    </row>
    <row r="584" spans="1:9" x14ac:dyDescent="0.2">
      <c r="A584" s="145">
        <v>10000</v>
      </c>
      <c r="B584" s="145">
        <v>3.54</v>
      </c>
      <c r="C584" s="576">
        <v>37165</v>
      </c>
      <c r="D584" s="452" t="s">
        <v>452</v>
      </c>
      <c r="E584" s="893"/>
      <c r="F584" s="135"/>
      <c r="G584" s="539"/>
      <c r="H584" s="135"/>
    </row>
    <row r="585" spans="1:9" x14ac:dyDescent="0.2">
      <c r="A585" s="145">
        <v>0</v>
      </c>
      <c r="B585" s="403">
        <v>0</v>
      </c>
      <c r="C585" s="576">
        <v>37165</v>
      </c>
      <c r="D585" s="554" t="s">
        <v>452</v>
      </c>
      <c r="E585" s="577"/>
      <c r="F585" s="135"/>
      <c r="G585" s="539"/>
      <c r="H585" s="135"/>
    </row>
    <row r="586" spans="1:9" x14ac:dyDescent="0.2">
      <c r="A586" t="s">
        <v>1459</v>
      </c>
    </row>
    <row r="587" spans="1:9" x14ac:dyDescent="0.2">
      <c r="E587" s="138" t="s">
        <v>1474</v>
      </c>
      <c r="F587" s="139"/>
      <c r="G587" s="157">
        <f>cgas!$J$5</f>
        <v>2.14</v>
      </c>
    </row>
    <row r="589" spans="1:9" x14ac:dyDescent="0.2">
      <c r="A589" t="s">
        <v>1475</v>
      </c>
      <c r="C589" t="s">
        <v>1417</v>
      </c>
      <c r="D589" t="s">
        <v>1438</v>
      </c>
    </row>
    <row r="590" spans="1:9" x14ac:dyDescent="0.2">
      <c r="A590" s="141">
        <f>SUM(cnr!J267:J272)+SUM(cgas!I313:I318)</f>
        <v>0</v>
      </c>
      <c r="C590">
        <f>+A583</f>
        <v>10000</v>
      </c>
      <c r="D590" s="136">
        <f>B583</f>
        <v>3.28</v>
      </c>
      <c r="E590" s="98">
        <f>C590*D590</f>
        <v>32800</v>
      </c>
    </row>
    <row r="591" spans="1:9" x14ac:dyDescent="0.2">
      <c r="C591" s="707">
        <f>+A584</f>
        <v>10000</v>
      </c>
      <c r="D591" s="203">
        <f>B584</f>
        <v>3.54</v>
      </c>
      <c r="E591" s="98">
        <f>C591*D591</f>
        <v>35400</v>
      </c>
      <c r="G591" s="154" t="s">
        <v>1478</v>
      </c>
    </row>
    <row r="592" spans="1:9" x14ac:dyDescent="0.2">
      <c r="C592" s="706">
        <f>+A585</f>
        <v>0</v>
      </c>
      <c r="D592" s="203">
        <f>B585</f>
        <v>0</v>
      </c>
      <c r="E592" s="98">
        <f>C592*D592</f>
        <v>0</v>
      </c>
    </row>
    <row r="593" spans="1:9" ht="13.5" thickBot="1" x14ac:dyDescent="0.25">
      <c r="C593" s="705">
        <f>+A590-C590-C591-C592</f>
        <v>-20000</v>
      </c>
      <c r="D593" s="203">
        <f>G587</f>
        <v>2.14</v>
      </c>
      <c r="E593" s="189">
        <f>C593*D593</f>
        <v>-42800</v>
      </c>
    </row>
    <row r="594" spans="1:9" x14ac:dyDescent="0.2">
      <c r="C594">
        <f>SUM(C590:C593)</f>
        <v>0</v>
      </c>
      <c r="D594" s="704"/>
      <c r="E594" s="98">
        <f>SUM(E590:E593)</f>
        <v>25400</v>
      </c>
      <c r="G594" s="410" t="e">
        <f>ROUND(E594/C594,4)</f>
        <v>#DIV/0!</v>
      </c>
    </row>
    <row r="595" spans="1:9" ht="13.5" thickBot="1" x14ac:dyDescent="0.25">
      <c r="A595" s="14"/>
      <c r="B595" s="14"/>
      <c r="C595" s="14"/>
      <c r="D595" s="14"/>
      <c r="E595" s="14"/>
      <c r="F595" s="14"/>
      <c r="G595" s="155"/>
      <c r="H595" s="14"/>
      <c r="I595" s="14"/>
    </row>
    <row r="596" spans="1:9" x14ac:dyDescent="0.2">
      <c r="A596" s="4"/>
      <c r="B596" s="4"/>
      <c r="C596" s="4"/>
      <c r="D596" s="4"/>
      <c r="E596" s="4"/>
      <c r="F596" s="4"/>
      <c r="G596" s="156"/>
      <c r="H596" s="4"/>
      <c r="I596" s="4"/>
    </row>
  </sheetData>
  <phoneticPr fontId="0" type="noConversion"/>
  <pageMargins left="0.75" right="0.75" top="1" bottom="1" header="0.5" footer="0.5"/>
  <pageSetup orientation="landscape" r:id="rId1"/>
  <headerFooter alignWithMargins="0">
    <oddHeader>&amp;L&amp;F &amp;D&amp;C&amp;A</oddHeader>
    <oddFooter>&amp;CPage &amp;P&amp;R&amp;D 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topLeftCell="A226" workbookViewId="0">
      <selection activeCell="B1" sqref="B1:C243"/>
    </sheetView>
  </sheetViews>
  <sheetFormatPr defaultRowHeight="12.75" x14ac:dyDescent="0.2"/>
  <cols>
    <col min="1" max="1" width="15.5703125" bestFit="1" customWidth="1"/>
  </cols>
  <sheetData>
    <row r="1" spans="1:3" x14ac:dyDescent="0.2">
      <c r="A1" t="s">
        <v>1364</v>
      </c>
      <c r="B1">
        <v>0</v>
      </c>
      <c r="C1">
        <v>0</v>
      </c>
    </row>
    <row r="2" spans="1:3" x14ac:dyDescent="0.2">
      <c r="A2" t="s">
        <v>2281</v>
      </c>
      <c r="B2">
        <v>0</v>
      </c>
      <c r="C2">
        <v>0</v>
      </c>
    </row>
    <row r="3" spans="1:3" x14ac:dyDescent="0.2">
      <c r="A3" t="s">
        <v>1096</v>
      </c>
      <c r="B3">
        <v>0</v>
      </c>
      <c r="C3">
        <v>0</v>
      </c>
    </row>
    <row r="4" spans="1:3" x14ac:dyDescent="0.2">
      <c r="A4" t="s">
        <v>22</v>
      </c>
      <c r="B4">
        <v>0</v>
      </c>
      <c r="C4">
        <v>0</v>
      </c>
    </row>
    <row r="5" spans="1:3" x14ac:dyDescent="0.2">
      <c r="A5" t="s">
        <v>26</v>
      </c>
      <c r="B5">
        <v>0</v>
      </c>
      <c r="C5">
        <v>0</v>
      </c>
    </row>
    <row r="6" spans="1:3" x14ac:dyDescent="0.2">
      <c r="A6" t="s">
        <v>27</v>
      </c>
      <c r="B6">
        <v>0</v>
      </c>
      <c r="C6">
        <v>0</v>
      </c>
    </row>
    <row r="7" spans="1:3" x14ac:dyDescent="0.2">
      <c r="A7" t="s">
        <v>2094</v>
      </c>
      <c r="B7">
        <v>0</v>
      </c>
      <c r="C7">
        <v>0</v>
      </c>
    </row>
    <row r="8" spans="1:3" x14ac:dyDescent="0.2">
      <c r="A8" t="s">
        <v>2097</v>
      </c>
      <c r="B8">
        <v>0</v>
      </c>
      <c r="C8">
        <v>0</v>
      </c>
    </row>
    <row r="9" spans="1:3" x14ac:dyDescent="0.2">
      <c r="A9" t="s">
        <v>28</v>
      </c>
      <c r="B9">
        <v>0</v>
      </c>
      <c r="C9">
        <v>0</v>
      </c>
    </row>
    <row r="10" spans="1:3" x14ac:dyDescent="0.2">
      <c r="A10" t="s">
        <v>33</v>
      </c>
      <c r="B10">
        <v>0</v>
      </c>
      <c r="C10">
        <v>0</v>
      </c>
    </row>
    <row r="11" spans="1:3" x14ac:dyDescent="0.2">
      <c r="A11" t="s">
        <v>1104</v>
      </c>
      <c r="B11">
        <v>0</v>
      </c>
      <c r="C11">
        <v>0</v>
      </c>
    </row>
    <row r="12" spans="1:3" x14ac:dyDescent="0.2">
      <c r="A12" t="s">
        <v>2098</v>
      </c>
      <c r="B12">
        <v>0</v>
      </c>
      <c r="C12">
        <v>0</v>
      </c>
    </row>
    <row r="13" spans="1:3" x14ac:dyDescent="0.2">
      <c r="A13" t="s">
        <v>1106</v>
      </c>
      <c r="B13">
        <v>0</v>
      </c>
      <c r="C13">
        <v>0</v>
      </c>
    </row>
    <row r="14" spans="1:3" x14ac:dyDescent="0.2">
      <c r="A14" t="s">
        <v>255</v>
      </c>
      <c r="B14">
        <v>0</v>
      </c>
      <c r="C14">
        <v>0</v>
      </c>
    </row>
    <row r="15" spans="1:3" x14ac:dyDescent="0.2">
      <c r="A15" t="s">
        <v>1107</v>
      </c>
      <c r="B15">
        <v>0</v>
      </c>
      <c r="C15">
        <v>0</v>
      </c>
    </row>
    <row r="16" spans="1:3" x14ac:dyDescent="0.2">
      <c r="A16" t="s">
        <v>63</v>
      </c>
      <c r="B16">
        <v>0</v>
      </c>
      <c r="C16">
        <v>0</v>
      </c>
    </row>
    <row r="17" spans="1:3" x14ac:dyDescent="0.2">
      <c r="A17" t="s">
        <v>1109</v>
      </c>
      <c r="B17">
        <v>0</v>
      </c>
      <c r="C17">
        <v>0</v>
      </c>
    </row>
    <row r="18" spans="1:3" x14ac:dyDescent="0.2">
      <c r="A18" t="s">
        <v>1111</v>
      </c>
      <c r="B18">
        <v>0</v>
      </c>
      <c r="C18">
        <v>0</v>
      </c>
    </row>
    <row r="19" spans="1:3" x14ac:dyDescent="0.2">
      <c r="A19" t="s">
        <v>75</v>
      </c>
      <c r="B19">
        <v>0</v>
      </c>
      <c r="C19">
        <v>0</v>
      </c>
    </row>
    <row r="20" spans="1:3" x14ac:dyDescent="0.2">
      <c r="A20" t="s">
        <v>1112</v>
      </c>
      <c r="B20">
        <v>0</v>
      </c>
      <c r="C20">
        <v>0</v>
      </c>
    </row>
    <row r="21" spans="1:3" x14ac:dyDescent="0.2">
      <c r="A21" t="s">
        <v>1114</v>
      </c>
      <c r="B21">
        <v>0</v>
      </c>
      <c r="C21">
        <v>0</v>
      </c>
    </row>
    <row r="22" spans="1:3" x14ac:dyDescent="0.2">
      <c r="A22" t="s">
        <v>1115</v>
      </c>
      <c r="B22">
        <v>0</v>
      </c>
      <c r="C22">
        <v>0</v>
      </c>
    </row>
    <row r="23" spans="1:3" x14ac:dyDescent="0.2">
      <c r="A23" t="s">
        <v>1116</v>
      </c>
      <c r="B23">
        <v>0</v>
      </c>
      <c r="C23">
        <v>0</v>
      </c>
    </row>
    <row r="24" spans="1:3" x14ac:dyDescent="0.2">
      <c r="A24" t="s">
        <v>77</v>
      </c>
      <c r="B24">
        <v>0</v>
      </c>
      <c r="C24">
        <v>0</v>
      </c>
    </row>
    <row r="25" spans="1:3" x14ac:dyDescent="0.2">
      <c r="A25" t="s">
        <v>2101</v>
      </c>
      <c r="B25">
        <v>0</v>
      </c>
      <c r="C25">
        <v>0</v>
      </c>
    </row>
    <row r="26" spans="1:3" x14ac:dyDescent="0.2">
      <c r="A26" t="s">
        <v>1117</v>
      </c>
      <c r="B26">
        <v>0</v>
      </c>
      <c r="C26">
        <v>0</v>
      </c>
    </row>
    <row r="27" spans="1:3" x14ac:dyDescent="0.2">
      <c r="A27" t="s">
        <v>1118</v>
      </c>
      <c r="B27">
        <v>0</v>
      </c>
      <c r="C27">
        <v>0</v>
      </c>
    </row>
    <row r="28" spans="1:3" x14ac:dyDescent="0.2">
      <c r="A28" t="s">
        <v>1119</v>
      </c>
      <c r="B28">
        <v>0</v>
      </c>
      <c r="C28">
        <v>0</v>
      </c>
    </row>
    <row r="29" spans="1:3" x14ac:dyDescent="0.2">
      <c r="A29" t="s">
        <v>80</v>
      </c>
      <c r="B29">
        <v>0</v>
      </c>
      <c r="C29">
        <v>0</v>
      </c>
    </row>
    <row r="30" spans="1:3" x14ac:dyDescent="0.2">
      <c r="A30" t="s">
        <v>1366</v>
      </c>
      <c r="B30">
        <v>0</v>
      </c>
      <c r="C30">
        <v>0</v>
      </c>
    </row>
    <row r="31" spans="1:3" x14ac:dyDescent="0.2">
      <c r="A31" t="s">
        <v>1120</v>
      </c>
      <c r="B31">
        <v>0</v>
      </c>
      <c r="C31">
        <v>0</v>
      </c>
    </row>
    <row r="32" spans="1:3" x14ac:dyDescent="0.2">
      <c r="A32" t="s">
        <v>82</v>
      </c>
      <c r="B32">
        <v>0</v>
      </c>
      <c r="C32">
        <v>0</v>
      </c>
    </row>
    <row r="33" spans="1:3" x14ac:dyDescent="0.2">
      <c r="A33" t="s">
        <v>1121</v>
      </c>
      <c r="B33">
        <v>0</v>
      </c>
      <c r="C33">
        <v>0</v>
      </c>
    </row>
    <row r="34" spans="1:3" x14ac:dyDescent="0.2">
      <c r="A34" t="s">
        <v>1123</v>
      </c>
      <c r="B34">
        <v>0</v>
      </c>
      <c r="C34">
        <v>0</v>
      </c>
    </row>
    <row r="35" spans="1:3" x14ac:dyDescent="0.2">
      <c r="A35" t="s">
        <v>1124</v>
      </c>
      <c r="B35">
        <v>0</v>
      </c>
      <c r="C35">
        <v>0</v>
      </c>
    </row>
    <row r="36" spans="1:3" x14ac:dyDescent="0.2">
      <c r="A36" t="s">
        <v>97</v>
      </c>
      <c r="B36">
        <v>0</v>
      </c>
      <c r="C36">
        <v>0</v>
      </c>
    </row>
    <row r="37" spans="1:3" x14ac:dyDescent="0.2">
      <c r="A37" t="s">
        <v>98</v>
      </c>
      <c r="B37">
        <v>0</v>
      </c>
      <c r="C37">
        <v>0</v>
      </c>
    </row>
    <row r="38" spans="1:3" x14ac:dyDescent="0.2">
      <c r="A38" t="s">
        <v>1127</v>
      </c>
      <c r="B38">
        <v>0</v>
      </c>
      <c r="C38">
        <v>0</v>
      </c>
    </row>
    <row r="39" spans="1:3" x14ac:dyDescent="0.2">
      <c r="A39" t="s">
        <v>102</v>
      </c>
      <c r="B39">
        <v>0</v>
      </c>
      <c r="C39">
        <v>0</v>
      </c>
    </row>
    <row r="40" spans="1:3" x14ac:dyDescent="0.2">
      <c r="A40" t="s">
        <v>103</v>
      </c>
      <c r="B40">
        <v>0</v>
      </c>
      <c r="C40">
        <v>0</v>
      </c>
    </row>
    <row r="41" spans="1:3" x14ac:dyDescent="0.2">
      <c r="A41" t="s">
        <v>1129</v>
      </c>
      <c r="B41">
        <v>0</v>
      </c>
      <c r="C41">
        <v>0</v>
      </c>
    </row>
    <row r="42" spans="1:3" x14ac:dyDescent="0.2">
      <c r="A42" t="s">
        <v>1144</v>
      </c>
      <c r="B42">
        <v>0</v>
      </c>
      <c r="C42">
        <v>0</v>
      </c>
    </row>
    <row r="43" spans="1:3" x14ac:dyDescent="0.2">
      <c r="A43" t="s">
        <v>104</v>
      </c>
      <c r="B43">
        <v>0</v>
      </c>
      <c r="C43">
        <v>0</v>
      </c>
    </row>
    <row r="44" spans="1:3" x14ac:dyDescent="0.2">
      <c r="A44" t="s">
        <v>1076</v>
      </c>
      <c r="B44">
        <v>0</v>
      </c>
      <c r="C44">
        <v>0</v>
      </c>
    </row>
    <row r="45" spans="1:3" x14ac:dyDescent="0.2">
      <c r="A45" t="s">
        <v>1145</v>
      </c>
      <c r="B45">
        <v>0</v>
      </c>
      <c r="C45">
        <v>0</v>
      </c>
    </row>
    <row r="46" spans="1:3" x14ac:dyDescent="0.2">
      <c r="A46" t="s">
        <v>1146</v>
      </c>
      <c r="B46">
        <v>0</v>
      </c>
      <c r="C46">
        <v>0</v>
      </c>
    </row>
    <row r="47" spans="1:3" x14ac:dyDescent="0.2">
      <c r="A47" t="s">
        <v>1149</v>
      </c>
      <c r="B47">
        <v>0</v>
      </c>
      <c r="C47">
        <v>0</v>
      </c>
    </row>
    <row r="48" spans="1:3" x14ac:dyDescent="0.2">
      <c r="A48" t="s">
        <v>1157</v>
      </c>
      <c r="B48">
        <v>0</v>
      </c>
      <c r="C48">
        <v>0</v>
      </c>
    </row>
    <row r="49" spans="1:3" x14ac:dyDescent="0.2">
      <c r="A49" t="s">
        <v>1761</v>
      </c>
      <c r="B49">
        <v>0</v>
      </c>
      <c r="C49">
        <v>0</v>
      </c>
    </row>
    <row r="50" spans="1:3" x14ac:dyDescent="0.2">
      <c r="A50" t="s">
        <v>1367</v>
      </c>
      <c r="B50">
        <v>0</v>
      </c>
      <c r="C50">
        <v>0</v>
      </c>
    </row>
    <row r="51" spans="1:3" x14ac:dyDescent="0.2">
      <c r="A51" t="s">
        <v>1832</v>
      </c>
      <c r="B51">
        <v>0</v>
      </c>
      <c r="C51">
        <v>0</v>
      </c>
    </row>
    <row r="52" spans="1:3" x14ac:dyDescent="0.2">
      <c r="A52" t="s">
        <v>1834</v>
      </c>
      <c r="B52">
        <v>0</v>
      </c>
      <c r="C52">
        <v>0</v>
      </c>
    </row>
    <row r="53" spans="1:3" x14ac:dyDescent="0.2">
      <c r="A53" t="s">
        <v>1762</v>
      </c>
      <c r="B53">
        <v>0</v>
      </c>
      <c r="C53">
        <v>0</v>
      </c>
    </row>
    <row r="54" spans="1:3" x14ac:dyDescent="0.2">
      <c r="A54" t="s">
        <v>948</v>
      </c>
      <c r="B54">
        <v>0</v>
      </c>
      <c r="C54">
        <v>0</v>
      </c>
    </row>
    <row r="55" spans="1:3" x14ac:dyDescent="0.2">
      <c r="A55" t="s">
        <v>1763</v>
      </c>
      <c r="B55">
        <v>0</v>
      </c>
      <c r="C55">
        <v>0</v>
      </c>
    </row>
    <row r="56" spans="1:3" x14ac:dyDescent="0.2">
      <c r="A56" t="s">
        <v>125</v>
      </c>
      <c r="B56">
        <v>0</v>
      </c>
      <c r="C56">
        <v>0</v>
      </c>
    </row>
    <row r="57" spans="1:3" x14ac:dyDescent="0.2">
      <c r="A57" t="s">
        <v>1870</v>
      </c>
      <c r="B57">
        <v>0</v>
      </c>
      <c r="C57">
        <v>0</v>
      </c>
    </row>
    <row r="58" spans="1:3" x14ac:dyDescent="0.2">
      <c r="A58" t="s">
        <v>1872</v>
      </c>
      <c r="B58">
        <v>0</v>
      </c>
      <c r="C58">
        <v>0</v>
      </c>
    </row>
    <row r="59" spans="1:3" x14ac:dyDescent="0.2">
      <c r="A59" t="s">
        <v>1873</v>
      </c>
      <c r="B59">
        <v>0</v>
      </c>
      <c r="C59">
        <v>0</v>
      </c>
    </row>
    <row r="60" spans="1:3" x14ac:dyDescent="0.2">
      <c r="A60" t="s">
        <v>1874</v>
      </c>
      <c r="B60">
        <v>0</v>
      </c>
      <c r="C60">
        <v>0</v>
      </c>
    </row>
    <row r="61" spans="1:3" x14ac:dyDescent="0.2">
      <c r="A61" t="s">
        <v>1875</v>
      </c>
      <c r="B61">
        <v>0</v>
      </c>
      <c r="C61">
        <v>0</v>
      </c>
    </row>
    <row r="62" spans="1:3" x14ac:dyDescent="0.2">
      <c r="A62" t="s">
        <v>1876</v>
      </c>
      <c r="B62">
        <v>0</v>
      </c>
      <c r="C62">
        <v>0</v>
      </c>
    </row>
    <row r="63" spans="1:3" x14ac:dyDescent="0.2">
      <c r="A63" t="s">
        <v>1158</v>
      </c>
      <c r="B63">
        <v>0</v>
      </c>
      <c r="C63">
        <v>0</v>
      </c>
    </row>
    <row r="64" spans="1:3" x14ac:dyDescent="0.2">
      <c r="A64" t="s">
        <v>1159</v>
      </c>
      <c r="B64">
        <v>0</v>
      </c>
      <c r="C64">
        <v>0</v>
      </c>
    </row>
    <row r="65" spans="1:3" x14ac:dyDescent="0.2">
      <c r="A65" t="s">
        <v>1160</v>
      </c>
      <c r="B65">
        <v>0</v>
      </c>
      <c r="C65">
        <v>0</v>
      </c>
    </row>
    <row r="66" spans="1:3" x14ac:dyDescent="0.2">
      <c r="A66" t="s">
        <v>1163</v>
      </c>
      <c r="B66">
        <v>0</v>
      </c>
      <c r="C66">
        <v>0</v>
      </c>
    </row>
    <row r="67" spans="1:3" x14ac:dyDescent="0.2">
      <c r="A67" t="s">
        <v>1165</v>
      </c>
      <c r="B67">
        <v>0</v>
      </c>
      <c r="C67">
        <v>0</v>
      </c>
    </row>
    <row r="68" spans="1:3" x14ac:dyDescent="0.2">
      <c r="A68" t="s">
        <v>1166</v>
      </c>
      <c r="B68">
        <v>0</v>
      </c>
      <c r="C68">
        <v>0</v>
      </c>
    </row>
    <row r="69" spans="1:3" x14ac:dyDescent="0.2">
      <c r="A69" t="s">
        <v>1167</v>
      </c>
      <c r="B69">
        <v>0</v>
      </c>
      <c r="C69">
        <v>0</v>
      </c>
    </row>
    <row r="70" spans="1:3" x14ac:dyDescent="0.2">
      <c r="A70" t="s">
        <v>1079</v>
      </c>
      <c r="B70">
        <v>0</v>
      </c>
      <c r="C70">
        <v>0</v>
      </c>
    </row>
    <row r="71" spans="1:3" x14ac:dyDescent="0.2">
      <c r="A71" t="s">
        <v>1168</v>
      </c>
      <c r="B71">
        <v>0</v>
      </c>
      <c r="C71">
        <v>0</v>
      </c>
    </row>
    <row r="72" spans="1:3" x14ac:dyDescent="0.2">
      <c r="A72" t="s">
        <v>1170</v>
      </c>
      <c r="B72">
        <v>0</v>
      </c>
      <c r="C72">
        <v>0</v>
      </c>
    </row>
    <row r="73" spans="1:3" x14ac:dyDescent="0.2">
      <c r="A73" t="s">
        <v>1172</v>
      </c>
      <c r="B73">
        <v>0</v>
      </c>
      <c r="C73">
        <v>0</v>
      </c>
    </row>
    <row r="74" spans="1:3" x14ac:dyDescent="0.2">
      <c r="A74" t="s">
        <v>1173</v>
      </c>
      <c r="B74">
        <v>0</v>
      </c>
      <c r="C74">
        <v>0</v>
      </c>
    </row>
    <row r="75" spans="1:3" x14ac:dyDescent="0.2">
      <c r="A75" t="s">
        <v>1174</v>
      </c>
      <c r="B75">
        <v>0</v>
      </c>
      <c r="C75">
        <v>0</v>
      </c>
    </row>
    <row r="76" spans="1:3" x14ac:dyDescent="0.2">
      <c r="A76" t="s">
        <v>1176</v>
      </c>
      <c r="B76">
        <v>0</v>
      </c>
      <c r="C76">
        <v>0</v>
      </c>
    </row>
    <row r="77" spans="1:3" x14ac:dyDescent="0.2">
      <c r="A77" t="s">
        <v>910</v>
      </c>
      <c r="B77">
        <v>0</v>
      </c>
      <c r="C77">
        <v>0</v>
      </c>
    </row>
    <row r="78" spans="1:3" x14ac:dyDescent="0.2">
      <c r="A78" t="s">
        <v>911</v>
      </c>
      <c r="B78">
        <v>0</v>
      </c>
      <c r="C78">
        <v>0</v>
      </c>
    </row>
    <row r="79" spans="1:3" x14ac:dyDescent="0.2">
      <c r="A79" t="s">
        <v>550</v>
      </c>
      <c r="B79">
        <v>0</v>
      </c>
      <c r="C79">
        <v>0</v>
      </c>
    </row>
    <row r="80" spans="1:3" x14ac:dyDescent="0.2">
      <c r="A80" t="s">
        <v>2280</v>
      </c>
      <c r="B80">
        <v>0</v>
      </c>
      <c r="C80">
        <v>0</v>
      </c>
    </row>
    <row r="81" spans="1:3" x14ac:dyDescent="0.2">
      <c r="A81" t="s">
        <v>947</v>
      </c>
      <c r="B81">
        <v>0</v>
      </c>
      <c r="C81">
        <v>0</v>
      </c>
    </row>
    <row r="82" spans="1:3" x14ac:dyDescent="0.2">
      <c r="A82" t="s">
        <v>551</v>
      </c>
      <c r="B82">
        <v>0</v>
      </c>
      <c r="C82">
        <v>0</v>
      </c>
    </row>
    <row r="83" spans="1:3" x14ac:dyDescent="0.2">
      <c r="A83" t="s">
        <v>1932</v>
      </c>
      <c r="B83">
        <v>0</v>
      </c>
      <c r="C83">
        <v>0</v>
      </c>
    </row>
    <row r="84" spans="1:3" x14ac:dyDescent="0.2">
      <c r="A84" t="s">
        <v>152</v>
      </c>
      <c r="B84">
        <v>0</v>
      </c>
      <c r="C84">
        <v>0</v>
      </c>
    </row>
    <row r="85" spans="1:3" x14ac:dyDescent="0.2">
      <c r="A85" t="s">
        <v>153</v>
      </c>
      <c r="B85">
        <v>0</v>
      </c>
      <c r="C85">
        <v>0</v>
      </c>
    </row>
    <row r="86" spans="1:3" x14ac:dyDescent="0.2">
      <c r="A86" t="s">
        <v>1178</v>
      </c>
      <c r="B86">
        <v>0</v>
      </c>
      <c r="C86">
        <v>0</v>
      </c>
    </row>
    <row r="87" spans="1:3" x14ac:dyDescent="0.2">
      <c r="A87" t="s">
        <v>1180</v>
      </c>
      <c r="B87">
        <v>0</v>
      </c>
      <c r="C87">
        <v>0</v>
      </c>
    </row>
    <row r="88" spans="1:3" x14ac:dyDescent="0.2">
      <c r="A88" t="s">
        <v>1183</v>
      </c>
      <c r="B88">
        <v>0</v>
      </c>
      <c r="C88">
        <v>0</v>
      </c>
    </row>
    <row r="89" spans="1:3" x14ac:dyDescent="0.2">
      <c r="A89" t="s">
        <v>123</v>
      </c>
      <c r="B89">
        <v>0</v>
      </c>
      <c r="C89">
        <v>0</v>
      </c>
    </row>
    <row r="90" spans="1:3" x14ac:dyDescent="0.2">
      <c r="A90" t="s">
        <v>1185</v>
      </c>
      <c r="B90">
        <v>0</v>
      </c>
      <c r="C90">
        <v>0</v>
      </c>
    </row>
    <row r="91" spans="1:3" x14ac:dyDescent="0.2">
      <c r="A91" t="s">
        <v>1187</v>
      </c>
      <c r="B91">
        <v>0</v>
      </c>
      <c r="C91">
        <v>0</v>
      </c>
    </row>
    <row r="92" spans="1:3" x14ac:dyDescent="0.2">
      <c r="A92" t="s">
        <v>1189</v>
      </c>
      <c r="B92">
        <v>0</v>
      </c>
      <c r="C92">
        <v>0</v>
      </c>
    </row>
    <row r="93" spans="1:3" x14ac:dyDescent="0.2">
      <c r="A93" t="s">
        <v>1195</v>
      </c>
      <c r="B93">
        <v>0</v>
      </c>
      <c r="C93">
        <v>0</v>
      </c>
    </row>
    <row r="94" spans="1:3" x14ac:dyDescent="0.2">
      <c r="A94" t="s">
        <v>1196</v>
      </c>
      <c r="B94">
        <v>0</v>
      </c>
      <c r="C94">
        <v>0</v>
      </c>
    </row>
    <row r="95" spans="1:3" x14ac:dyDescent="0.2">
      <c r="A95" t="s">
        <v>1199</v>
      </c>
      <c r="B95">
        <v>0</v>
      </c>
      <c r="C95">
        <v>0</v>
      </c>
    </row>
    <row r="96" spans="1:3" x14ac:dyDescent="0.2">
      <c r="A96" t="s">
        <v>1263</v>
      </c>
      <c r="B96">
        <v>0</v>
      </c>
      <c r="C96">
        <v>0</v>
      </c>
    </row>
    <row r="97" spans="1:3" x14ac:dyDescent="0.2">
      <c r="A97" t="s">
        <v>1265</v>
      </c>
      <c r="B97">
        <v>0</v>
      </c>
      <c r="C97">
        <v>0</v>
      </c>
    </row>
    <row r="98" spans="1:3" x14ac:dyDescent="0.2">
      <c r="A98" t="s">
        <v>1266</v>
      </c>
      <c r="B98">
        <v>0</v>
      </c>
      <c r="C98">
        <v>0</v>
      </c>
    </row>
    <row r="99" spans="1:3" x14ac:dyDescent="0.2">
      <c r="A99" t="s">
        <v>1268</v>
      </c>
      <c r="B99">
        <v>0</v>
      </c>
      <c r="C99">
        <v>0</v>
      </c>
    </row>
    <row r="100" spans="1:3" x14ac:dyDescent="0.2">
      <c r="A100" t="s">
        <v>1368</v>
      </c>
      <c r="B100">
        <v>0</v>
      </c>
      <c r="C100">
        <v>0</v>
      </c>
    </row>
    <row r="101" spans="1:3" x14ac:dyDescent="0.2">
      <c r="A101" t="s">
        <v>64</v>
      </c>
      <c r="B101">
        <v>0</v>
      </c>
      <c r="C101">
        <v>0</v>
      </c>
    </row>
    <row r="102" spans="1:3" x14ac:dyDescent="0.2">
      <c r="A102" t="s">
        <v>41</v>
      </c>
      <c r="B102">
        <v>0</v>
      </c>
      <c r="C102">
        <v>0</v>
      </c>
    </row>
    <row r="103" spans="1:3" x14ac:dyDescent="0.2">
      <c r="A103" t="s">
        <v>1270</v>
      </c>
      <c r="B103">
        <v>0</v>
      </c>
      <c r="C103">
        <v>0</v>
      </c>
    </row>
    <row r="104" spans="1:3" x14ac:dyDescent="0.2">
      <c r="A104" t="s">
        <v>1080</v>
      </c>
      <c r="B104">
        <v>0</v>
      </c>
      <c r="C104">
        <v>0</v>
      </c>
    </row>
    <row r="105" spans="1:3" x14ac:dyDescent="0.2">
      <c r="A105" t="s">
        <v>1271</v>
      </c>
      <c r="B105">
        <v>0</v>
      </c>
      <c r="C105">
        <v>0</v>
      </c>
    </row>
    <row r="106" spans="1:3" x14ac:dyDescent="0.2">
      <c r="A106" t="s">
        <v>1272</v>
      </c>
      <c r="B106">
        <v>0</v>
      </c>
      <c r="C106">
        <v>0</v>
      </c>
    </row>
    <row r="107" spans="1:3" x14ac:dyDescent="0.2">
      <c r="A107" t="s">
        <v>1274</v>
      </c>
      <c r="B107">
        <v>0</v>
      </c>
      <c r="C107">
        <v>0</v>
      </c>
    </row>
    <row r="108" spans="1:3" x14ac:dyDescent="0.2">
      <c r="A108" t="s">
        <v>1276</v>
      </c>
      <c r="B108">
        <v>0</v>
      </c>
      <c r="C108">
        <v>0</v>
      </c>
    </row>
    <row r="109" spans="1:3" x14ac:dyDescent="0.2">
      <c r="A109" t="s">
        <v>47</v>
      </c>
      <c r="B109">
        <v>0</v>
      </c>
      <c r="C109">
        <v>0</v>
      </c>
    </row>
    <row r="110" spans="1:3" x14ac:dyDescent="0.2">
      <c r="A110" t="s">
        <v>48</v>
      </c>
      <c r="B110">
        <v>0</v>
      </c>
      <c r="C110">
        <v>0</v>
      </c>
    </row>
    <row r="111" spans="1:3" x14ac:dyDescent="0.2">
      <c r="A111" t="s">
        <v>250</v>
      </c>
      <c r="B111">
        <v>0</v>
      </c>
      <c r="C111">
        <v>0</v>
      </c>
    </row>
    <row r="112" spans="1:3" x14ac:dyDescent="0.2">
      <c r="A112" t="s">
        <v>50</v>
      </c>
      <c r="B112">
        <v>0</v>
      </c>
      <c r="C112">
        <v>0</v>
      </c>
    </row>
    <row r="113" spans="1:3" x14ac:dyDescent="0.2">
      <c r="A113" t="s">
        <v>49</v>
      </c>
      <c r="B113">
        <v>0</v>
      </c>
      <c r="C113">
        <v>0</v>
      </c>
    </row>
    <row r="114" spans="1:3" x14ac:dyDescent="0.2">
      <c r="A114" t="s">
        <v>51</v>
      </c>
      <c r="B114">
        <v>0</v>
      </c>
      <c r="C114">
        <v>0</v>
      </c>
    </row>
    <row r="115" spans="1:3" x14ac:dyDescent="0.2">
      <c r="A115" t="s">
        <v>44</v>
      </c>
      <c r="B115">
        <v>0</v>
      </c>
      <c r="C115">
        <v>0</v>
      </c>
    </row>
    <row r="116" spans="1:3" x14ac:dyDescent="0.2">
      <c r="A116" t="s">
        <v>53</v>
      </c>
      <c r="B116">
        <v>0</v>
      </c>
      <c r="C116">
        <v>0</v>
      </c>
    </row>
    <row r="117" spans="1:3" x14ac:dyDescent="0.2">
      <c r="A117" t="s">
        <v>52</v>
      </c>
      <c r="B117">
        <v>0</v>
      </c>
      <c r="C117">
        <v>0</v>
      </c>
    </row>
    <row r="118" spans="1:3" x14ac:dyDescent="0.2">
      <c r="A118" t="s">
        <v>55</v>
      </c>
      <c r="B118">
        <v>0</v>
      </c>
      <c r="C118">
        <v>0</v>
      </c>
    </row>
    <row r="119" spans="1:3" x14ac:dyDescent="0.2">
      <c r="A119" t="s">
        <v>68</v>
      </c>
      <c r="B119">
        <v>0</v>
      </c>
      <c r="C119">
        <v>0</v>
      </c>
    </row>
    <row r="120" spans="1:3" x14ac:dyDescent="0.2">
      <c r="A120" t="s">
        <v>56</v>
      </c>
      <c r="B120">
        <v>0</v>
      </c>
      <c r="C120">
        <v>0</v>
      </c>
    </row>
    <row r="121" spans="1:3" x14ac:dyDescent="0.2">
      <c r="A121" t="s">
        <v>74</v>
      </c>
      <c r="B121">
        <v>0</v>
      </c>
      <c r="C121">
        <v>0</v>
      </c>
    </row>
    <row r="122" spans="1:3" x14ac:dyDescent="0.2">
      <c r="A122" t="s">
        <v>38</v>
      </c>
      <c r="B122">
        <v>0</v>
      </c>
      <c r="C122">
        <v>0</v>
      </c>
    </row>
    <row r="123" spans="1:3" x14ac:dyDescent="0.2">
      <c r="A123" t="s">
        <v>57</v>
      </c>
      <c r="B123">
        <v>0</v>
      </c>
      <c r="C123">
        <v>0</v>
      </c>
    </row>
    <row r="124" spans="1:3" x14ac:dyDescent="0.2">
      <c r="A124" t="s">
        <v>58</v>
      </c>
      <c r="B124">
        <v>0</v>
      </c>
      <c r="C124">
        <v>0</v>
      </c>
    </row>
    <row r="125" spans="1:3" x14ac:dyDescent="0.2">
      <c r="A125" t="s">
        <v>65</v>
      </c>
      <c r="B125">
        <v>0</v>
      </c>
      <c r="C125">
        <v>0</v>
      </c>
    </row>
    <row r="126" spans="1:3" x14ac:dyDescent="0.2">
      <c r="A126" t="s">
        <v>1277</v>
      </c>
      <c r="B126">
        <v>0</v>
      </c>
      <c r="C126">
        <v>0</v>
      </c>
    </row>
    <row r="127" spans="1:3" x14ac:dyDescent="0.2">
      <c r="A127" t="s">
        <v>1278</v>
      </c>
      <c r="B127">
        <v>0</v>
      </c>
      <c r="C127">
        <v>0</v>
      </c>
    </row>
    <row r="128" spans="1:3" x14ac:dyDescent="0.2">
      <c r="A128" t="s">
        <v>1279</v>
      </c>
      <c r="B128">
        <v>0</v>
      </c>
      <c r="C128">
        <v>0</v>
      </c>
    </row>
    <row r="129" spans="1:3" x14ac:dyDescent="0.2">
      <c r="A129" t="s">
        <v>1280</v>
      </c>
      <c r="B129">
        <v>0</v>
      </c>
      <c r="C129">
        <v>0</v>
      </c>
    </row>
    <row r="130" spans="1:3" x14ac:dyDescent="0.2">
      <c r="A130" t="s">
        <v>1281</v>
      </c>
      <c r="B130">
        <v>0</v>
      </c>
      <c r="C130">
        <v>0</v>
      </c>
    </row>
    <row r="131" spans="1:3" x14ac:dyDescent="0.2">
      <c r="A131" t="s">
        <v>1282</v>
      </c>
      <c r="B131">
        <v>0</v>
      </c>
      <c r="C131">
        <v>0</v>
      </c>
    </row>
    <row r="132" spans="1:3" x14ac:dyDescent="0.2">
      <c r="A132" t="s">
        <v>1283</v>
      </c>
      <c r="B132">
        <v>0</v>
      </c>
      <c r="C132">
        <v>0</v>
      </c>
    </row>
    <row r="133" spans="1:3" x14ac:dyDescent="0.2">
      <c r="A133" t="s">
        <v>69</v>
      </c>
      <c r="B133">
        <v>0</v>
      </c>
      <c r="C133">
        <v>0</v>
      </c>
    </row>
    <row r="134" spans="1:3" x14ac:dyDescent="0.2">
      <c r="A134" t="s">
        <v>61</v>
      </c>
      <c r="B134">
        <v>0</v>
      </c>
      <c r="C134">
        <v>0</v>
      </c>
    </row>
    <row r="135" spans="1:3" x14ac:dyDescent="0.2">
      <c r="A135" t="s">
        <v>124</v>
      </c>
      <c r="B135">
        <v>0</v>
      </c>
      <c r="C135">
        <v>0</v>
      </c>
    </row>
    <row r="136" spans="1:3" x14ac:dyDescent="0.2">
      <c r="A136" t="s">
        <v>126</v>
      </c>
      <c r="B136">
        <v>0</v>
      </c>
      <c r="C136">
        <v>0</v>
      </c>
    </row>
    <row r="137" spans="1:3" x14ac:dyDescent="0.2">
      <c r="A137" t="s">
        <v>127</v>
      </c>
      <c r="B137">
        <v>0</v>
      </c>
      <c r="C137">
        <v>0</v>
      </c>
    </row>
    <row r="138" spans="1:3" x14ac:dyDescent="0.2">
      <c r="A138" t="s">
        <v>113</v>
      </c>
      <c r="B138">
        <v>0</v>
      </c>
      <c r="C138">
        <v>0</v>
      </c>
    </row>
    <row r="139" spans="1:3" x14ac:dyDescent="0.2">
      <c r="A139" t="s">
        <v>128</v>
      </c>
      <c r="B139">
        <v>0</v>
      </c>
      <c r="C139">
        <v>0</v>
      </c>
    </row>
    <row r="140" spans="1:3" x14ac:dyDescent="0.2">
      <c r="A140" t="s">
        <v>112</v>
      </c>
      <c r="B140">
        <v>0</v>
      </c>
      <c r="C140">
        <v>0</v>
      </c>
    </row>
    <row r="141" spans="1:3" x14ac:dyDescent="0.2">
      <c r="A141" t="s">
        <v>109</v>
      </c>
      <c r="B141">
        <v>0</v>
      </c>
      <c r="C141">
        <v>0</v>
      </c>
    </row>
    <row r="142" spans="1:3" x14ac:dyDescent="0.2">
      <c r="A142" t="s">
        <v>129</v>
      </c>
      <c r="B142">
        <v>0</v>
      </c>
      <c r="C142">
        <v>0</v>
      </c>
    </row>
    <row r="143" spans="1:3" x14ac:dyDescent="0.2">
      <c r="A143" t="s">
        <v>130</v>
      </c>
      <c r="B143">
        <v>0</v>
      </c>
      <c r="C143">
        <v>0</v>
      </c>
    </row>
    <row r="144" spans="1:3" x14ac:dyDescent="0.2">
      <c r="A144" t="s">
        <v>116</v>
      </c>
      <c r="B144">
        <v>0</v>
      </c>
      <c r="C144">
        <v>0</v>
      </c>
    </row>
    <row r="145" spans="1:3" x14ac:dyDescent="0.2">
      <c r="A145" t="s">
        <v>117</v>
      </c>
      <c r="B145">
        <v>0</v>
      </c>
      <c r="C145">
        <v>0</v>
      </c>
    </row>
    <row r="146" spans="1:3" x14ac:dyDescent="0.2">
      <c r="A146" t="s">
        <v>121</v>
      </c>
      <c r="B146">
        <v>0</v>
      </c>
      <c r="C146">
        <v>0</v>
      </c>
    </row>
    <row r="147" spans="1:3" x14ac:dyDescent="0.2">
      <c r="A147" t="s">
        <v>120</v>
      </c>
      <c r="B147">
        <v>0</v>
      </c>
      <c r="C147">
        <v>0</v>
      </c>
    </row>
    <row r="148" spans="1:3" x14ac:dyDescent="0.2">
      <c r="A148" t="s">
        <v>119</v>
      </c>
      <c r="B148">
        <v>0</v>
      </c>
      <c r="C148">
        <v>0</v>
      </c>
    </row>
    <row r="149" spans="1:3" x14ac:dyDescent="0.2">
      <c r="A149" t="s">
        <v>2099</v>
      </c>
      <c r="B149">
        <v>0</v>
      </c>
      <c r="C149">
        <v>0</v>
      </c>
    </row>
    <row r="150" spans="1:3" x14ac:dyDescent="0.2">
      <c r="A150" t="s">
        <v>2100</v>
      </c>
      <c r="B150">
        <v>0</v>
      </c>
      <c r="C150">
        <v>0</v>
      </c>
    </row>
    <row r="151" spans="1:3" x14ac:dyDescent="0.2">
      <c r="A151" t="s">
        <v>54</v>
      </c>
      <c r="B151">
        <v>0</v>
      </c>
      <c r="C151">
        <v>0</v>
      </c>
    </row>
    <row r="152" spans="1:3" x14ac:dyDescent="0.2">
      <c r="A152" t="s">
        <v>71</v>
      </c>
      <c r="B152">
        <v>0</v>
      </c>
      <c r="C152">
        <v>0</v>
      </c>
    </row>
    <row r="153" spans="1:3" x14ac:dyDescent="0.2">
      <c r="A153" t="s">
        <v>1284</v>
      </c>
      <c r="B153">
        <v>0</v>
      </c>
      <c r="C153">
        <v>0</v>
      </c>
    </row>
    <row r="154" spans="1:3" x14ac:dyDescent="0.2">
      <c r="A154" t="s">
        <v>1371</v>
      </c>
      <c r="B154">
        <v>0</v>
      </c>
      <c r="C154">
        <v>0</v>
      </c>
    </row>
    <row r="155" spans="1:3" x14ac:dyDescent="0.2">
      <c r="A155" t="s">
        <v>1285</v>
      </c>
      <c r="B155">
        <v>0</v>
      </c>
      <c r="C155">
        <v>0</v>
      </c>
    </row>
    <row r="156" spans="1:3" x14ac:dyDescent="0.2">
      <c r="A156" t="s">
        <v>2102</v>
      </c>
      <c r="B156">
        <v>0</v>
      </c>
      <c r="C156">
        <v>0</v>
      </c>
    </row>
    <row r="157" spans="1:3" x14ac:dyDescent="0.2">
      <c r="A157" t="s">
        <v>2103</v>
      </c>
      <c r="B157">
        <v>0</v>
      </c>
      <c r="C157">
        <v>0</v>
      </c>
    </row>
    <row r="158" spans="1:3" x14ac:dyDescent="0.2">
      <c r="A158" t="s">
        <v>1286</v>
      </c>
      <c r="B158">
        <v>0</v>
      </c>
      <c r="C158">
        <v>0</v>
      </c>
    </row>
    <row r="159" spans="1:3" x14ac:dyDescent="0.2">
      <c r="A159" t="s">
        <v>1287</v>
      </c>
      <c r="B159">
        <v>0</v>
      </c>
      <c r="C159">
        <v>0</v>
      </c>
    </row>
    <row r="160" spans="1:3" x14ac:dyDescent="0.2">
      <c r="A160" t="s">
        <v>1290</v>
      </c>
      <c r="B160">
        <v>0</v>
      </c>
      <c r="C160">
        <v>0</v>
      </c>
    </row>
    <row r="161" spans="1:3" x14ac:dyDescent="0.2">
      <c r="A161" t="s">
        <v>1291</v>
      </c>
      <c r="B161">
        <v>0</v>
      </c>
      <c r="C161">
        <v>0</v>
      </c>
    </row>
    <row r="162" spans="1:3" x14ac:dyDescent="0.2">
      <c r="A162" t="s">
        <v>1298</v>
      </c>
      <c r="B162">
        <v>0</v>
      </c>
      <c r="C162">
        <v>0</v>
      </c>
    </row>
    <row r="163" spans="1:3" x14ac:dyDescent="0.2">
      <c r="A163" t="s">
        <v>1299</v>
      </c>
      <c r="B163">
        <v>0</v>
      </c>
      <c r="C163">
        <v>0</v>
      </c>
    </row>
    <row r="164" spans="1:3" x14ac:dyDescent="0.2">
      <c r="A164" t="s">
        <v>1300</v>
      </c>
      <c r="B164">
        <v>0</v>
      </c>
      <c r="C164">
        <v>0</v>
      </c>
    </row>
    <row r="165" spans="1:3" x14ac:dyDescent="0.2">
      <c r="A165" t="s">
        <v>1301</v>
      </c>
      <c r="B165">
        <v>0</v>
      </c>
      <c r="C165">
        <v>0</v>
      </c>
    </row>
    <row r="166" spans="1:3" x14ac:dyDescent="0.2">
      <c r="A166" t="s">
        <v>2104</v>
      </c>
      <c r="B166">
        <v>0</v>
      </c>
      <c r="C166">
        <v>0</v>
      </c>
    </row>
    <row r="167" spans="1:3" x14ac:dyDescent="0.2">
      <c r="A167" t="s">
        <v>1306</v>
      </c>
      <c r="B167">
        <v>0</v>
      </c>
      <c r="C167">
        <v>0</v>
      </c>
    </row>
    <row r="168" spans="1:3" x14ac:dyDescent="0.2">
      <c r="A168" t="s">
        <v>37</v>
      </c>
      <c r="B168">
        <v>0</v>
      </c>
      <c r="C168">
        <v>0</v>
      </c>
    </row>
    <row r="169" spans="1:3" x14ac:dyDescent="0.2">
      <c r="A169" t="s">
        <v>2107</v>
      </c>
      <c r="B169">
        <v>0</v>
      </c>
      <c r="C169">
        <v>0</v>
      </c>
    </row>
    <row r="170" spans="1:3" x14ac:dyDescent="0.2">
      <c r="A170" t="s">
        <v>1307</v>
      </c>
      <c r="B170">
        <v>0</v>
      </c>
      <c r="C170">
        <v>0</v>
      </c>
    </row>
    <row r="171" spans="1:3" x14ac:dyDescent="0.2">
      <c r="A171" t="s">
        <v>2109</v>
      </c>
      <c r="B171">
        <v>0</v>
      </c>
      <c r="C171">
        <v>0</v>
      </c>
    </row>
    <row r="172" spans="1:3" x14ac:dyDescent="0.2">
      <c r="A172" t="s">
        <v>1308</v>
      </c>
      <c r="B172">
        <v>0</v>
      </c>
      <c r="C172">
        <v>0</v>
      </c>
    </row>
    <row r="173" spans="1:3" x14ac:dyDescent="0.2">
      <c r="A173" t="s">
        <v>59</v>
      </c>
      <c r="B173">
        <v>0</v>
      </c>
      <c r="C173">
        <v>0</v>
      </c>
    </row>
    <row r="174" spans="1:3" x14ac:dyDescent="0.2">
      <c r="A174" t="s">
        <v>1309</v>
      </c>
      <c r="B174">
        <v>0</v>
      </c>
      <c r="C174">
        <v>0</v>
      </c>
    </row>
    <row r="175" spans="1:3" x14ac:dyDescent="0.2">
      <c r="A175" t="s">
        <v>1372</v>
      </c>
      <c r="B175">
        <v>0</v>
      </c>
      <c r="C175">
        <v>0</v>
      </c>
    </row>
    <row r="176" spans="1:3" x14ac:dyDescent="0.2">
      <c r="A176" t="s">
        <v>1311</v>
      </c>
      <c r="B176">
        <v>0</v>
      </c>
      <c r="C176">
        <v>0</v>
      </c>
    </row>
    <row r="177" spans="1:3" x14ac:dyDescent="0.2">
      <c r="A177" t="s">
        <v>111</v>
      </c>
      <c r="B177">
        <v>0</v>
      </c>
      <c r="C177">
        <v>0</v>
      </c>
    </row>
    <row r="178" spans="1:3" x14ac:dyDescent="0.2">
      <c r="A178" t="s">
        <v>1373</v>
      </c>
      <c r="B178">
        <v>0</v>
      </c>
      <c r="C178">
        <v>0</v>
      </c>
    </row>
    <row r="179" spans="1:3" x14ac:dyDescent="0.2">
      <c r="A179" t="s">
        <v>2105</v>
      </c>
      <c r="B179">
        <v>0</v>
      </c>
      <c r="C179">
        <v>0</v>
      </c>
    </row>
    <row r="180" spans="1:3" x14ac:dyDescent="0.2">
      <c r="A180" t="s">
        <v>1312</v>
      </c>
      <c r="B180">
        <v>0</v>
      </c>
      <c r="C180">
        <v>0</v>
      </c>
    </row>
    <row r="181" spans="1:3" x14ac:dyDescent="0.2">
      <c r="A181" t="s">
        <v>1314</v>
      </c>
      <c r="B181">
        <v>0</v>
      </c>
      <c r="C181">
        <v>0</v>
      </c>
    </row>
    <row r="182" spans="1:3" x14ac:dyDescent="0.2">
      <c r="A182" t="s">
        <v>1316</v>
      </c>
      <c r="B182">
        <v>0</v>
      </c>
      <c r="C182">
        <v>0</v>
      </c>
    </row>
    <row r="183" spans="1:3" x14ac:dyDescent="0.2">
      <c r="A183" t="s">
        <v>1317</v>
      </c>
      <c r="B183">
        <v>0</v>
      </c>
      <c r="C183">
        <v>0</v>
      </c>
    </row>
    <row r="184" spans="1:3" x14ac:dyDescent="0.2">
      <c r="A184" t="s">
        <v>1319</v>
      </c>
      <c r="B184">
        <v>0</v>
      </c>
      <c r="C184">
        <v>0</v>
      </c>
    </row>
    <row r="185" spans="1:3" x14ac:dyDescent="0.2">
      <c r="A185" t="s">
        <v>1321</v>
      </c>
      <c r="B185">
        <v>0</v>
      </c>
      <c r="C185">
        <v>0</v>
      </c>
    </row>
    <row r="186" spans="1:3" x14ac:dyDescent="0.2">
      <c r="A186" t="s">
        <v>1323</v>
      </c>
      <c r="B186">
        <v>0</v>
      </c>
      <c r="C186">
        <v>0</v>
      </c>
    </row>
    <row r="187" spans="1:3" x14ac:dyDescent="0.2">
      <c r="A187" t="s">
        <v>1324</v>
      </c>
      <c r="B187">
        <v>0</v>
      </c>
      <c r="C187">
        <v>0</v>
      </c>
    </row>
    <row r="188" spans="1:3" x14ac:dyDescent="0.2">
      <c r="A188" t="s">
        <v>1087</v>
      </c>
      <c r="B188">
        <v>0</v>
      </c>
      <c r="C188">
        <v>0</v>
      </c>
    </row>
    <row r="189" spans="1:3" x14ac:dyDescent="0.2">
      <c r="A189" t="s">
        <v>35</v>
      </c>
      <c r="B189">
        <v>0</v>
      </c>
      <c r="C189">
        <v>0</v>
      </c>
    </row>
    <row r="190" spans="1:3" x14ac:dyDescent="0.2">
      <c r="A190" t="s">
        <v>1089</v>
      </c>
      <c r="B190">
        <v>0</v>
      </c>
      <c r="C190">
        <v>0</v>
      </c>
    </row>
    <row r="191" spans="1:3" x14ac:dyDescent="0.2">
      <c r="A191" t="s">
        <v>1325</v>
      </c>
      <c r="B191">
        <v>0</v>
      </c>
      <c r="C191">
        <v>0</v>
      </c>
    </row>
    <row r="192" spans="1:3" x14ac:dyDescent="0.2">
      <c r="A192" t="s">
        <v>1326</v>
      </c>
      <c r="B192">
        <v>0</v>
      </c>
      <c r="C192">
        <v>0</v>
      </c>
    </row>
    <row r="193" spans="1:3" x14ac:dyDescent="0.2">
      <c r="A193" t="s">
        <v>1327</v>
      </c>
      <c r="B193">
        <v>0</v>
      </c>
      <c r="C193">
        <v>0</v>
      </c>
    </row>
    <row r="194" spans="1:3" x14ac:dyDescent="0.2">
      <c r="A194" t="s">
        <v>1085</v>
      </c>
      <c r="B194">
        <v>0</v>
      </c>
      <c r="C194">
        <v>0</v>
      </c>
    </row>
    <row r="195" spans="1:3" x14ac:dyDescent="0.2">
      <c r="A195" t="s">
        <v>1328</v>
      </c>
      <c r="B195">
        <v>0</v>
      </c>
      <c r="C195">
        <v>0</v>
      </c>
    </row>
    <row r="196" spans="1:3" x14ac:dyDescent="0.2">
      <c r="A196" t="s">
        <v>1329</v>
      </c>
      <c r="B196">
        <v>0</v>
      </c>
      <c r="C196">
        <v>0</v>
      </c>
    </row>
    <row r="197" spans="1:3" x14ac:dyDescent="0.2">
      <c r="A197" t="s">
        <v>1330</v>
      </c>
      <c r="B197">
        <v>0</v>
      </c>
      <c r="C197">
        <v>0</v>
      </c>
    </row>
    <row r="198" spans="1:3" x14ac:dyDescent="0.2">
      <c r="A198" t="s">
        <v>1331</v>
      </c>
      <c r="B198">
        <v>0</v>
      </c>
      <c r="C198">
        <v>0</v>
      </c>
    </row>
    <row r="199" spans="1:3" x14ac:dyDescent="0.2">
      <c r="A199" t="s">
        <v>39</v>
      </c>
      <c r="B199">
        <v>0</v>
      </c>
      <c r="C199">
        <v>0</v>
      </c>
    </row>
    <row r="200" spans="1:3" x14ac:dyDescent="0.2">
      <c r="A200" t="s">
        <v>1332</v>
      </c>
      <c r="B200">
        <v>0</v>
      </c>
      <c r="C200">
        <v>0</v>
      </c>
    </row>
    <row r="201" spans="1:3" x14ac:dyDescent="0.2">
      <c r="A201" t="s">
        <v>1334</v>
      </c>
      <c r="B201">
        <v>0</v>
      </c>
      <c r="C201">
        <v>0</v>
      </c>
    </row>
    <row r="202" spans="1:3" x14ac:dyDescent="0.2">
      <c r="A202" t="s">
        <v>1335</v>
      </c>
      <c r="B202">
        <v>0</v>
      </c>
      <c r="C202">
        <v>0</v>
      </c>
    </row>
    <row r="203" spans="1:3" x14ac:dyDescent="0.2">
      <c r="A203" t="s">
        <v>1336</v>
      </c>
      <c r="B203">
        <v>0</v>
      </c>
      <c r="C203">
        <v>0</v>
      </c>
    </row>
    <row r="204" spans="1:3" x14ac:dyDescent="0.2">
      <c r="A204" t="s">
        <v>1091</v>
      </c>
      <c r="B204">
        <v>0</v>
      </c>
      <c r="C204">
        <v>0</v>
      </c>
    </row>
    <row r="205" spans="1:3" x14ac:dyDescent="0.2">
      <c r="A205" t="s">
        <v>1374</v>
      </c>
      <c r="B205">
        <v>0</v>
      </c>
      <c r="C205">
        <v>0</v>
      </c>
    </row>
    <row r="206" spans="1:3" x14ac:dyDescent="0.2">
      <c r="A206" t="s">
        <v>1337</v>
      </c>
      <c r="B206">
        <v>0</v>
      </c>
      <c r="C206">
        <v>0</v>
      </c>
    </row>
    <row r="207" spans="1:3" x14ac:dyDescent="0.2">
      <c r="A207" t="s">
        <v>1338</v>
      </c>
      <c r="B207">
        <v>0</v>
      </c>
      <c r="C207">
        <v>0</v>
      </c>
    </row>
    <row r="208" spans="1:3" x14ac:dyDescent="0.2">
      <c r="A208" t="s">
        <v>1339</v>
      </c>
      <c r="B208">
        <v>0</v>
      </c>
      <c r="C208">
        <v>0</v>
      </c>
    </row>
    <row r="209" spans="1:3" x14ac:dyDescent="0.2">
      <c r="A209" t="s">
        <v>1340</v>
      </c>
      <c r="B209">
        <v>0</v>
      </c>
      <c r="C209">
        <v>0</v>
      </c>
    </row>
    <row r="210" spans="1:3" x14ac:dyDescent="0.2">
      <c r="A210" t="s">
        <v>1341</v>
      </c>
      <c r="B210">
        <v>0</v>
      </c>
      <c r="C210">
        <v>0</v>
      </c>
    </row>
    <row r="211" spans="1:3" x14ac:dyDescent="0.2">
      <c r="A211" t="s">
        <v>1376</v>
      </c>
      <c r="B211">
        <v>0</v>
      </c>
      <c r="C211">
        <v>0</v>
      </c>
    </row>
    <row r="212" spans="1:3" x14ac:dyDescent="0.2">
      <c r="A212" t="s">
        <v>1093</v>
      </c>
      <c r="B212">
        <v>0</v>
      </c>
      <c r="C212">
        <v>0</v>
      </c>
    </row>
    <row r="213" spans="1:3" x14ac:dyDescent="0.2">
      <c r="A213" t="s">
        <v>95</v>
      </c>
      <c r="B213">
        <v>0</v>
      </c>
      <c r="C213">
        <v>0</v>
      </c>
    </row>
    <row r="214" spans="1:3" x14ac:dyDescent="0.2">
      <c r="A214" t="s">
        <v>1342</v>
      </c>
      <c r="B214">
        <v>0</v>
      </c>
      <c r="C214">
        <v>0</v>
      </c>
    </row>
    <row r="215" spans="1:3" x14ac:dyDescent="0.2">
      <c r="A215" t="s">
        <v>1343</v>
      </c>
      <c r="B215">
        <v>0</v>
      </c>
      <c r="C215">
        <v>0</v>
      </c>
    </row>
    <row r="216" spans="1:3" x14ac:dyDescent="0.2">
      <c r="A216" t="s">
        <v>1344</v>
      </c>
      <c r="B216">
        <v>0</v>
      </c>
      <c r="C216">
        <v>0</v>
      </c>
    </row>
    <row r="217" spans="1:3" x14ac:dyDescent="0.2">
      <c r="A217" t="s">
        <v>1082</v>
      </c>
      <c r="B217">
        <v>0</v>
      </c>
      <c r="C217">
        <v>0</v>
      </c>
    </row>
    <row r="218" spans="1:3" x14ac:dyDescent="0.2">
      <c r="A218" t="s">
        <v>1378</v>
      </c>
      <c r="B218">
        <v>0</v>
      </c>
      <c r="C218">
        <v>0</v>
      </c>
    </row>
    <row r="219" spans="1:3" x14ac:dyDescent="0.2">
      <c r="A219" t="s">
        <v>100</v>
      </c>
      <c r="B219">
        <v>0</v>
      </c>
      <c r="C219">
        <v>0</v>
      </c>
    </row>
    <row r="220" spans="1:3" x14ac:dyDescent="0.2">
      <c r="A220" t="s">
        <v>88</v>
      </c>
      <c r="B220">
        <v>0</v>
      </c>
      <c r="C220">
        <v>0</v>
      </c>
    </row>
    <row r="221" spans="1:3" x14ac:dyDescent="0.2">
      <c r="A221" t="s">
        <v>93</v>
      </c>
      <c r="B221">
        <v>0</v>
      </c>
      <c r="C221">
        <v>0</v>
      </c>
    </row>
    <row r="222" spans="1:3" x14ac:dyDescent="0.2">
      <c r="A222" t="s">
        <v>90</v>
      </c>
      <c r="B222">
        <v>0</v>
      </c>
      <c r="C222">
        <v>0</v>
      </c>
    </row>
    <row r="223" spans="1:3" x14ac:dyDescent="0.2">
      <c r="A223" t="s">
        <v>91</v>
      </c>
      <c r="B223">
        <v>0</v>
      </c>
      <c r="C223">
        <v>0</v>
      </c>
    </row>
    <row r="224" spans="1:3" x14ac:dyDescent="0.2">
      <c r="A224" t="s">
        <v>92</v>
      </c>
      <c r="B224">
        <v>0</v>
      </c>
      <c r="C224">
        <v>0</v>
      </c>
    </row>
    <row r="225" spans="1:3" x14ac:dyDescent="0.2">
      <c r="A225" t="s">
        <v>94</v>
      </c>
      <c r="B225">
        <v>0</v>
      </c>
      <c r="C225">
        <v>0</v>
      </c>
    </row>
    <row r="226" spans="1:3" x14ac:dyDescent="0.2">
      <c r="A226" t="s">
        <v>99</v>
      </c>
      <c r="B226">
        <v>0</v>
      </c>
      <c r="C226">
        <v>0</v>
      </c>
    </row>
    <row r="227" spans="1:3" x14ac:dyDescent="0.2">
      <c r="A227" t="s">
        <v>96</v>
      </c>
      <c r="B227">
        <v>0</v>
      </c>
      <c r="C227">
        <v>0</v>
      </c>
    </row>
    <row r="228" spans="1:3" x14ac:dyDescent="0.2">
      <c r="A228" t="s">
        <v>89</v>
      </c>
      <c r="B228">
        <v>0</v>
      </c>
      <c r="C228">
        <v>0</v>
      </c>
    </row>
    <row r="229" spans="1:3" x14ac:dyDescent="0.2">
      <c r="A229" t="s">
        <v>1345</v>
      </c>
      <c r="B229">
        <v>0</v>
      </c>
      <c r="C229">
        <v>0</v>
      </c>
    </row>
    <row r="230" spans="1:3" x14ac:dyDescent="0.2">
      <c r="A230" t="s">
        <v>1346</v>
      </c>
      <c r="B230">
        <v>0</v>
      </c>
      <c r="C230">
        <v>0</v>
      </c>
    </row>
    <row r="231" spans="1:3" x14ac:dyDescent="0.2">
      <c r="A231" t="s">
        <v>79</v>
      </c>
      <c r="B231">
        <v>0</v>
      </c>
      <c r="C231">
        <v>0</v>
      </c>
    </row>
    <row r="232" spans="1:3" x14ac:dyDescent="0.2">
      <c r="A232" t="s">
        <v>1347</v>
      </c>
      <c r="B232">
        <v>0</v>
      </c>
      <c r="C232">
        <v>0</v>
      </c>
    </row>
    <row r="233" spans="1:3" x14ac:dyDescent="0.2">
      <c r="A233" t="s">
        <v>1348</v>
      </c>
      <c r="B233">
        <v>0</v>
      </c>
      <c r="C233">
        <v>0</v>
      </c>
    </row>
    <row r="234" spans="1:3" x14ac:dyDescent="0.2">
      <c r="A234" t="s">
        <v>1349</v>
      </c>
      <c r="B234">
        <v>0</v>
      </c>
      <c r="C234">
        <v>0</v>
      </c>
    </row>
    <row r="235" spans="1:3" x14ac:dyDescent="0.2">
      <c r="A235" t="s">
        <v>1350</v>
      </c>
      <c r="B235">
        <v>0</v>
      </c>
      <c r="C235">
        <v>0</v>
      </c>
    </row>
    <row r="236" spans="1:3" x14ac:dyDescent="0.2">
      <c r="A236" t="s">
        <v>45</v>
      </c>
      <c r="B236">
        <v>0</v>
      </c>
      <c r="C236">
        <v>0</v>
      </c>
    </row>
    <row r="237" spans="1:3" x14ac:dyDescent="0.2">
      <c r="A237" t="s">
        <v>1835</v>
      </c>
      <c r="B237">
        <v>0</v>
      </c>
      <c r="C237">
        <v>0</v>
      </c>
    </row>
    <row r="238" spans="1:3" x14ac:dyDescent="0.2">
      <c r="A238" t="s">
        <v>1351</v>
      </c>
      <c r="B238">
        <v>0</v>
      </c>
      <c r="C238">
        <v>0</v>
      </c>
    </row>
    <row r="239" spans="1:3" x14ac:dyDescent="0.2">
      <c r="A239" t="s">
        <v>1352</v>
      </c>
      <c r="B239">
        <v>0</v>
      </c>
      <c r="C239">
        <v>0</v>
      </c>
    </row>
    <row r="240" spans="1:3" x14ac:dyDescent="0.2">
      <c r="A240" t="s">
        <v>1354</v>
      </c>
      <c r="B240">
        <v>0</v>
      </c>
      <c r="C240">
        <v>0</v>
      </c>
    </row>
    <row r="241" spans="1:3" x14ac:dyDescent="0.2">
      <c r="A241" t="s">
        <v>1361</v>
      </c>
      <c r="B241">
        <v>0</v>
      </c>
      <c r="C241">
        <v>0</v>
      </c>
    </row>
    <row r="242" spans="1:3" x14ac:dyDescent="0.2">
      <c r="A242" t="s">
        <v>1362</v>
      </c>
      <c r="B242">
        <v>0</v>
      </c>
      <c r="C242">
        <v>0</v>
      </c>
    </row>
    <row r="243" spans="1:3" x14ac:dyDescent="0.2">
      <c r="A243" t="s">
        <v>2106</v>
      </c>
      <c r="B243">
        <v>0</v>
      </c>
      <c r="C243">
        <v>0</v>
      </c>
    </row>
    <row r="244" spans="1:3" x14ac:dyDescent="0.2">
      <c r="B244">
        <f>SUM(B1:B243)</f>
        <v>0</v>
      </c>
      <c r="C244">
        <f>SUM(C1:C243)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296"/>
  <sheetViews>
    <sheetView topLeftCell="A82" workbookViewId="0">
      <selection activeCell="J96" sqref="J96"/>
    </sheetView>
  </sheetViews>
  <sheetFormatPr defaultRowHeight="12.75" x14ac:dyDescent="0.2"/>
  <cols>
    <col min="1" max="1" width="7" style="229" customWidth="1"/>
    <col min="2" max="2" width="11.28515625" style="229" customWidth="1"/>
    <col min="3" max="3" width="11.5703125" style="229" customWidth="1"/>
    <col min="4" max="4" width="9.85546875" style="229" customWidth="1"/>
    <col min="5" max="5" width="30.5703125" style="229" customWidth="1"/>
    <col min="6" max="6" width="14.42578125" style="229" bestFit="1" customWidth="1"/>
    <col min="7" max="7" width="14.42578125" bestFit="1" customWidth="1"/>
    <col min="8" max="8" width="10.28515625" style="226" customWidth="1"/>
    <col min="9" max="9" width="5.5703125" customWidth="1"/>
    <col min="12" max="12" width="9.140625" hidden="1" customWidth="1"/>
    <col min="13" max="13" width="8.140625" style="550" hidden="1" customWidth="1"/>
    <col min="14" max="14" width="8" style="550" hidden="1" customWidth="1"/>
    <col min="15" max="15" width="9.140625" style="550" hidden="1" customWidth="1"/>
    <col min="16" max="16" width="9.140625" style="550"/>
    <col min="17" max="17" width="9.140625" style="226"/>
    <col min="28" max="28" width="11.5703125" style="229" customWidth="1"/>
    <col min="29" max="29" width="30.5703125" style="229" customWidth="1"/>
    <col min="30" max="30" width="20.7109375" customWidth="1"/>
  </cols>
  <sheetData>
    <row r="1" spans="1:30" x14ac:dyDescent="0.2">
      <c r="A1"/>
      <c r="B1" s="226" t="s">
        <v>16</v>
      </c>
      <c r="C1" s="227" t="s">
        <v>17</v>
      </c>
      <c r="D1" s="226" t="s">
        <v>18</v>
      </c>
      <c r="E1" s="227" t="s">
        <v>19</v>
      </c>
      <c r="J1" s="228" t="s">
        <v>20</v>
      </c>
      <c r="K1" s="228" t="s">
        <v>1439</v>
      </c>
      <c r="L1" s="709" t="s">
        <v>2084</v>
      </c>
      <c r="M1" s="555" t="s">
        <v>1519</v>
      </c>
      <c r="N1" s="555" t="s">
        <v>1521</v>
      </c>
      <c r="O1" s="555" t="s">
        <v>816</v>
      </c>
      <c r="P1" s="556" t="s">
        <v>1520</v>
      </c>
      <c r="U1" t="s">
        <v>2085</v>
      </c>
      <c r="V1" t="s">
        <v>2086</v>
      </c>
      <c r="W1" t="s">
        <v>2087</v>
      </c>
      <c r="X1" t="s">
        <v>2088</v>
      </c>
      <c r="AB1" s="227"/>
      <c r="AC1" s="227"/>
    </row>
    <row r="2" spans="1:30" x14ac:dyDescent="0.2">
      <c r="A2" s="916" t="s">
        <v>174</v>
      </c>
      <c r="B2" t="s">
        <v>2089</v>
      </c>
      <c r="C2" t="s">
        <v>1319</v>
      </c>
      <c r="D2">
        <v>3326301</v>
      </c>
      <c r="E2" t="s">
        <v>1320</v>
      </c>
      <c r="F2" s="854">
        <v>37196</v>
      </c>
      <c r="G2" s="854"/>
      <c r="H2" s="854"/>
      <c r="I2" s="854" t="s">
        <v>245</v>
      </c>
      <c r="J2">
        <f>IF(ISNA(VLOOKUP(C2,CNGx,2,FALSE)),"na",(VLOOKUP(C2,CNGx,2,FALSE)))</f>
        <v>0</v>
      </c>
      <c r="K2">
        <f>IF(ISNA(VLOOKUP(C2,CNGx,3,0)),0,VLOOKUP(C2,CNGx,3,FALSE))</f>
        <v>0</v>
      </c>
      <c r="L2" s="251">
        <f>VLOOKUP(I2,Retention,2,FALSE)</f>
        <v>2.2800000000000001E-2</v>
      </c>
      <c r="M2" s="557">
        <f>IF(OR(I2="TD",I2="TW"),0,J2*0.0228)</f>
        <v>0</v>
      </c>
      <c r="N2" s="557">
        <f t="shared" ref="N2:N100" si="0">IF(OR(I2="TD",I2="TW"),0,K2*0.0228)</f>
        <v>0</v>
      </c>
      <c r="O2" s="557">
        <f t="shared" ref="O2:O100" si="1">J2-ROUND(+$J2*(VLOOKUP($I2,cngded,6,FALSE)),0)</f>
        <v>0</v>
      </c>
      <c r="P2" s="557">
        <f t="shared" ref="P2:P100" si="2">K2-ROUND(+$K2*(VLOOKUP($I2,cngded,6,FALSE)),0)</f>
        <v>0</v>
      </c>
      <c r="Q2" s="226" t="str">
        <f>IF(ISNA(VLOOKUP(C2,INCNG,1,FALSE)),"--", "Y")</f>
        <v>Y</v>
      </c>
      <c r="R2" s="226">
        <f t="shared" ref="R2:R9" si="3">IF(ISNA(VLOOKUP(C2,INCNG,10,FALSE)),0,VLOOKUP(C2,INCNG,10,FALSE))</f>
        <v>0</v>
      </c>
      <c r="S2">
        <f t="shared" ref="S2:S100" si="4">+K2-R2</f>
        <v>0</v>
      </c>
      <c r="T2" s="141">
        <f>+P2-R2</f>
        <v>0</v>
      </c>
      <c r="U2" s="710">
        <f>ROUND(+$K2*(VLOOKUP($I2,Retention,2,FALSE)),0)</f>
        <v>0</v>
      </c>
      <c r="V2" s="710">
        <f>ROUND(+$K2*(VLOOKUP($I2,Retention,3,FALSE)),0)</f>
        <v>0</v>
      </c>
      <c r="W2" s="710">
        <f>ROUND(+$K2*(VLOOKUP($I2,Retention,4,FALSE)),0)</f>
        <v>0</v>
      </c>
      <c r="X2" s="710">
        <f>ROUND(+$K2*(VLOOKUP($I2,Retention,5,FALSE)),0)</f>
        <v>0</v>
      </c>
      <c r="Y2" s="141">
        <f t="shared" ref="Y2:Y100" si="5">SUM(U2:X2)</f>
        <v>0</v>
      </c>
      <c r="AB2" s="777"/>
      <c r="AC2" s="777"/>
      <c r="AD2" t="e">
        <f>VLOOKUP(AB2,INCNG,3,FALSE)</f>
        <v>#N/A</v>
      </c>
    </row>
    <row r="3" spans="1:30" x14ac:dyDescent="0.2">
      <c r="A3" s="916" t="s">
        <v>174</v>
      </c>
      <c r="B3" t="s">
        <v>2089</v>
      </c>
      <c r="C3" t="s">
        <v>22</v>
      </c>
      <c r="D3">
        <v>1055201</v>
      </c>
      <c r="E3" t="s">
        <v>25</v>
      </c>
      <c r="F3" s="854">
        <v>37196</v>
      </c>
      <c r="G3" s="854"/>
      <c r="H3" s="854"/>
      <c r="I3" s="854" t="s">
        <v>245</v>
      </c>
      <c r="J3">
        <f t="shared" ref="J3:J66" si="6">IF(ISNA(VLOOKUP(C3,CNGx,2,FALSE)),"na",(VLOOKUP(C3,CNGx,2,FALSE)))</f>
        <v>0</v>
      </c>
      <c r="K3">
        <f>IF(ISNA(VLOOKUP(C3,CNGx,3,0)),0,VLOOKUP(C3,CNGx,3,FALSE))</f>
        <v>0</v>
      </c>
      <c r="L3" s="251">
        <f t="shared" ref="L3:L101" si="7">VLOOKUP(I3,Retention,2,FALSE)</f>
        <v>2.2800000000000001E-2</v>
      </c>
      <c r="M3" s="557">
        <f t="shared" ref="M3:M101" si="8">IF(OR(I3="TD",I3="TW"),0,J3*0.0228)</f>
        <v>0</v>
      </c>
      <c r="N3" s="557">
        <f t="shared" si="0"/>
        <v>0</v>
      </c>
      <c r="O3" s="557">
        <f t="shared" si="1"/>
        <v>0</v>
      </c>
      <c r="P3" s="557">
        <f t="shared" si="2"/>
        <v>0</v>
      </c>
      <c r="Q3" s="226" t="str">
        <f t="shared" ref="Q3:Q101" si="9">IF(ISNA(VLOOKUP(C3,INCNG,1,FALSE)),"--", "Y")</f>
        <v>Y</v>
      </c>
      <c r="R3" s="226">
        <f t="shared" si="3"/>
        <v>0</v>
      </c>
      <c r="S3">
        <f t="shared" si="4"/>
        <v>0</v>
      </c>
      <c r="T3" s="141">
        <f t="shared" ref="T3:T66" si="10">+P3-R3</f>
        <v>0</v>
      </c>
      <c r="U3" s="710">
        <f t="shared" ref="U3:U101" si="11">ROUND(+$K3*(VLOOKUP($I3,Retention,2,FALSE)),0)</f>
        <v>0</v>
      </c>
      <c r="V3" s="710">
        <f t="shared" ref="V3:V101" si="12">ROUND(+$K3*(VLOOKUP($I3,Retention,3,FALSE)),0)</f>
        <v>0</v>
      </c>
      <c r="W3" s="710">
        <f t="shared" ref="W3:W101" si="13">ROUND(+$K3*(VLOOKUP($I3,Retention,4,FALSE)),0)</f>
        <v>0</v>
      </c>
      <c r="X3" s="710">
        <f t="shared" ref="X3:X101" si="14">ROUND(+$K3*(VLOOKUP($I3,Retention,5,FALSE)),0)</f>
        <v>0</v>
      </c>
      <c r="Y3" s="141">
        <f t="shared" si="5"/>
        <v>0</v>
      </c>
      <c r="AB3" s="777"/>
      <c r="AC3" s="777"/>
      <c r="AD3" t="e">
        <f t="shared" ref="AD3:AD97" si="15">VLOOKUP(AB3,INCNG,3,FALSE)</f>
        <v>#N/A</v>
      </c>
    </row>
    <row r="4" spans="1:30" x14ac:dyDescent="0.2">
      <c r="A4" s="916" t="s">
        <v>174</v>
      </c>
      <c r="B4" t="s">
        <v>2089</v>
      </c>
      <c r="C4" t="s">
        <v>26</v>
      </c>
      <c r="D4">
        <v>1058501</v>
      </c>
      <c r="E4" t="s">
        <v>25</v>
      </c>
      <c r="F4" s="854">
        <v>37196</v>
      </c>
      <c r="G4" s="854"/>
      <c r="H4" s="854"/>
      <c r="I4" s="854" t="s">
        <v>245</v>
      </c>
      <c r="J4">
        <f t="shared" si="6"/>
        <v>0</v>
      </c>
      <c r="K4">
        <f t="shared" ref="K4:K69" si="16">IF(ISNA(VLOOKUP(C4,CNGx,3,0)),0,VLOOKUP(C4,CNGx,3,FALSE))</f>
        <v>0</v>
      </c>
      <c r="L4" s="251">
        <f t="shared" si="7"/>
        <v>2.2800000000000001E-2</v>
      </c>
      <c r="M4" s="557">
        <f t="shared" si="8"/>
        <v>0</v>
      </c>
      <c r="N4" s="557">
        <f t="shared" si="0"/>
        <v>0</v>
      </c>
      <c r="O4" s="557">
        <f t="shared" si="1"/>
        <v>0</v>
      </c>
      <c r="P4" s="557">
        <f t="shared" si="2"/>
        <v>0</v>
      </c>
      <c r="Q4" s="226" t="str">
        <f t="shared" si="9"/>
        <v>Y</v>
      </c>
      <c r="R4" s="226">
        <f t="shared" si="3"/>
        <v>0</v>
      </c>
      <c r="S4">
        <f t="shared" si="4"/>
        <v>0</v>
      </c>
      <c r="T4" s="141">
        <f t="shared" si="10"/>
        <v>0</v>
      </c>
      <c r="U4" s="710">
        <f t="shared" si="11"/>
        <v>0</v>
      </c>
      <c r="V4" s="710">
        <f t="shared" si="12"/>
        <v>0</v>
      </c>
      <c r="W4" s="710">
        <f t="shared" si="13"/>
        <v>0</v>
      </c>
      <c r="X4" s="710">
        <f t="shared" si="14"/>
        <v>0</v>
      </c>
      <c r="Y4" s="141">
        <f t="shared" si="5"/>
        <v>0</v>
      </c>
      <c r="AB4" s="777"/>
      <c r="AC4" s="777"/>
      <c r="AD4" t="e">
        <f t="shared" si="15"/>
        <v>#N/A</v>
      </c>
    </row>
    <row r="5" spans="1:30" x14ac:dyDescent="0.2">
      <c r="A5" s="916" t="s">
        <v>174</v>
      </c>
      <c r="B5" t="s">
        <v>2089</v>
      </c>
      <c r="C5" t="s">
        <v>27</v>
      </c>
      <c r="D5">
        <v>1059901</v>
      </c>
      <c r="E5" t="s">
        <v>25</v>
      </c>
      <c r="F5" s="854">
        <v>37196</v>
      </c>
      <c r="G5" s="854"/>
      <c r="H5" s="854"/>
      <c r="I5" s="854" t="s">
        <v>245</v>
      </c>
      <c r="J5">
        <f t="shared" si="6"/>
        <v>0</v>
      </c>
      <c r="K5">
        <f>IF(ISNA(VLOOKUP(C5,CNGx,3,0)),0,VLOOKUP(C5,CNGx,3,FALSE))</f>
        <v>0</v>
      </c>
      <c r="L5" s="251">
        <f t="shared" si="7"/>
        <v>2.2800000000000001E-2</v>
      </c>
      <c r="M5" s="557">
        <f t="shared" si="8"/>
        <v>0</v>
      </c>
      <c r="N5" s="557">
        <f t="shared" si="0"/>
        <v>0</v>
      </c>
      <c r="O5" s="557">
        <f t="shared" si="1"/>
        <v>0</v>
      </c>
      <c r="P5" s="557">
        <f t="shared" si="2"/>
        <v>0</v>
      </c>
      <c r="Q5" s="226" t="str">
        <f t="shared" si="9"/>
        <v>Y</v>
      </c>
      <c r="R5" s="226">
        <f t="shared" si="3"/>
        <v>0</v>
      </c>
      <c r="S5">
        <f t="shared" si="4"/>
        <v>0</v>
      </c>
      <c r="T5" s="141">
        <f t="shared" si="10"/>
        <v>0</v>
      </c>
      <c r="U5" s="710">
        <f t="shared" si="11"/>
        <v>0</v>
      </c>
      <c r="V5" s="710">
        <f t="shared" si="12"/>
        <v>0</v>
      </c>
      <c r="W5" s="710">
        <f t="shared" si="13"/>
        <v>0</v>
      </c>
      <c r="X5" s="710">
        <f t="shared" si="14"/>
        <v>0</v>
      </c>
      <c r="Y5" s="141">
        <f t="shared" si="5"/>
        <v>0</v>
      </c>
      <c r="AB5" s="777"/>
      <c r="AC5" s="777"/>
      <c r="AD5" t="e">
        <f t="shared" si="15"/>
        <v>#N/A</v>
      </c>
    </row>
    <row r="6" spans="1:30" x14ac:dyDescent="0.2">
      <c r="A6" s="916" t="s">
        <v>174</v>
      </c>
      <c r="B6" t="s">
        <v>2091</v>
      </c>
      <c r="C6" t="s">
        <v>2094</v>
      </c>
      <c r="D6">
        <v>1062901</v>
      </c>
      <c r="E6" t="s">
        <v>2095</v>
      </c>
      <c r="F6" s="854">
        <v>37196</v>
      </c>
      <c r="G6" s="854"/>
      <c r="H6" s="854"/>
      <c r="I6" s="854" t="s">
        <v>244</v>
      </c>
      <c r="J6">
        <f t="shared" si="6"/>
        <v>0</v>
      </c>
      <c r="K6">
        <f t="shared" si="16"/>
        <v>0</v>
      </c>
      <c r="L6" s="251">
        <f t="shared" si="7"/>
        <v>2.2800000000000001E-2</v>
      </c>
      <c r="M6" s="557">
        <f t="shared" si="8"/>
        <v>0</v>
      </c>
      <c r="N6" s="557">
        <f t="shared" si="0"/>
        <v>0</v>
      </c>
      <c r="O6" s="557">
        <f t="shared" si="1"/>
        <v>0</v>
      </c>
      <c r="P6" s="557">
        <f t="shared" si="2"/>
        <v>0</v>
      </c>
      <c r="Q6" s="226" t="str">
        <f t="shared" si="9"/>
        <v>Y</v>
      </c>
      <c r="R6" s="226">
        <f t="shared" si="3"/>
        <v>0</v>
      </c>
      <c r="S6">
        <f t="shared" si="4"/>
        <v>0</v>
      </c>
      <c r="T6" s="141">
        <f t="shared" si="10"/>
        <v>0</v>
      </c>
      <c r="U6" s="710">
        <f t="shared" si="11"/>
        <v>0</v>
      </c>
      <c r="V6" s="710">
        <f t="shared" si="12"/>
        <v>0</v>
      </c>
      <c r="W6" s="710">
        <f t="shared" si="13"/>
        <v>0</v>
      </c>
      <c r="X6" s="710">
        <f t="shared" si="14"/>
        <v>0</v>
      </c>
      <c r="Y6" s="141">
        <f t="shared" si="5"/>
        <v>0</v>
      </c>
      <c r="AB6" s="777"/>
      <c r="AC6" s="777"/>
      <c r="AD6" t="e">
        <f t="shared" si="15"/>
        <v>#N/A</v>
      </c>
    </row>
    <row r="7" spans="1:30" x14ac:dyDescent="0.2">
      <c r="A7" s="916" t="s">
        <v>174</v>
      </c>
      <c r="B7" t="s">
        <v>2091</v>
      </c>
      <c r="C7" t="s">
        <v>2097</v>
      </c>
      <c r="D7">
        <v>1063001</v>
      </c>
      <c r="E7" t="s">
        <v>2095</v>
      </c>
      <c r="F7" s="854">
        <v>37196</v>
      </c>
      <c r="G7" s="854"/>
      <c r="H7" s="854"/>
      <c r="I7" s="854" t="s">
        <v>244</v>
      </c>
      <c r="J7">
        <f t="shared" si="6"/>
        <v>0</v>
      </c>
      <c r="K7">
        <f t="shared" si="16"/>
        <v>0</v>
      </c>
      <c r="L7" s="251">
        <f t="shared" si="7"/>
        <v>2.2800000000000001E-2</v>
      </c>
      <c r="M7" s="557">
        <f t="shared" si="8"/>
        <v>0</v>
      </c>
      <c r="N7" s="557">
        <f t="shared" si="0"/>
        <v>0</v>
      </c>
      <c r="O7" s="557">
        <f t="shared" si="1"/>
        <v>0</v>
      </c>
      <c r="P7" s="557">
        <f t="shared" si="2"/>
        <v>0</v>
      </c>
      <c r="Q7" s="226" t="str">
        <f t="shared" si="9"/>
        <v>Y</v>
      </c>
      <c r="R7" s="226">
        <f t="shared" si="3"/>
        <v>0</v>
      </c>
      <c r="S7">
        <f t="shared" si="4"/>
        <v>0</v>
      </c>
      <c r="T7" s="141">
        <f t="shared" si="10"/>
        <v>0</v>
      </c>
      <c r="U7" s="710">
        <f t="shared" si="11"/>
        <v>0</v>
      </c>
      <c r="V7" s="710">
        <f t="shared" si="12"/>
        <v>0</v>
      </c>
      <c r="W7" s="710">
        <f t="shared" si="13"/>
        <v>0</v>
      </c>
      <c r="X7" s="710">
        <f t="shared" si="14"/>
        <v>0</v>
      </c>
      <c r="Y7" s="141">
        <f t="shared" si="5"/>
        <v>0</v>
      </c>
      <c r="AB7" s="777"/>
      <c r="AC7" s="777"/>
      <c r="AD7" t="e">
        <f t="shared" si="15"/>
        <v>#N/A</v>
      </c>
    </row>
    <row r="8" spans="1:30" x14ac:dyDescent="0.2">
      <c r="A8" s="916" t="s">
        <v>174</v>
      </c>
      <c r="B8" t="s">
        <v>2089</v>
      </c>
      <c r="C8" t="s">
        <v>28</v>
      </c>
      <c r="D8">
        <v>1063501</v>
      </c>
      <c r="E8" t="s">
        <v>25</v>
      </c>
      <c r="F8" s="854">
        <v>37196</v>
      </c>
      <c r="G8" s="854"/>
      <c r="H8" s="854"/>
      <c r="I8" s="854" t="s">
        <v>245</v>
      </c>
      <c r="J8">
        <f t="shared" si="6"/>
        <v>0</v>
      </c>
      <c r="K8">
        <f t="shared" si="16"/>
        <v>0</v>
      </c>
      <c r="L8" s="251">
        <f t="shared" si="7"/>
        <v>2.2800000000000001E-2</v>
      </c>
      <c r="M8" s="557">
        <f t="shared" si="8"/>
        <v>0</v>
      </c>
      <c r="N8" s="557">
        <f t="shared" si="0"/>
        <v>0</v>
      </c>
      <c r="O8" s="557">
        <f t="shared" si="1"/>
        <v>0</v>
      </c>
      <c r="P8" s="557">
        <f t="shared" si="2"/>
        <v>0</v>
      </c>
      <c r="Q8" s="226" t="str">
        <f t="shared" si="9"/>
        <v>Y</v>
      </c>
      <c r="R8" s="226">
        <f t="shared" si="3"/>
        <v>0</v>
      </c>
      <c r="S8">
        <f t="shared" si="4"/>
        <v>0</v>
      </c>
      <c r="T8" s="141">
        <f t="shared" si="10"/>
        <v>0</v>
      </c>
      <c r="U8" s="710">
        <f t="shared" si="11"/>
        <v>0</v>
      </c>
      <c r="V8" s="710">
        <f t="shared" si="12"/>
        <v>0</v>
      </c>
      <c r="W8" s="710">
        <f t="shared" si="13"/>
        <v>0</v>
      </c>
      <c r="X8" s="710">
        <f t="shared" si="14"/>
        <v>0</v>
      </c>
      <c r="Y8" s="141">
        <f t="shared" si="5"/>
        <v>0</v>
      </c>
      <c r="AB8" s="777"/>
      <c r="AC8" s="777"/>
      <c r="AD8" t="e">
        <f t="shared" si="15"/>
        <v>#N/A</v>
      </c>
    </row>
    <row r="9" spans="1:30" x14ac:dyDescent="0.2">
      <c r="A9" s="916" t="s">
        <v>174</v>
      </c>
      <c r="B9" t="s">
        <v>2089</v>
      </c>
      <c r="C9" t="s">
        <v>1352</v>
      </c>
      <c r="D9">
        <v>1078001</v>
      </c>
      <c r="E9" t="s">
        <v>1143</v>
      </c>
      <c r="F9" s="854">
        <v>37196</v>
      </c>
      <c r="G9" s="854"/>
      <c r="H9" s="854"/>
      <c r="I9" s="854" t="s">
        <v>245</v>
      </c>
      <c r="J9">
        <f t="shared" si="6"/>
        <v>0</v>
      </c>
      <c r="K9">
        <f t="shared" si="16"/>
        <v>0</v>
      </c>
      <c r="L9" s="251">
        <f t="shared" si="7"/>
        <v>2.2800000000000001E-2</v>
      </c>
      <c r="M9" s="557">
        <f t="shared" si="8"/>
        <v>0</v>
      </c>
      <c r="N9" s="557">
        <f t="shared" si="0"/>
        <v>0</v>
      </c>
      <c r="O9" s="557">
        <f t="shared" si="1"/>
        <v>0</v>
      </c>
      <c r="P9" s="557">
        <f t="shared" si="2"/>
        <v>0</v>
      </c>
      <c r="Q9" s="226" t="str">
        <f t="shared" si="9"/>
        <v>Y</v>
      </c>
      <c r="R9" s="226">
        <f t="shared" si="3"/>
        <v>0</v>
      </c>
      <c r="S9">
        <f t="shared" si="4"/>
        <v>0</v>
      </c>
      <c r="T9" s="141">
        <f t="shared" si="10"/>
        <v>0</v>
      </c>
      <c r="U9" s="710">
        <f t="shared" si="11"/>
        <v>0</v>
      </c>
      <c r="V9" s="710">
        <f t="shared" si="12"/>
        <v>0</v>
      </c>
      <c r="W9" s="710">
        <f t="shared" si="13"/>
        <v>0</v>
      </c>
      <c r="X9" s="710">
        <f t="shared" si="14"/>
        <v>0</v>
      </c>
      <c r="Y9" s="141">
        <f t="shared" si="5"/>
        <v>0</v>
      </c>
      <c r="AB9" s="777"/>
      <c r="AC9" s="777"/>
      <c r="AD9" t="e">
        <f t="shared" si="15"/>
        <v>#N/A</v>
      </c>
    </row>
    <row r="10" spans="1:30" x14ac:dyDescent="0.2">
      <c r="A10" s="916" t="s">
        <v>174</v>
      </c>
      <c r="B10" t="s">
        <v>2089</v>
      </c>
      <c r="C10" t="s">
        <v>1351</v>
      </c>
      <c r="D10">
        <v>1091301</v>
      </c>
      <c r="E10" t="s">
        <v>1143</v>
      </c>
      <c r="F10" s="854">
        <v>37196</v>
      </c>
      <c r="G10" s="854"/>
      <c r="H10" s="854"/>
      <c r="I10" s="854" t="s">
        <v>245</v>
      </c>
      <c r="J10">
        <f t="shared" si="6"/>
        <v>0</v>
      </c>
      <c r="K10">
        <f t="shared" si="16"/>
        <v>0</v>
      </c>
      <c r="L10" s="251"/>
      <c r="M10" s="557"/>
      <c r="N10" s="557"/>
      <c r="O10" s="557"/>
      <c r="P10" s="557">
        <f t="shared" si="2"/>
        <v>0</v>
      </c>
      <c r="Q10" s="226" t="str">
        <f t="shared" ref="Q10:Q42" si="17">IF(ISNA(VLOOKUP(C10,INCNG,1,FALSE)),"--", "Y")</f>
        <v>Y</v>
      </c>
      <c r="R10" s="226">
        <f t="shared" ref="R10:R42" si="18">IF(ISNA(VLOOKUP(C10,INCNG,10,FALSE)),0,VLOOKUP(C10,INCNG,10,FALSE))</f>
        <v>0</v>
      </c>
      <c r="S10">
        <f t="shared" ref="S10:S42" si="19">+K10-R10</f>
        <v>0</v>
      </c>
      <c r="T10" s="141">
        <f t="shared" si="10"/>
        <v>0</v>
      </c>
      <c r="U10" s="710">
        <f t="shared" si="11"/>
        <v>0</v>
      </c>
      <c r="V10" s="710">
        <f t="shared" si="12"/>
        <v>0</v>
      </c>
      <c r="W10" s="710">
        <f t="shared" si="13"/>
        <v>0</v>
      </c>
      <c r="X10" s="710">
        <f t="shared" si="14"/>
        <v>0</v>
      </c>
      <c r="Y10" s="141">
        <f t="shared" ref="Y10:Y42" si="20">SUM(U10:X10)</f>
        <v>0</v>
      </c>
      <c r="AB10" s="777"/>
      <c r="AC10" s="777"/>
    </row>
    <row r="11" spans="1:30" x14ac:dyDescent="0.2">
      <c r="A11" s="916" t="s">
        <v>174</v>
      </c>
      <c r="B11" t="s">
        <v>2091</v>
      </c>
      <c r="C11" t="s">
        <v>1089</v>
      </c>
      <c r="D11">
        <v>2026901</v>
      </c>
      <c r="E11" t="s">
        <v>1090</v>
      </c>
      <c r="F11" s="854">
        <v>37196</v>
      </c>
      <c r="G11" s="854"/>
      <c r="H11" s="854"/>
      <c r="I11" s="854" t="s">
        <v>244</v>
      </c>
      <c r="J11">
        <f t="shared" si="6"/>
        <v>0</v>
      </c>
      <c r="K11">
        <f t="shared" si="16"/>
        <v>0</v>
      </c>
      <c r="L11" s="251"/>
      <c r="M11" s="557"/>
      <c r="N11" s="557"/>
      <c r="O11" s="557"/>
      <c r="P11" s="557">
        <f t="shared" si="2"/>
        <v>0</v>
      </c>
      <c r="Q11" s="226" t="str">
        <f t="shared" si="17"/>
        <v>Y</v>
      </c>
      <c r="R11" s="226">
        <f t="shared" si="18"/>
        <v>0</v>
      </c>
      <c r="S11">
        <f t="shared" si="19"/>
        <v>0</v>
      </c>
      <c r="T11" s="141">
        <f t="shared" si="10"/>
        <v>0</v>
      </c>
      <c r="U11" s="710">
        <f t="shared" si="11"/>
        <v>0</v>
      </c>
      <c r="V11" s="710">
        <f t="shared" si="12"/>
        <v>0</v>
      </c>
      <c r="W11" s="710">
        <f t="shared" si="13"/>
        <v>0</v>
      </c>
      <c r="X11" s="710">
        <f t="shared" si="14"/>
        <v>0</v>
      </c>
      <c r="Y11" s="141">
        <f t="shared" si="20"/>
        <v>0</v>
      </c>
      <c r="AB11" s="777"/>
      <c r="AC11" s="777"/>
    </row>
    <row r="12" spans="1:30" x14ac:dyDescent="0.2">
      <c r="A12" s="916" t="s">
        <v>174</v>
      </c>
      <c r="B12" t="s">
        <v>2089</v>
      </c>
      <c r="C12" t="s">
        <v>1321</v>
      </c>
      <c r="D12">
        <v>2038501</v>
      </c>
      <c r="E12" t="s">
        <v>1322</v>
      </c>
      <c r="F12" s="854">
        <v>37196</v>
      </c>
      <c r="G12" s="854"/>
      <c r="H12" s="854"/>
      <c r="I12" s="854" t="s">
        <v>245</v>
      </c>
      <c r="J12">
        <f t="shared" si="6"/>
        <v>0</v>
      </c>
      <c r="K12">
        <f t="shared" si="16"/>
        <v>0</v>
      </c>
      <c r="L12" s="251"/>
      <c r="M12" s="557"/>
      <c r="N12" s="557"/>
      <c r="O12" s="557"/>
      <c r="P12" s="557">
        <f t="shared" si="2"/>
        <v>0</v>
      </c>
      <c r="Q12" s="226" t="str">
        <f t="shared" si="17"/>
        <v>Y</v>
      </c>
      <c r="R12" s="226">
        <f t="shared" si="18"/>
        <v>0</v>
      </c>
      <c r="S12">
        <f t="shared" si="19"/>
        <v>0</v>
      </c>
      <c r="T12" s="141">
        <f t="shared" si="10"/>
        <v>0</v>
      </c>
      <c r="U12" s="710">
        <f t="shared" si="11"/>
        <v>0</v>
      </c>
      <c r="V12" s="710">
        <f t="shared" si="12"/>
        <v>0</v>
      </c>
      <c r="W12" s="710">
        <f t="shared" si="13"/>
        <v>0</v>
      </c>
      <c r="X12" s="710">
        <f t="shared" si="14"/>
        <v>0</v>
      </c>
      <c r="Y12" s="141">
        <f t="shared" si="20"/>
        <v>0</v>
      </c>
      <c r="AB12" s="777"/>
      <c r="AC12" s="777"/>
    </row>
    <row r="13" spans="1:30" x14ac:dyDescent="0.2">
      <c r="A13" s="916" t="s">
        <v>174</v>
      </c>
      <c r="B13" t="s">
        <v>2089</v>
      </c>
      <c r="C13" t="s">
        <v>1346</v>
      </c>
      <c r="D13">
        <v>2041001</v>
      </c>
      <c r="E13" t="s">
        <v>1262</v>
      </c>
      <c r="F13" s="854">
        <v>37196</v>
      </c>
      <c r="G13" s="854"/>
      <c r="H13" s="854"/>
      <c r="I13" s="854" t="s">
        <v>245</v>
      </c>
      <c r="J13">
        <f t="shared" si="6"/>
        <v>0</v>
      </c>
      <c r="K13">
        <f t="shared" si="16"/>
        <v>0</v>
      </c>
      <c r="L13" s="251"/>
      <c r="M13" s="557"/>
      <c r="N13" s="557"/>
      <c r="O13" s="557"/>
      <c r="P13" s="557">
        <f t="shared" si="2"/>
        <v>0</v>
      </c>
      <c r="Q13" s="226" t="str">
        <f t="shared" si="17"/>
        <v>Y</v>
      </c>
      <c r="R13" s="226">
        <f t="shared" si="18"/>
        <v>0</v>
      </c>
      <c r="S13">
        <f t="shared" si="19"/>
        <v>0</v>
      </c>
      <c r="T13" s="141">
        <f t="shared" si="10"/>
        <v>0</v>
      </c>
      <c r="U13" s="710">
        <f t="shared" si="11"/>
        <v>0</v>
      </c>
      <c r="V13" s="710">
        <f t="shared" si="12"/>
        <v>0</v>
      </c>
      <c r="W13" s="710">
        <f t="shared" si="13"/>
        <v>0</v>
      </c>
      <c r="X13" s="710">
        <f t="shared" si="14"/>
        <v>0</v>
      </c>
      <c r="Y13" s="141">
        <f t="shared" si="20"/>
        <v>0</v>
      </c>
      <c r="AB13" s="777"/>
      <c r="AC13" s="777"/>
    </row>
    <row r="14" spans="1:30" x14ac:dyDescent="0.2">
      <c r="A14" s="916" t="s">
        <v>174</v>
      </c>
      <c r="B14" t="s">
        <v>2091</v>
      </c>
      <c r="C14" t="s">
        <v>2100</v>
      </c>
      <c r="D14">
        <v>2052901</v>
      </c>
      <c r="E14" t="s">
        <v>2095</v>
      </c>
      <c r="F14" s="854">
        <v>37196</v>
      </c>
      <c r="G14" s="854"/>
      <c r="H14" s="854"/>
      <c r="I14" s="854" t="s">
        <v>244</v>
      </c>
      <c r="J14">
        <f t="shared" si="6"/>
        <v>0</v>
      </c>
      <c r="K14">
        <f t="shared" si="16"/>
        <v>0</v>
      </c>
      <c r="L14" s="251"/>
      <c r="M14" s="557"/>
      <c r="N14" s="557"/>
      <c r="O14" s="557"/>
      <c r="P14" s="557">
        <f t="shared" si="2"/>
        <v>0</v>
      </c>
      <c r="Q14" s="226" t="str">
        <f t="shared" si="17"/>
        <v>Y</v>
      </c>
      <c r="R14" s="226">
        <f t="shared" si="18"/>
        <v>0</v>
      </c>
      <c r="S14">
        <f t="shared" si="19"/>
        <v>0</v>
      </c>
      <c r="T14" s="141">
        <f t="shared" si="10"/>
        <v>0</v>
      </c>
      <c r="U14" s="710">
        <f t="shared" si="11"/>
        <v>0</v>
      </c>
      <c r="V14" s="710">
        <f t="shared" si="12"/>
        <v>0</v>
      </c>
      <c r="W14" s="710">
        <f t="shared" si="13"/>
        <v>0</v>
      </c>
      <c r="X14" s="710">
        <f t="shared" si="14"/>
        <v>0</v>
      </c>
      <c r="Y14" s="141">
        <f t="shared" si="20"/>
        <v>0</v>
      </c>
      <c r="AB14" s="777"/>
      <c r="AC14" s="777"/>
    </row>
    <row r="15" spans="1:30" x14ac:dyDescent="0.2">
      <c r="A15" s="916" t="s">
        <v>174</v>
      </c>
      <c r="B15" t="s">
        <v>2091</v>
      </c>
      <c r="C15" t="s">
        <v>2099</v>
      </c>
      <c r="D15">
        <v>2053201</v>
      </c>
      <c r="E15" t="s">
        <v>2095</v>
      </c>
      <c r="F15" s="854">
        <v>37196</v>
      </c>
      <c r="G15" s="854"/>
      <c r="H15" s="854"/>
      <c r="I15" s="854" t="s">
        <v>244</v>
      </c>
      <c r="J15">
        <f t="shared" si="6"/>
        <v>0</v>
      </c>
      <c r="K15">
        <f t="shared" si="16"/>
        <v>0</v>
      </c>
      <c r="L15" s="251"/>
      <c r="M15" s="557"/>
      <c r="N15" s="557"/>
      <c r="O15" s="557"/>
      <c r="P15" s="557">
        <f t="shared" si="2"/>
        <v>0</v>
      </c>
      <c r="Q15" s="226" t="str">
        <f t="shared" si="17"/>
        <v>Y</v>
      </c>
      <c r="R15" s="226">
        <f t="shared" si="18"/>
        <v>0</v>
      </c>
      <c r="S15">
        <f t="shared" si="19"/>
        <v>0</v>
      </c>
      <c r="T15" s="141">
        <f t="shared" si="10"/>
        <v>0</v>
      </c>
      <c r="U15" s="710">
        <f t="shared" si="11"/>
        <v>0</v>
      </c>
      <c r="V15" s="710">
        <f t="shared" si="12"/>
        <v>0</v>
      </c>
      <c r="W15" s="710">
        <f t="shared" si="13"/>
        <v>0</v>
      </c>
      <c r="X15" s="710">
        <f t="shared" si="14"/>
        <v>0</v>
      </c>
      <c r="Y15" s="141">
        <f t="shared" si="20"/>
        <v>0</v>
      </c>
      <c r="AB15" s="777"/>
      <c r="AC15" s="777"/>
    </row>
    <row r="16" spans="1:30" x14ac:dyDescent="0.2">
      <c r="A16" s="916" t="s">
        <v>174</v>
      </c>
      <c r="B16" t="s">
        <v>2091</v>
      </c>
      <c r="C16" t="s">
        <v>1087</v>
      </c>
      <c r="D16">
        <v>2062201</v>
      </c>
      <c r="E16" t="s">
        <v>1088</v>
      </c>
      <c r="F16" s="854">
        <v>37196</v>
      </c>
      <c r="G16" s="854"/>
      <c r="H16" s="854"/>
      <c r="I16" s="854" t="s">
        <v>244</v>
      </c>
      <c r="J16">
        <f t="shared" si="6"/>
        <v>0</v>
      </c>
      <c r="K16">
        <f t="shared" si="16"/>
        <v>0</v>
      </c>
      <c r="L16" s="251"/>
      <c r="M16" s="557"/>
      <c r="N16" s="557"/>
      <c r="O16" s="557"/>
      <c r="P16" s="557">
        <f t="shared" si="2"/>
        <v>0</v>
      </c>
      <c r="Q16" s="226" t="str">
        <f t="shared" si="17"/>
        <v>Y</v>
      </c>
      <c r="R16" s="226">
        <f t="shared" si="18"/>
        <v>0</v>
      </c>
      <c r="S16">
        <f t="shared" si="19"/>
        <v>0</v>
      </c>
      <c r="T16" s="141">
        <f t="shared" si="10"/>
        <v>0</v>
      </c>
      <c r="U16" s="710">
        <f t="shared" si="11"/>
        <v>0</v>
      </c>
      <c r="V16" s="710">
        <f t="shared" si="12"/>
        <v>0</v>
      </c>
      <c r="W16" s="710">
        <f t="shared" si="13"/>
        <v>0</v>
      </c>
      <c r="X16" s="710">
        <f t="shared" si="14"/>
        <v>0</v>
      </c>
      <c r="Y16" s="141">
        <f t="shared" si="20"/>
        <v>0</v>
      </c>
      <c r="AB16" s="777"/>
      <c r="AC16" s="777"/>
    </row>
    <row r="17" spans="1:29" x14ac:dyDescent="0.2">
      <c r="A17" s="916" t="s">
        <v>174</v>
      </c>
      <c r="B17" t="s">
        <v>2091</v>
      </c>
      <c r="C17" t="s">
        <v>1091</v>
      </c>
      <c r="D17">
        <v>2075601</v>
      </c>
      <c r="E17" t="s">
        <v>1092</v>
      </c>
      <c r="F17" s="854">
        <v>37196</v>
      </c>
      <c r="G17" s="854"/>
      <c r="H17" s="854"/>
      <c r="I17" s="854" t="s">
        <v>244</v>
      </c>
      <c r="J17">
        <f t="shared" si="6"/>
        <v>0</v>
      </c>
      <c r="K17">
        <f t="shared" si="16"/>
        <v>0</v>
      </c>
      <c r="L17" s="251"/>
      <c r="M17" s="557"/>
      <c r="N17" s="557"/>
      <c r="O17" s="557"/>
      <c r="P17" s="557">
        <f t="shared" si="2"/>
        <v>0</v>
      </c>
      <c r="Q17" s="226" t="str">
        <f t="shared" si="17"/>
        <v>Y</v>
      </c>
      <c r="R17" s="226">
        <f t="shared" si="18"/>
        <v>0</v>
      </c>
      <c r="S17">
        <f t="shared" si="19"/>
        <v>0</v>
      </c>
      <c r="T17" s="141">
        <f t="shared" si="10"/>
        <v>0</v>
      </c>
      <c r="U17" s="710">
        <f t="shared" si="11"/>
        <v>0</v>
      </c>
      <c r="V17" s="710">
        <f t="shared" si="12"/>
        <v>0</v>
      </c>
      <c r="W17" s="710">
        <f t="shared" si="13"/>
        <v>0</v>
      </c>
      <c r="X17" s="710">
        <f t="shared" si="14"/>
        <v>0</v>
      </c>
      <c r="Y17" s="141">
        <f t="shared" si="20"/>
        <v>0</v>
      </c>
      <c r="AB17" s="777"/>
      <c r="AC17" s="777"/>
    </row>
    <row r="18" spans="1:29" x14ac:dyDescent="0.2">
      <c r="A18" s="916" t="s">
        <v>174</v>
      </c>
      <c r="B18" t="s">
        <v>2091</v>
      </c>
      <c r="C18" t="s">
        <v>1093</v>
      </c>
      <c r="D18">
        <v>2095501</v>
      </c>
      <c r="E18" t="s">
        <v>1094</v>
      </c>
      <c r="F18" s="854">
        <v>37196</v>
      </c>
      <c r="G18" s="854"/>
      <c r="H18" s="854"/>
      <c r="I18" s="854" t="s">
        <v>244</v>
      </c>
      <c r="J18">
        <f t="shared" si="6"/>
        <v>0</v>
      </c>
      <c r="K18">
        <f t="shared" si="16"/>
        <v>0</v>
      </c>
      <c r="L18" s="251"/>
      <c r="M18" s="557"/>
      <c r="N18" s="557"/>
      <c r="O18" s="557"/>
      <c r="P18" s="557">
        <f t="shared" si="2"/>
        <v>0</v>
      </c>
      <c r="Q18" s="226" t="str">
        <f t="shared" si="17"/>
        <v>Y</v>
      </c>
      <c r="R18" s="226">
        <f t="shared" si="18"/>
        <v>0</v>
      </c>
      <c r="S18">
        <f t="shared" si="19"/>
        <v>0</v>
      </c>
      <c r="T18" s="141">
        <f t="shared" si="10"/>
        <v>0</v>
      </c>
      <c r="U18" s="710">
        <f t="shared" si="11"/>
        <v>0</v>
      </c>
      <c r="V18" s="710">
        <f t="shared" si="12"/>
        <v>0</v>
      </c>
      <c r="W18" s="710">
        <f t="shared" si="13"/>
        <v>0</v>
      </c>
      <c r="X18" s="710">
        <f t="shared" si="14"/>
        <v>0</v>
      </c>
      <c r="Y18" s="141">
        <f t="shared" si="20"/>
        <v>0</v>
      </c>
      <c r="AB18" s="777"/>
      <c r="AC18" s="777"/>
    </row>
    <row r="19" spans="1:29" x14ac:dyDescent="0.2">
      <c r="A19" s="916" t="s">
        <v>174</v>
      </c>
      <c r="B19" t="s">
        <v>2091</v>
      </c>
      <c r="C19" t="s">
        <v>33</v>
      </c>
      <c r="D19">
        <v>2096101</v>
      </c>
      <c r="E19" t="s">
        <v>34</v>
      </c>
      <c r="F19" s="854">
        <v>37196</v>
      </c>
      <c r="G19" s="854"/>
      <c r="H19" s="854"/>
      <c r="I19" s="854" t="s">
        <v>244</v>
      </c>
      <c r="J19">
        <f t="shared" si="6"/>
        <v>0</v>
      </c>
      <c r="K19">
        <f t="shared" si="16"/>
        <v>0</v>
      </c>
      <c r="L19" s="251"/>
      <c r="M19" s="557"/>
      <c r="N19" s="557"/>
      <c r="O19" s="557"/>
      <c r="P19" s="557">
        <f t="shared" si="2"/>
        <v>0</v>
      </c>
      <c r="Q19" s="226" t="str">
        <f t="shared" si="17"/>
        <v>Y</v>
      </c>
      <c r="R19" s="226">
        <f t="shared" si="18"/>
        <v>0</v>
      </c>
      <c r="S19">
        <f t="shared" si="19"/>
        <v>0</v>
      </c>
      <c r="T19" s="141">
        <f t="shared" si="10"/>
        <v>0</v>
      </c>
      <c r="U19" s="710">
        <f t="shared" si="11"/>
        <v>0</v>
      </c>
      <c r="V19" s="710">
        <f t="shared" si="12"/>
        <v>0</v>
      </c>
      <c r="W19" s="710">
        <f t="shared" si="13"/>
        <v>0</v>
      </c>
      <c r="X19" s="710">
        <f t="shared" si="14"/>
        <v>0</v>
      </c>
      <c r="Y19" s="141">
        <f t="shared" si="20"/>
        <v>0</v>
      </c>
      <c r="AB19" s="777"/>
      <c r="AC19" s="777"/>
    </row>
    <row r="20" spans="1:29" x14ac:dyDescent="0.2">
      <c r="A20" s="916" t="s">
        <v>174</v>
      </c>
      <c r="B20" t="s">
        <v>2089</v>
      </c>
      <c r="C20" t="s">
        <v>1104</v>
      </c>
      <c r="D20">
        <v>2150501</v>
      </c>
      <c r="E20" t="s">
        <v>1105</v>
      </c>
      <c r="F20" s="854">
        <v>37196</v>
      </c>
      <c r="G20" s="854"/>
      <c r="H20" s="854"/>
      <c r="I20" s="854" t="s">
        <v>245</v>
      </c>
      <c r="J20">
        <f t="shared" si="6"/>
        <v>0</v>
      </c>
      <c r="K20">
        <f t="shared" si="16"/>
        <v>0</v>
      </c>
      <c r="L20" s="251"/>
      <c r="M20" s="557"/>
      <c r="N20" s="557"/>
      <c r="O20" s="557"/>
      <c r="P20" s="557">
        <f t="shared" si="2"/>
        <v>0</v>
      </c>
      <c r="Q20" s="226" t="str">
        <f t="shared" si="17"/>
        <v>Y</v>
      </c>
      <c r="R20" s="226">
        <f t="shared" si="18"/>
        <v>0</v>
      </c>
      <c r="S20">
        <f t="shared" si="19"/>
        <v>0</v>
      </c>
      <c r="T20" s="141">
        <f t="shared" si="10"/>
        <v>0</v>
      </c>
      <c r="U20" s="710">
        <f t="shared" si="11"/>
        <v>0</v>
      </c>
      <c r="V20" s="710">
        <f t="shared" si="12"/>
        <v>0</v>
      </c>
      <c r="W20" s="710">
        <f t="shared" si="13"/>
        <v>0</v>
      </c>
      <c r="X20" s="710">
        <f t="shared" si="14"/>
        <v>0</v>
      </c>
      <c r="Y20" s="141">
        <f t="shared" si="20"/>
        <v>0</v>
      </c>
      <c r="AB20" s="777"/>
      <c r="AC20" s="777"/>
    </row>
    <row r="21" spans="1:29" x14ac:dyDescent="0.2">
      <c r="A21" s="916" t="s">
        <v>174</v>
      </c>
      <c r="B21" t="s">
        <v>2091</v>
      </c>
      <c r="C21" t="s">
        <v>2098</v>
      </c>
      <c r="D21">
        <v>2151401</v>
      </c>
      <c r="E21" t="s">
        <v>2095</v>
      </c>
      <c r="F21" s="854">
        <v>37196</v>
      </c>
      <c r="G21" s="854"/>
      <c r="H21" s="854"/>
      <c r="I21" s="854" t="s">
        <v>244</v>
      </c>
      <c r="J21">
        <f t="shared" si="6"/>
        <v>0</v>
      </c>
      <c r="K21">
        <f t="shared" si="16"/>
        <v>0</v>
      </c>
      <c r="L21" s="251"/>
      <c r="M21" s="557"/>
      <c r="N21" s="557"/>
      <c r="O21" s="557"/>
      <c r="P21" s="557">
        <f t="shared" si="2"/>
        <v>0</v>
      </c>
      <c r="Q21" s="226" t="str">
        <f t="shared" si="17"/>
        <v>Y</v>
      </c>
      <c r="R21" s="226">
        <f t="shared" si="18"/>
        <v>0</v>
      </c>
      <c r="S21">
        <f t="shared" si="19"/>
        <v>0</v>
      </c>
      <c r="T21" s="141">
        <f t="shared" si="10"/>
        <v>0</v>
      </c>
      <c r="U21" s="710">
        <f t="shared" si="11"/>
        <v>0</v>
      </c>
      <c r="V21" s="710">
        <f t="shared" si="12"/>
        <v>0</v>
      </c>
      <c r="W21" s="710">
        <f t="shared" si="13"/>
        <v>0</v>
      </c>
      <c r="X21" s="710">
        <f t="shared" si="14"/>
        <v>0</v>
      </c>
      <c r="Y21" s="141">
        <f t="shared" si="20"/>
        <v>0</v>
      </c>
      <c r="AB21" s="777"/>
      <c r="AC21" s="777"/>
    </row>
    <row r="22" spans="1:29" x14ac:dyDescent="0.2">
      <c r="A22" s="916" t="s">
        <v>174</v>
      </c>
      <c r="B22" t="s">
        <v>2089</v>
      </c>
      <c r="C22" t="s">
        <v>1106</v>
      </c>
      <c r="D22">
        <v>2152501</v>
      </c>
      <c r="E22" t="s">
        <v>1092</v>
      </c>
      <c r="F22" s="854">
        <v>37196</v>
      </c>
      <c r="G22" s="854"/>
      <c r="H22" s="854"/>
      <c r="I22" s="854" t="s">
        <v>245</v>
      </c>
      <c r="J22">
        <f t="shared" si="6"/>
        <v>0</v>
      </c>
      <c r="K22">
        <f t="shared" si="16"/>
        <v>0</v>
      </c>
      <c r="L22" s="251"/>
      <c r="M22" s="557"/>
      <c r="N22" s="557"/>
      <c r="O22" s="557"/>
      <c r="P22" s="557">
        <f t="shared" si="2"/>
        <v>0</v>
      </c>
      <c r="Q22" s="226" t="str">
        <f t="shared" si="17"/>
        <v>Y</v>
      </c>
      <c r="R22" s="226">
        <f t="shared" si="18"/>
        <v>0</v>
      </c>
      <c r="S22">
        <f t="shared" si="19"/>
        <v>0</v>
      </c>
      <c r="T22" s="141">
        <f t="shared" si="10"/>
        <v>0</v>
      </c>
      <c r="U22" s="710">
        <f t="shared" si="11"/>
        <v>0</v>
      </c>
      <c r="V22" s="710">
        <f t="shared" si="12"/>
        <v>0</v>
      </c>
      <c r="W22" s="710">
        <f t="shared" si="13"/>
        <v>0</v>
      </c>
      <c r="X22" s="710">
        <f t="shared" si="14"/>
        <v>0</v>
      </c>
      <c r="Y22" s="141">
        <f t="shared" si="20"/>
        <v>0</v>
      </c>
      <c r="AB22" s="777"/>
      <c r="AC22" s="777"/>
    </row>
    <row r="23" spans="1:29" x14ac:dyDescent="0.2">
      <c r="A23" s="916" t="s">
        <v>174</v>
      </c>
      <c r="B23" t="s">
        <v>2091</v>
      </c>
      <c r="C23" t="s">
        <v>255</v>
      </c>
      <c r="D23">
        <v>2159601</v>
      </c>
      <c r="E23" t="s">
        <v>34</v>
      </c>
      <c r="F23" s="854">
        <v>37196</v>
      </c>
      <c r="G23" s="854"/>
      <c r="H23" s="854"/>
      <c r="I23" s="854" t="s">
        <v>244</v>
      </c>
      <c r="J23">
        <f t="shared" si="6"/>
        <v>0</v>
      </c>
      <c r="K23">
        <f t="shared" si="16"/>
        <v>0</v>
      </c>
      <c r="L23" s="251"/>
      <c r="M23" s="557"/>
      <c r="N23" s="557"/>
      <c r="O23" s="557"/>
      <c r="P23" s="557">
        <f t="shared" si="2"/>
        <v>0</v>
      </c>
      <c r="Q23" s="226" t="str">
        <f t="shared" si="17"/>
        <v>Y</v>
      </c>
      <c r="R23" s="226">
        <f t="shared" si="18"/>
        <v>0</v>
      </c>
      <c r="S23">
        <f t="shared" si="19"/>
        <v>0</v>
      </c>
      <c r="T23" s="141">
        <f t="shared" si="10"/>
        <v>0</v>
      </c>
      <c r="U23" s="710">
        <f t="shared" si="11"/>
        <v>0</v>
      </c>
      <c r="V23" s="710">
        <f t="shared" si="12"/>
        <v>0</v>
      </c>
      <c r="W23" s="710">
        <f t="shared" si="13"/>
        <v>0</v>
      </c>
      <c r="X23" s="710">
        <f t="shared" si="14"/>
        <v>0</v>
      </c>
      <c r="Y23" s="141">
        <f t="shared" si="20"/>
        <v>0</v>
      </c>
      <c r="AB23" s="777"/>
      <c r="AC23" s="777"/>
    </row>
    <row r="24" spans="1:29" x14ac:dyDescent="0.2">
      <c r="A24" s="916" t="s">
        <v>174</v>
      </c>
      <c r="B24" t="s">
        <v>2089</v>
      </c>
      <c r="C24" t="s">
        <v>1279</v>
      </c>
      <c r="D24">
        <v>3001401</v>
      </c>
      <c r="E24" t="s">
        <v>335</v>
      </c>
      <c r="F24" s="854">
        <v>37196</v>
      </c>
      <c r="G24" s="854"/>
      <c r="H24" s="854"/>
      <c r="I24" s="854" t="s">
        <v>245</v>
      </c>
      <c r="J24">
        <f t="shared" si="6"/>
        <v>0</v>
      </c>
      <c r="K24">
        <f t="shared" si="16"/>
        <v>0</v>
      </c>
      <c r="L24" s="251"/>
      <c r="M24" s="557"/>
      <c r="N24" s="557"/>
      <c r="O24" s="557"/>
      <c r="P24" s="557">
        <f t="shared" si="2"/>
        <v>0</v>
      </c>
      <c r="Q24" s="226" t="str">
        <f t="shared" si="17"/>
        <v>Y</v>
      </c>
      <c r="R24" s="226">
        <f t="shared" si="18"/>
        <v>0</v>
      </c>
      <c r="S24">
        <f t="shared" si="19"/>
        <v>0</v>
      </c>
      <c r="T24" s="141">
        <f t="shared" si="10"/>
        <v>0</v>
      </c>
      <c r="U24" s="710">
        <f t="shared" si="11"/>
        <v>0</v>
      </c>
      <c r="V24" s="710">
        <f t="shared" si="12"/>
        <v>0</v>
      </c>
      <c r="W24" s="710">
        <f t="shared" si="13"/>
        <v>0</v>
      </c>
      <c r="X24" s="710">
        <f t="shared" si="14"/>
        <v>0</v>
      </c>
      <c r="Y24" s="141">
        <f t="shared" si="20"/>
        <v>0</v>
      </c>
      <c r="AB24" s="777"/>
      <c r="AC24" s="777"/>
    </row>
    <row r="25" spans="1:29" x14ac:dyDescent="0.2">
      <c r="A25" s="916" t="s">
        <v>174</v>
      </c>
      <c r="B25" t="s">
        <v>2089</v>
      </c>
      <c r="C25" t="s">
        <v>1280</v>
      </c>
      <c r="D25">
        <v>3001601</v>
      </c>
      <c r="E25" t="s">
        <v>335</v>
      </c>
      <c r="F25" s="854">
        <v>37196</v>
      </c>
      <c r="G25" s="854"/>
      <c r="H25" s="854"/>
      <c r="I25" s="854" t="s">
        <v>245</v>
      </c>
      <c r="J25">
        <f t="shared" si="6"/>
        <v>0</v>
      </c>
      <c r="K25">
        <f t="shared" si="16"/>
        <v>0</v>
      </c>
      <c r="L25" s="251"/>
      <c r="M25" s="557"/>
      <c r="N25" s="557"/>
      <c r="O25" s="557"/>
      <c r="P25" s="557">
        <f t="shared" si="2"/>
        <v>0</v>
      </c>
      <c r="Q25" s="226" t="str">
        <f t="shared" si="17"/>
        <v>Y</v>
      </c>
      <c r="R25" s="226">
        <f t="shared" si="18"/>
        <v>0</v>
      </c>
      <c r="S25">
        <f t="shared" si="19"/>
        <v>0</v>
      </c>
      <c r="T25" s="141">
        <f t="shared" si="10"/>
        <v>0</v>
      </c>
      <c r="U25" s="710">
        <f t="shared" si="11"/>
        <v>0</v>
      </c>
      <c r="V25" s="710">
        <f t="shared" si="12"/>
        <v>0</v>
      </c>
      <c r="W25" s="710">
        <f t="shared" si="13"/>
        <v>0</v>
      </c>
      <c r="X25" s="710">
        <f t="shared" si="14"/>
        <v>0</v>
      </c>
      <c r="Y25" s="141">
        <f t="shared" si="20"/>
        <v>0</v>
      </c>
      <c r="AB25" s="777"/>
      <c r="AC25" s="777"/>
    </row>
    <row r="26" spans="1:29" x14ac:dyDescent="0.2">
      <c r="A26" s="916" t="s">
        <v>174</v>
      </c>
      <c r="B26" t="s">
        <v>2089</v>
      </c>
      <c r="C26" t="s">
        <v>1329</v>
      </c>
      <c r="D26">
        <v>3007601</v>
      </c>
      <c r="E26" t="s">
        <v>1269</v>
      </c>
      <c r="F26" s="854">
        <v>37196</v>
      </c>
      <c r="G26" s="854"/>
      <c r="H26" s="854"/>
      <c r="I26" s="854" t="s">
        <v>245</v>
      </c>
      <c r="J26">
        <f t="shared" si="6"/>
        <v>0</v>
      </c>
      <c r="K26">
        <f t="shared" si="16"/>
        <v>0</v>
      </c>
      <c r="L26" s="251"/>
      <c r="M26" s="557"/>
      <c r="N26" s="557"/>
      <c r="O26" s="557"/>
      <c r="P26" s="557">
        <f t="shared" si="2"/>
        <v>0</v>
      </c>
      <c r="Q26" s="226" t="str">
        <f t="shared" si="17"/>
        <v>Y</v>
      </c>
      <c r="R26" s="226">
        <f t="shared" si="18"/>
        <v>0</v>
      </c>
      <c r="S26">
        <f t="shared" si="19"/>
        <v>0</v>
      </c>
      <c r="T26" s="141">
        <f t="shared" si="10"/>
        <v>0</v>
      </c>
      <c r="U26" s="710">
        <f t="shared" si="11"/>
        <v>0</v>
      </c>
      <c r="V26" s="710">
        <f t="shared" si="12"/>
        <v>0</v>
      </c>
      <c r="W26" s="710">
        <f t="shared" si="13"/>
        <v>0</v>
      </c>
      <c r="X26" s="710">
        <f t="shared" si="14"/>
        <v>0</v>
      </c>
      <c r="Y26" s="141">
        <f t="shared" si="20"/>
        <v>0</v>
      </c>
      <c r="AB26" s="777"/>
      <c r="AC26" s="777"/>
    </row>
    <row r="27" spans="1:29" x14ac:dyDescent="0.2">
      <c r="A27" s="916" t="s">
        <v>174</v>
      </c>
      <c r="B27" t="s">
        <v>2089</v>
      </c>
      <c r="C27" t="s">
        <v>35</v>
      </c>
      <c r="D27">
        <v>3008001</v>
      </c>
      <c r="E27" t="s">
        <v>36</v>
      </c>
      <c r="F27" s="854">
        <v>37196</v>
      </c>
      <c r="G27" s="854"/>
      <c r="H27" s="854"/>
      <c r="I27" s="854" t="s">
        <v>245</v>
      </c>
      <c r="J27">
        <f t="shared" si="6"/>
        <v>0</v>
      </c>
      <c r="K27">
        <f t="shared" si="16"/>
        <v>0</v>
      </c>
      <c r="L27" s="251"/>
      <c r="M27" s="557"/>
      <c r="N27" s="557"/>
      <c r="O27" s="557"/>
      <c r="P27" s="557">
        <f t="shared" si="2"/>
        <v>0</v>
      </c>
      <c r="Q27" s="226" t="str">
        <f t="shared" si="17"/>
        <v>Y</v>
      </c>
      <c r="R27" s="226">
        <f t="shared" si="18"/>
        <v>0</v>
      </c>
      <c r="S27">
        <f t="shared" si="19"/>
        <v>0</v>
      </c>
      <c r="T27" s="141">
        <f t="shared" si="10"/>
        <v>0</v>
      </c>
      <c r="U27" s="710">
        <f t="shared" si="11"/>
        <v>0</v>
      </c>
      <c r="V27" s="710">
        <f t="shared" si="12"/>
        <v>0</v>
      </c>
      <c r="W27" s="710">
        <f t="shared" si="13"/>
        <v>0</v>
      </c>
      <c r="X27" s="710">
        <f t="shared" si="14"/>
        <v>0</v>
      </c>
      <c r="Y27" s="141">
        <f t="shared" si="20"/>
        <v>0</v>
      </c>
      <c r="AB27" s="777"/>
      <c r="AC27" s="777"/>
    </row>
    <row r="28" spans="1:29" x14ac:dyDescent="0.2">
      <c r="A28" s="916" t="s">
        <v>174</v>
      </c>
      <c r="B28" t="s">
        <v>2089</v>
      </c>
      <c r="C28" t="s">
        <v>37</v>
      </c>
      <c r="D28">
        <v>3013701</v>
      </c>
      <c r="E28" t="s">
        <v>62</v>
      </c>
      <c r="F28" s="854">
        <v>37196</v>
      </c>
      <c r="G28" s="854"/>
      <c r="H28" s="854"/>
      <c r="I28" s="854" t="s">
        <v>245</v>
      </c>
      <c r="J28">
        <f t="shared" si="6"/>
        <v>0</v>
      </c>
      <c r="K28">
        <f t="shared" si="16"/>
        <v>0</v>
      </c>
      <c r="L28" s="251"/>
      <c r="M28" s="557"/>
      <c r="N28" s="557"/>
      <c r="O28" s="557"/>
      <c r="P28" s="557">
        <f t="shared" si="2"/>
        <v>0</v>
      </c>
      <c r="Q28" s="226" t="str">
        <f t="shared" si="17"/>
        <v>Y</v>
      </c>
      <c r="R28" s="226">
        <f t="shared" si="18"/>
        <v>0</v>
      </c>
      <c r="S28">
        <f t="shared" si="19"/>
        <v>0</v>
      </c>
      <c r="T28" s="141">
        <f t="shared" si="10"/>
        <v>0</v>
      </c>
      <c r="U28" s="710">
        <f t="shared" si="11"/>
        <v>0</v>
      </c>
      <c r="V28" s="710">
        <f t="shared" si="12"/>
        <v>0</v>
      </c>
      <c r="W28" s="710">
        <f t="shared" si="13"/>
        <v>0</v>
      </c>
      <c r="X28" s="710">
        <f t="shared" si="14"/>
        <v>0</v>
      </c>
      <c r="Y28" s="141">
        <f t="shared" si="20"/>
        <v>0</v>
      </c>
      <c r="AB28" s="777"/>
      <c r="AC28" s="777"/>
    </row>
    <row r="29" spans="1:29" x14ac:dyDescent="0.2">
      <c r="A29" s="916" t="s">
        <v>174</v>
      </c>
      <c r="B29" t="s">
        <v>2089</v>
      </c>
      <c r="C29" t="s">
        <v>38</v>
      </c>
      <c r="D29">
        <v>3014901</v>
      </c>
      <c r="E29" t="s">
        <v>25</v>
      </c>
      <c r="F29" s="854">
        <v>37196</v>
      </c>
      <c r="G29" s="854"/>
      <c r="H29" s="854"/>
      <c r="I29" s="854" t="s">
        <v>245</v>
      </c>
      <c r="J29">
        <f t="shared" si="6"/>
        <v>0</v>
      </c>
      <c r="K29">
        <f t="shared" si="16"/>
        <v>0</v>
      </c>
      <c r="L29" s="251"/>
      <c r="M29" s="557"/>
      <c r="N29" s="557"/>
      <c r="O29" s="557"/>
      <c r="P29" s="557">
        <f t="shared" si="2"/>
        <v>0</v>
      </c>
      <c r="Q29" s="226" t="str">
        <f t="shared" si="17"/>
        <v>Y</v>
      </c>
      <c r="R29" s="226">
        <f t="shared" si="18"/>
        <v>0</v>
      </c>
      <c r="S29">
        <f t="shared" si="19"/>
        <v>0</v>
      </c>
      <c r="T29" s="141">
        <f t="shared" si="10"/>
        <v>0</v>
      </c>
      <c r="U29" s="710">
        <f t="shared" si="11"/>
        <v>0</v>
      </c>
      <c r="V29" s="710">
        <f t="shared" si="12"/>
        <v>0</v>
      </c>
      <c r="W29" s="710">
        <f t="shared" si="13"/>
        <v>0</v>
      </c>
      <c r="X29" s="710">
        <f t="shared" si="14"/>
        <v>0</v>
      </c>
      <c r="Y29" s="141">
        <f t="shared" si="20"/>
        <v>0</v>
      </c>
      <c r="AB29" s="777"/>
      <c r="AC29" s="777"/>
    </row>
    <row r="30" spans="1:29" x14ac:dyDescent="0.2">
      <c r="A30" s="916" t="s">
        <v>174</v>
      </c>
      <c r="B30" t="s">
        <v>2089</v>
      </c>
      <c r="C30" t="s">
        <v>39</v>
      </c>
      <c r="D30">
        <v>3015901</v>
      </c>
      <c r="E30" t="s">
        <v>36</v>
      </c>
      <c r="F30" s="854">
        <v>37196</v>
      </c>
      <c r="G30" s="854"/>
      <c r="H30" s="854"/>
      <c r="I30" s="854" t="s">
        <v>245</v>
      </c>
      <c r="J30">
        <f t="shared" si="6"/>
        <v>0</v>
      </c>
      <c r="K30">
        <f t="shared" si="16"/>
        <v>0</v>
      </c>
      <c r="L30" s="251"/>
      <c r="M30" s="557"/>
      <c r="N30" s="557"/>
      <c r="O30" s="557"/>
      <c r="P30" s="557">
        <f t="shared" si="2"/>
        <v>0</v>
      </c>
      <c r="Q30" s="226" t="str">
        <f t="shared" si="17"/>
        <v>Y</v>
      </c>
      <c r="R30" s="226">
        <f t="shared" si="18"/>
        <v>0</v>
      </c>
      <c r="S30">
        <f t="shared" si="19"/>
        <v>0</v>
      </c>
      <c r="T30" s="141">
        <f t="shared" si="10"/>
        <v>0</v>
      </c>
      <c r="U30" s="710">
        <f t="shared" si="11"/>
        <v>0</v>
      </c>
      <c r="V30" s="710">
        <f t="shared" si="12"/>
        <v>0</v>
      </c>
      <c r="W30" s="710">
        <f t="shared" si="13"/>
        <v>0</v>
      </c>
      <c r="X30" s="710">
        <f t="shared" si="14"/>
        <v>0</v>
      </c>
      <c r="Y30" s="141">
        <f t="shared" si="20"/>
        <v>0</v>
      </c>
      <c r="AB30" s="777"/>
      <c r="AC30" s="777"/>
    </row>
    <row r="31" spans="1:29" x14ac:dyDescent="0.2">
      <c r="A31" s="916" t="s">
        <v>174</v>
      </c>
      <c r="B31" t="s">
        <v>2089</v>
      </c>
      <c r="C31" t="s">
        <v>1187</v>
      </c>
      <c r="D31">
        <v>3016301</v>
      </c>
      <c r="E31" t="s">
        <v>1188</v>
      </c>
      <c r="F31" s="854">
        <v>37196</v>
      </c>
      <c r="G31" s="854"/>
      <c r="H31" s="854"/>
      <c r="I31" s="854" t="s">
        <v>245</v>
      </c>
      <c r="J31">
        <f t="shared" si="6"/>
        <v>0</v>
      </c>
      <c r="K31">
        <f t="shared" si="16"/>
        <v>0</v>
      </c>
      <c r="L31" s="251"/>
      <c r="M31" s="557"/>
      <c r="N31" s="557"/>
      <c r="O31" s="557"/>
      <c r="P31" s="557">
        <f t="shared" si="2"/>
        <v>0</v>
      </c>
      <c r="Q31" s="226" t="str">
        <f t="shared" si="17"/>
        <v>Y</v>
      </c>
      <c r="R31" s="226">
        <f t="shared" si="18"/>
        <v>0</v>
      </c>
      <c r="S31">
        <f t="shared" si="19"/>
        <v>0</v>
      </c>
      <c r="T31" s="141">
        <f t="shared" si="10"/>
        <v>0</v>
      </c>
      <c r="U31" s="710">
        <f t="shared" si="11"/>
        <v>0</v>
      </c>
      <c r="V31" s="710">
        <f t="shared" si="12"/>
        <v>0</v>
      </c>
      <c r="W31" s="710">
        <f t="shared" si="13"/>
        <v>0</v>
      </c>
      <c r="X31" s="710">
        <f t="shared" si="14"/>
        <v>0</v>
      </c>
      <c r="Y31" s="141">
        <f t="shared" si="20"/>
        <v>0</v>
      </c>
      <c r="AB31" s="777"/>
      <c r="AC31" s="777"/>
    </row>
    <row r="32" spans="1:29" x14ac:dyDescent="0.2">
      <c r="A32" s="916" t="s">
        <v>174</v>
      </c>
      <c r="B32" t="s">
        <v>2089</v>
      </c>
      <c r="C32" t="s">
        <v>41</v>
      </c>
      <c r="D32">
        <v>3017201</v>
      </c>
      <c r="E32" t="s">
        <v>176</v>
      </c>
      <c r="F32" s="854">
        <v>37196</v>
      </c>
      <c r="G32" s="854"/>
      <c r="H32" s="854"/>
      <c r="I32" s="854" t="s">
        <v>245</v>
      </c>
      <c r="J32">
        <f t="shared" si="6"/>
        <v>0</v>
      </c>
      <c r="K32">
        <f t="shared" si="16"/>
        <v>0</v>
      </c>
      <c r="L32" s="251"/>
      <c r="M32" s="557"/>
      <c r="N32" s="557"/>
      <c r="O32" s="557"/>
      <c r="P32" s="557">
        <f t="shared" si="2"/>
        <v>0</v>
      </c>
      <c r="Q32" s="226" t="str">
        <f t="shared" si="17"/>
        <v>Y</v>
      </c>
      <c r="R32" s="226">
        <f t="shared" si="18"/>
        <v>0</v>
      </c>
      <c r="S32">
        <f t="shared" si="19"/>
        <v>0</v>
      </c>
      <c r="T32" s="141">
        <f t="shared" si="10"/>
        <v>0</v>
      </c>
      <c r="U32" s="710">
        <f t="shared" si="11"/>
        <v>0</v>
      </c>
      <c r="V32" s="710">
        <f t="shared" si="12"/>
        <v>0</v>
      </c>
      <c r="W32" s="710">
        <f t="shared" si="13"/>
        <v>0</v>
      </c>
      <c r="X32" s="710">
        <f t="shared" si="14"/>
        <v>0</v>
      </c>
      <c r="Y32" s="141">
        <f t="shared" si="20"/>
        <v>0</v>
      </c>
      <c r="AB32" s="777"/>
      <c r="AC32" s="777"/>
    </row>
    <row r="33" spans="1:30" x14ac:dyDescent="0.2">
      <c r="A33" s="916" t="s">
        <v>174</v>
      </c>
      <c r="B33" t="s">
        <v>2090</v>
      </c>
      <c r="C33" t="s">
        <v>44</v>
      </c>
      <c r="D33">
        <v>3021701</v>
      </c>
      <c r="E33" t="s">
        <v>25</v>
      </c>
      <c r="F33" s="854">
        <v>37196</v>
      </c>
      <c r="G33" s="854"/>
      <c r="H33" s="854"/>
      <c r="I33" s="854" t="s">
        <v>252</v>
      </c>
      <c r="J33">
        <f t="shared" si="6"/>
        <v>0</v>
      </c>
      <c r="K33">
        <f t="shared" si="16"/>
        <v>0</v>
      </c>
      <c r="L33" s="251"/>
      <c r="M33" s="557"/>
      <c r="N33" s="557"/>
      <c r="O33" s="557"/>
      <c r="P33" s="557">
        <f t="shared" si="2"/>
        <v>0</v>
      </c>
      <c r="Q33" s="226" t="str">
        <f t="shared" si="17"/>
        <v>Y</v>
      </c>
      <c r="R33" s="226">
        <f t="shared" si="18"/>
        <v>0</v>
      </c>
      <c r="S33">
        <f t="shared" si="19"/>
        <v>0</v>
      </c>
      <c r="T33" s="141">
        <f t="shared" si="10"/>
        <v>0</v>
      </c>
      <c r="U33" s="710">
        <f t="shared" si="11"/>
        <v>0</v>
      </c>
      <c r="V33" s="710">
        <f t="shared" si="12"/>
        <v>0</v>
      </c>
      <c r="W33" s="710">
        <f t="shared" si="13"/>
        <v>0</v>
      </c>
      <c r="X33" s="710">
        <f t="shared" si="14"/>
        <v>0</v>
      </c>
      <c r="Y33" s="141">
        <f t="shared" si="20"/>
        <v>0</v>
      </c>
      <c r="AB33" s="777"/>
      <c r="AC33" s="777"/>
    </row>
    <row r="34" spans="1:30" x14ac:dyDescent="0.2">
      <c r="A34" s="916" t="s">
        <v>174</v>
      </c>
      <c r="B34" t="s">
        <v>2090</v>
      </c>
      <c r="C34" t="s">
        <v>45</v>
      </c>
      <c r="D34">
        <v>3023201</v>
      </c>
      <c r="E34" t="s">
        <v>25</v>
      </c>
      <c r="F34" s="854">
        <v>37196</v>
      </c>
      <c r="G34" s="854"/>
      <c r="H34" s="854"/>
      <c r="I34" s="854" t="s">
        <v>252</v>
      </c>
      <c r="J34">
        <f t="shared" si="6"/>
        <v>0</v>
      </c>
      <c r="K34">
        <f t="shared" si="16"/>
        <v>0</v>
      </c>
      <c r="L34" s="251"/>
      <c r="M34" s="557"/>
      <c r="N34" s="557"/>
      <c r="O34" s="557"/>
      <c r="P34" s="557">
        <f t="shared" si="2"/>
        <v>0</v>
      </c>
      <c r="Q34" s="226" t="str">
        <f t="shared" si="17"/>
        <v>Y</v>
      </c>
      <c r="R34" s="226">
        <f t="shared" si="18"/>
        <v>0</v>
      </c>
      <c r="S34">
        <f t="shared" si="19"/>
        <v>0</v>
      </c>
      <c r="T34" s="141">
        <f t="shared" si="10"/>
        <v>0</v>
      </c>
      <c r="U34" s="710">
        <f t="shared" si="11"/>
        <v>0</v>
      </c>
      <c r="V34" s="710">
        <f t="shared" si="12"/>
        <v>0</v>
      </c>
      <c r="W34" s="710">
        <f t="shared" si="13"/>
        <v>0</v>
      </c>
      <c r="X34" s="710">
        <f t="shared" si="14"/>
        <v>0</v>
      </c>
      <c r="Y34" s="141">
        <f t="shared" si="20"/>
        <v>0</v>
      </c>
      <c r="AB34" s="777"/>
      <c r="AC34" s="777"/>
    </row>
    <row r="35" spans="1:30" x14ac:dyDescent="0.2">
      <c r="A35" s="916" t="s">
        <v>174</v>
      </c>
      <c r="B35" t="s">
        <v>2089</v>
      </c>
      <c r="C35" t="s">
        <v>46</v>
      </c>
      <c r="D35">
        <v>3023401</v>
      </c>
      <c r="E35" t="s">
        <v>25</v>
      </c>
      <c r="F35" s="854">
        <v>37196</v>
      </c>
      <c r="G35" s="854"/>
      <c r="H35" s="854"/>
      <c r="I35" s="854" t="s">
        <v>245</v>
      </c>
      <c r="J35" t="str">
        <f t="shared" si="6"/>
        <v>na</v>
      </c>
      <c r="K35">
        <f t="shared" si="16"/>
        <v>0</v>
      </c>
      <c r="L35" s="251"/>
      <c r="M35" s="557"/>
      <c r="N35" s="557"/>
      <c r="O35" s="557"/>
      <c r="P35" s="557">
        <f t="shared" si="2"/>
        <v>0</v>
      </c>
      <c r="Q35" s="226" t="str">
        <f t="shared" si="17"/>
        <v>Y</v>
      </c>
      <c r="R35" s="226">
        <f t="shared" si="18"/>
        <v>0</v>
      </c>
      <c r="S35">
        <f t="shared" si="19"/>
        <v>0</v>
      </c>
      <c r="T35" s="141">
        <f t="shared" si="10"/>
        <v>0</v>
      </c>
      <c r="U35" s="710">
        <f t="shared" si="11"/>
        <v>0</v>
      </c>
      <c r="V35" s="710">
        <f t="shared" si="12"/>
        <v>0</v>
      </c>
      <c r="W35" s="710">
        <f t="shared" si="13"/>
        <v>0</v>
      </c>
      <c r="X35" s="710">
        <f t="shared" si="14"/>
        <v>0</v>
      </c>
      <c r="Y35" s="141">
        <f t="shared" si="20"/>
        <v>0</v>
      </c>
      <c r="AB35" s="777"/>
      <c r="AC35" s="777"/>
    </row>
    <row r="36" spans="1:30" x14ac:dyDescent="0.2">
      <c r="A36" s="916" t="s">
        <v>174</v>
      </c>
      <c r="B36" t="s">
        <v>2089</v>
      </c>
      <c r="C36" t="s">
        <v>47</v>
      </c>
      <c r="D36">
        <v>3024701</v>
      </c>
      <c r="E36" t="s">
        <v>25</v>
      </c>
      <c r="F36" s="854">
        <v>37196</v>
      </c>
      <c r="G36" s="854"/>
      <c r="H36" s="854"/>
      <c r="I36" s="854" t="s">
        <v>245</v>
      </c>
      <c r="J36">
        <f t="shared" si="6"/>
        <v>0</v>
      </c>
      <c r="K36">
        <f t="shared" si="16"/>
        <v>0</v>
      </c>
      <c r="L36" s="251"/>
      <c r="M36" s="557"/>
      <c r="N36" s="557"/>
      <c r="O36" s="557"/>
      <c r="P36" s="557">
        <f t="shared" si="2"/>
        <v>0</v>
      </c>
      <c r="Q36" s="226" t="str">
        <f t="shared" si="17"/>
        <v>Y</v>
      </c>
      <c r="R36" s="226">
        <f t="shared" si="18"/>
        <v>0</v>
      </c>
      <c r="S36">
        <f t="shared" si="19"/>
        <v>0</v>
      </c>
      <c r="T36" s="141">
        <f t="shared" si="10"/>
        <v>0</v>
      </c>
      <c r="U36" s="710">
        <f t="shared" si="11"/>
        <v>0</v>
      </c>
      <c r="V36" s="710">
        <f t="shared" si="12"/>
        <v>0</v>
      </c>
      <c r="W36" s="710">
        <f t="shared" si="13"/>
        <v>0</v>
      </c>
      <c r="X36" s="710">
        <f t="shared" si="14"/>
        <v>0</v>
      </c>
      <c r="Y36" s="141">
        <f t="shared" si="20"/>
        <v>0</v>
      </c>
      <c r="AB36" s="777"/>
      <c r="AC36" s="777"/>
    </row>
    <row r="37" spans="1:30" x14ac:dyDescent="0.2">
      <c r="A37" s="916" t="s">
        <v>174</v>
      </c>
      <c r="B37" t="s">
        <v>2089</v>
      </c>
      <c r="C37" t="s">
        <v>48</v>
      </c>
      <c r="D37">
        <v>3024901</v>
      </c>
      <c r="E37" t="s">
        <v>25</v>
      </c>
      <c r="F37" s="854">
        <v>37196</v>
      </c>
      <c r="G37" s="854"/>
      <c r="H37" s="854"/>
      <c r="I37" s="854" t="s">
        <v>245</v>
      </c>
      <c r="J37">
        <f t="shared" si="6"/>
        <v>0</v>
      </c>
      <c r="K37">
        <f t="shared" si="16"/>
        <v>0</v>
      </c>
      <c r="L37" s="251"/>
      <c r="M37" s="557"/>
      <c r="N37" s="557"/>
      <c r="O37" s="557"/>
      <c r="P37" s="557">
        <f t="shared" si="2"/>
        <v>0</v>
      </c>
      <c r="Q37" s="226" t="str">
        <f t="shared" si="17"/>
        <v>Y</v>
      </c>
      <c r="R37" s="226">
        <f t="shared" si="18"/>
        <v>0</v>
      </c>
      <c r="S37">
        <f t="shared" si="19"/>
        <v>0</v>
      </c>
      <c r="T37" s="141">
        <f t="shared" si="10"/>
        <v>0</v>
      </c>
      <c r="U37" s="710">
        <f t="shared" si="11"/>
        <v>0</v>
      </c>
      <c r="V37" s="710">
        <f t="shared" si="12"/>
        <v>0</v>
      </c>
      <c r="W37" s="710">
        <f t="shared" si="13"/>
        <v>0</v>
      </c>
      <c r="X37" s="710">
        <f t="shared" si="14"/>
        <v>0</v>
      </c>
      <c r="Y37" s="141">
        <f t="shared" si="20"/>
        <v>0</v>
      </c>
      <c r="AB37" s="777"/>
      <c r="AC37" s="777"/>
    </row>
    <row r="38" spans="1:30" x14ac:dyDescent="0.2">
      <c r="A38" s="916" t="s">
        <v>174</v>
      </c>
      <c r="B38" t="s">
        <v>2089</v>
      </c>
      <c r="C38" t="s">
        <v>49</v>
      </c>
      <c r="D38">
        <v>3025701</v>
      </c>
      <c r="E38" t="s">
        <v>25</v>
      </c>
      <c r="F38" s="854">
        <v>37196</v>
      </c>
      <c r="G38" s="854"/>
      <c r="H38" s="854"/>
      <c r="I38" s="854" t="s">
        <v>245</v>
      </c>
      <c r="J38">
        <f t="shared" si="6"/>
        <v>0</v>
      </c>
      <c r="K38">
        <f t="shared" si="16"/>
        <v>0</v>
      </c>
      <c r="L38" s="251"/>
      <c r="M38" s="557"/>
      <c r="N38" s="557"/>
      <c r="O38" s="557"/>
      <c r="P38" s="557">
        <f t="shared" si="2"/>
        <v>0</v>
      </c>
      <c r="Q38" s="226" t="str">
        <f t="shared" si="17"/>
        <v>Y</v>
      </c>
      <c r="R38" s="226">
        <f t="shared" si="18"/>
        <v>0</v>
      </c>
      <c r="S38">
        <f t="shared" si="19"/>
        <v>0</v>
      </c>
      <c r="T38" s="141">
        <f t="shared" si="10"/>
        <v>0</v>
      </c>
      <c r="U38" s="710">
        <f t="shared" si="11"/>
        <v>0</v>
      </c>
      <c r="V38" s="710">
        <f t="shared" si="12"/>
        <v>0</v>
      </c>
      <c r="W38" s="710">
        <f t="shared" si="13"/>
        <v>0</v>
      </c>
      <c r="X38" s="710">
        <f t="shared" si="14"/>
        <v>0</v>
      </c>
      <c r="Y38" s="141">
        <f t="shared" si="20"/>
        <v>0</v>
      </c>
      <c r="AB38" s="777"/>
      <c r="AC38" s="777"/>
    </row>
    <row r="39" spans="1:30" x14ac:dyDescent="0.2">
      <c r="A39" s="916" t="s">
        <v>174</v>
      </c>
      <c r="B39" t="s">
        <v>2089</v>
      </c>
      <c r="C39" t="s">
        <v>250</v>
      </c>
      <c r="D39">
        <v>3026101</v>
      </c>
      <c r="E39" t="s">
        <v>25</v>
      </c>
      <c r="F39" s="854">
        <v>37196</v>
      </c>
      <c r="G39" s="854"/>
      <c r="H39" s="854"/>
      <c r="I39" s="854" t="s">
        <v>245</v>
      </c>
      <c r="J39">
        <f t="shared" si="6"/>
        <v>0</v>
      </c>
      <c r="K39">
        <f t="shared" si="16"/>
        <v>0</v>
      </c>
      <c r="L39" s="251"/>
      <c r="M39" s="557"/>
      <c r="N39" s="557"/>
      <c r="O39" s="557"/>
      <c r="P39" s="557">
        <f t="shared" si="2"/>
        <v>0</v>
      </c>
      <c r="Q39" s="226" t="str">
        <f t="shared" si="17"/>
        <v>Y</v>
      </c>
      <c r="R39" s="226">
        <f t="shared" si="18"/>
        <v>0</v>
      </c>
      <c r="S39">
        <f t="shared" si="19"/>
        <v>0</v>
      </c>
      <c r="T39" s="141">
        <f t="shared" si="10"/>
        <v>0</v>
      </c>
      <c r="U39" s="710">
        <f t="shared" si="11"/>
        <v>0</v>
      </c>
      <c r="V39" s="710">
        <f t="shared" si="12"/>
        <v>0</v>
      </c>
      <c r="W39" s="710">
        <f t="shared" si="13"/>
        <v>0</v>
      </c>
      <c r="X39" s="710">
        <f t="shared" si="14"/>
        <v>0</v>
      </c>
      <c r="Y39" s="141">
        <f t="shared" si="20"/>
        <v>0</v>
      </c>
      <c r="AB39" s="777"/>
      <c r="AC39" s="777"/>
    </row>
    <row r="40" spans="1:30" x14ac:dyDescent="0.2">
      <c r="A40" s="916" t="s">
        <v>174</v>
      </c>
      <c r="B40" t="s">
        <v>2089</v>
      </c>
      <c r="C40" t="s">
        <v>50</v>
      </c>
      <c r="D40">
        <v>3026401</v>
      </c>
      <c r="E40" t="s">
        <v>25</v>
      </c>
      <c r="F40" s="854">
        <v>37196</v>
      </c>
      <c r="G40" s="854"/>
      <c r="H40" s="854"/>
      <c r="I40" s="854" t="s">
        <v>245</v>
      </c>
      <c r="J40">
        <f t="shared" si="6"/>
        <v>0</v>
      </c>
      <c r="K40">
        <f t="shared" si="16"/>
        <v>0</v>
      </c>
      <c r="L40" s="251"/>
      <c r="M40" s="557"/>
      <c r="N40" s="557"/>
      <c r="O40" s="557"/>
      <c r="P40" s="557">
        <f t="shared" si="2"/>
        <v>0</v>
      </c>
      <c r="Q40" s="226" t="str">
        <f t="shared" si="17"/>
        <v>Y</v>
      </c>
      <c r="R40" s="226">
        <f t="shared" si="18"/>
        <v>0</v>
      </c>
      <c r="S40">
        <f t="shared" si="19"/>
        <v>0</v>
      </c>
      <c r="T40" s="141">
        <f t="shared" si="10"/>
        <v>0</v>
      </c>
      <c r="U40" s="710">
        <f t="shared" si="11"/>
        <v>0</v>
      </c>
      <c r="V40" s="710">
        <f t="shared" si="12"/>
        <v>0</v>
      </c>
      <c r="W40" s="710">
        <f t="shared" si="13"/>
        <v>0</v>
      </c>
      <c r="X40" s="710">
        <f t="shared" si="14"/>
        <v>0</v>
      </c>
      <c r="Y40" s="141">
        <f t="shared" si="20"/>
        <v>0</v>
      </c>
      <c r="AB40" s="777"/>
      <c r="AC40" s="777"/>
    </row>
    <row r="41" spans="1:30" x14ac:dyDescent="0.2">
      <c r="A41" s="916" t="s">
        <v>174</v>
      </c>
      <c r="B41" t="s">
        <v>2089</v>
      </c>
      <c r="C41" t="s">
        <v>51</v>
      </c>
      <c r="D41">
        <v>3026601</v>
      </c>
      <c r="E41" t="s">
        <v>25</v>
      </c>
      <c r="F41" s="854">
        <v>37196</v>
      </c>
      <c r="G41" s="854"/>
      <c r="H41" s="854"/>
      <c r="I41" s="854" t="s">
        <v>245</v>
      </c>
      <c r="J41">
        <f t="shared" si="6"/>
        <v>0</v>
      </c>
      <c r="K41">
        <f t="shared" si="16"/>
        <v>0</v>
      </c>
      <c r="L41" s="251">
        <f t="shared" si="7"/>
        <v>2.2800000000000001E-2</v>
      </c>
      <c r="M41" s="557">
        <f t="shared" si="8"/>
        <v>0</v>
      </c>
      <c r="N41" s="557">
        <f t="shared" si="0"/>
        <v>0</v>
      </c>
      <c r="O41" s="557">
        <f t="shared" si="1"/>
        <v>0</v>
      </c>
      <c r="P41" s="557">
        <f t="shared" si="2"/>
        <v>0</v>
      </c>
      <c r="Q41" s="226" t="str">
        <f t="shared" si="17"/>
        <v>Y</v>
      </c>
      <c r="R41" s="226">
        <f t="shared" si="18"/>
        <v>0</v>
      </c>
      <c r="S41">
        <f t="shared" si="19"/>
        <v>0</v>
      </c>
      <c r="T41" s="141">
        <f t="shared" si="10"/>
        <v>0</v>
      </c>
      <c r="U41" s="710">
        <f t="shared" si="11"/>
        <v>0</v>
      </c>
      <c r="V41" s="710">
        <f t="shared" si="12"/>
        <v>0</v>
      </c>
      <c r="W41" s="710">
        <f t="shared" si="13"/>
        <v>0</v>
      </c>
      <c r="X41" s="710">
        <f t="shared" si="14"/>
        <v>0</v>
      </c>
      <c r="Y41" s="141">
        <f t="shared" si="20"/>
        <v>0</v>
      </c>
      <c r="AB41" s="777"/>
      <c r="AC41" s="777"/>
      <c r="AD41" t="e">
        <f t="shared" si="15"/>
        <v>#N/A</v>
      </c>
    </row>
    <row r="42" spans="1:30" x14ac:dyDescent="0.2">
      <c r="A42" s="916" t="s">
        <v>174</v>
      </c>
      <c r="B42" t="s">
        <v>2089</v>
      </c>
      <c r="C42" t="s">
        <v>52</v>
      </c>
      <c r="D42">
        <v>3029601</v>
      </c>
      <c r="E42" t="s">
        <v>25</v>
      </c>
      <c r="F42" s="854">
        <v>37196</v>
      </c>
      <c r="G42" s="854"/>
      <c r="H42" s="854"/>
      <c r="I42" s="854" t="s">
        <v>245</v>
      </c>
      <c r="J42">
        <f t="shared" si="6"/>
        <v>0</v>
      </c>
      <c r="K42">
        <f t="shared" si="16"/>
        <v>0</v>
      </c>
      <c r="L42" s="251">
        <f t="shared" si="7"/>
        <v>2.2800000000000001E-2</v>
      </c>
      <c r="M42" s="557">
        <f t="shared" si="8"/>
        <v>0</v>
      </c>
      <c r="N42" s="557">
        <f t="shared" si="0"/>
        <v>0</v>
      </c>
      <c r="O42" s="557">
        <f t="shared" si="1"/>
        <v>0</v>
      </c>
      <c r="P42" s="557">
        <f t="shared" si="2"/>
        <v>0</v>
      </c>
      <c r="Q42" s="226" t="str">
        <f t="shared" si="17"/>
        <v>Y</v>
      </c>
      <c r="R42" s="226">
        <f t="shared" si="18"/>
        <v>0</v>
      </c>
      <c r="S42">
        <f t="shared" si="19"/>
        <v>0</v>
      </c>
      <c r="T42" s="141">
        <f t="shared" si="10"/>
        <v>0</v>
      </c>
      <c r="U42" s="710">
        <f t="shared" si="11"/>
        <v>0</v>
      </c>
      <c r="V42" s="710">
        <f t="shared" si="12"/>
        <v>0</v>
      </c>
      <c r="W42" s="710">
        <f t="shared" si="13"/>
        <v>0</v>
      </c>
      <c r="X42" s="710">
        <f t="shared" si="14"/>
        <v>0</v>
      </c>
      <c r="Y42" s="141">
        <f t="shared" si="20"/>
        <v>0</v>
      </c>
      <c r="AB42" s="777"/>
      <c r="AC42" s="777"/>
      <c r="AD42" t="e">
        <f t="shared" si="15"/>
        <v>#N/A</v>
      </c>
    </row>
    <row r="43" spans="1:30" x14ac:dyDescent="0.2">
      <c r="A43" s="916" t="s">
        <v>174</v>
      </c>
      <c r="B43" t="s">
        <v>2089</v>
      </c>
      <c r="C43" t="s">
        <v>53</v>
      </c>
      <c r="D43">
        <v>3029801</v>
      </c>
      <c r="E43" t="s">
        <v>25</v>
      </c>
      <c r="F43" s="854">
        <v>37196</v>
      </c>
      <c r="G43" s="854"/>
      <c r="H43" s="854"/>
      <c r="I43" s="854" t="s">
        <v>245</v>
      </c>
      <c r="J43">
        <f t="shared" si="6"/>
        <v>0</v>
      </c>
      <c r="K43">
        <f t="shared" si="16"/>
        <v>0</v>
      </c>
      <c r="L43" s="251">
        <f t="shared" si="7"/>
        <v>2.2800000000000001E-2</v>
      </c>
      <c r="M43" s="557">
        <f t="shared" si="8"/>
        <v>0</v>
      </c>
      <c r="N43" s="557">
        <f t="shared" si="0"/>
        <v>0</v>
      </c>
      <c r="O43" s="557">
        <f t="shared" si="1"/>
        <v>0</v>
      </c>
      <c r="P43" s="557">
        <f t="shared" si="2"/>
        <v>0</v>
      </c>
      <c r="Q43" s="226" t="str">
        <f t="shared" si="9"/>
        <v>Y</v>
      </c>
      <c r="R43" s="226">
        <f t="shared" ref="R43:R68" si="21">IF(ISNA(VLOOKUP(C43,INCNG,10,FALSE)),0,VLOOKUP(C43,INCNG,10,FALSE))</f>
        <v>0</v>
      </c>
      <c r="S43">
        <f t="shared" si="4"/>
        <v>0</v>
      </c>
      <c r="T43" s="141">
        <f t="shared" si="10"/>
        <v>0</v>
      </c>
      <c r="U43" s="710">
        <f t="shared" si="11"/>
        <v>0</v>
      </c>
      <c r="V43" s="710">
        <f t="shared" si="12"/>
        <v>0</v>
      </c>
      <c r="W43" s="710">
        <f t="shared" si="13"/>
        <v>0</v>
      </c>
      <c r="X43" s="710">
        <f t="shared" si="14"/>
        <v>0</v>
      </c>
      <c r="Y43" s="141">
        <f t="shared" si="5"/>
        <v>0</v>
      </c>
      <c r="AB43" s="777"/>
      <c r="AC43" s="777"/>
      <c r="AD43" t="e">
        <f t="shared" si="15"/>
        <v>#N/A</v>
      </c>
    </row>
    <row r="44" spans="1:30" x14ac:dyDescent="0.2">
      <c r="A44" s="916" t="s">
        <v>174</v>
      </c>
      <c r="B44" t="s">
        <v>2089</v>
      </c>
      <c r="C44" t="s">
        <v>54</v>
      </c>
      <c r="D44">
        <v>3031301</v>
      </c>
      <c r="E44" t="s">
        <v>25</v>
      </c>
      <c r="F44" s="854">
        <v>37196</v>
      </c>
      <c r="G44" s="854"/>
      <c r="H44" s="854"/>
      <c r="I44" s="854" t="s">
        <v>245</v>
      </c>
      <c r="J44">
        <f t="shared" si="6"/>
        <v>0</v>
      </c>
      <c r="K44">
        <f t="shared" si="16"/>
        <v>0</v>
      </c>
      <c r="L44" s="251">
        <f t="shared" si="7"/>
        <v>2.2800000000000001E-2</v>
      </c>
      <c r="M44" s="557">
        <f t="shared" si="8"/>
        <v>0</v>
      </c>
      <c r="N44" s="557">
        <f t="shared" si="0"/>
        <v>0</v>
      </c>
      <c r="O44" s="557">
        <f t="shared" si="1"/>
        <v>0</v>
      </c>
      <c r="P44" s="557">
        <f t="shared" si="2"/>
        <v>0</v>
      </c>
      <c r="Q44" s="226" t="str">
        <f t="shared" si="9"/>
        <v>Y</v>
      </c>
      <c r="R44" s="226">
        <f t="shared" si="21"/>
        <v>0</v>
      </c>
      <c r="S44">
        <f t="shared" si="4"/>
        <v>0</v>
      </c>
      <c r="T44" s="141">
        <f t="shared" si="10"/>
        <v>0</v>
      </c>
      <c r="U44" s="710">
        <f t="shared" si="11"/>
        <v>0</v>
      </c>
      <c r="V44" s="710">
        <f t="shared" si="12"/>
        <v>0</v>
      </c>
      <c r="W44" s="710">
        <f t="shared" si="13"/>
        <v>0</v>
      </c>
      <c r="X44" s="710">
        <f t="shared" si="14"/>
        <v>0</v>
      </c>
      <c r="Y44" s="141">
        <f t="shared" si="5"/>
        <v>0</v>
      </c>
      <c r="AB44" s="777"/>
      <c r="AC44" s="777"/>
      <c r="AD44" t="e">
        <f t="shared" si="15"/>
        <v>#N/A</v>
      </c>
    </row>
    <row r="45" spans="1:30" x14ac:dyDescent="0.2">
      <c r="A45" s="916" t="s">
        <v>174</v>
      </c>
      <c r="B45" t="s">
        <v>2089</v>
      </c>
      <c r="C45" t="s">
        <v>55</v>
      </c>
      <c r="D45">
        <v>3031701</v>
      </c>
      <c r="E45" t="s">
        <v>25</v>
      </c>
      <c r="F45" s="854">
        <v>37196</v>
      </c>
      <c r="G45" s="854"/>
      <c r="H45" s="854"/>
      <c r="I45" s="854" t="s">
        <v>245</v>
      </c>
      <c r="J45">
        <f t="shared" si="6"/>
        <v>0</v>
      </c>
      <c r="K45">
        <f t="shared" si="16"/>
        <v>0</v>
      </c>
      <c r="L45" s="251">
        <f t="shared" si="7"/>
        <v>2.2800000000000001E-2</v>
      </c>
      <c r="M45" s="557">
        <f t="shared" si="8"/>
        <v>0</v>
      </c>
      <c r="N45" s="557">
        <f t="shared" si="0"/>
        <v>0</v>
      </c>
      <c r="O45" s="557">
        <f t="shared" si="1"/>
        <v>0</v>
      </c>
      <c r="P45" s="557">
        <f t="shared" si="2"/>
        <v>0</v>
      </c>
      <c r="Q45" s="226" t="str">
        <f t="shared" si="9"/>
        <v>Y</v>
      </c>
      <c r="R45" s="226">
        <f t="shared" si="21"/>
        <v>0</v>
      </c>
      <c r="S45">
        <f t="shared" si="4"/>
        <v>0</v>
      </c>
      <c r="T45" s="141">
        <f t="shared" si="10"/>
        <v>0</v>
      </c>
      <c r="U45" s="710">
        <f t="shared" si="11"/>
        <v>0</v>
      </c>
      <c r="V45" s="710">
        <f t="shared" si="12"/>
        <v>0</v>
      </c>
      <c r="W45" s="710">
        <f t="shared" si="13"/>
        <v>0</v>
      </c>
      <c r="X45" s="710">
        <f t="shared" si="14"/>
        <v>0</v>
      </c>
      <c r="Y45" s="141">
        <f t="shared" si="5"/>
        <v>0</v>
      </c>
      <c r="AB45" s="777"/>
      <c r="AC45" s="777"/>
      <c r="AD45" t="e">
        <f t="shared" si="15"/>
        <v>#N/A</v>
      </c>
    </row>
    <row r="46" spans="1:30" x14ac:dyDescent="0.2">
      <c r="A46" s="916" t="s">
        <v>174</v>
      </c>
      <c r="B46" t="s">
        <v>2089</v>
      </c>
      <c r="C46" t="s">
        <v>56</v>
      </c>
      <c r="D46">
        <v>3033601</v>
      </c>
      <c r="E46" t="s">
        <v>25</v>
      </c>
      <c r="F46" s="854">
        <v>37196</v>
      </c>
      <c r="G46" s="854"/>
      <c r="H46" s="854"/>
      <c r="I46" s="854" t="s">
        <v>245</v>
      </c>
      <c r="J46">
        <f t="shared" si="6"/>
        <v>0</v>
      </c>
      <c r="K46">
        <f t="shared" si="16"/>
        <v>0</v>
      </c>
      <c r="L46" s="251">
        <f t="shared" si="7"/>
        <v>2.2800000000000001E-2</v>
      </c>
      <c r="M46" s="557">
        <f t="shared" si="8"/>
        <v>0</v>
      </c>
      <c r="N46" s="557">
        <f t="shared" si="0"/>
        <v>0</v>
      </c>
      <c r="O46" s="557">
        <f t="shared" si="1"/>
        <v>0</v>
      </c>
      <c r="P46" s="557">
        <f t="shared" si="2"/>
        <v>0</v>
      </c>
      <c r="Q46" s="226" t="str">
        <f t="shared" si="9"/>
        <v>Y</v>
      </c>
      <c r="R46" s="226">
        <f t="shared" si="21"/>
        <v>0</v>
      </c>
      <c r="S46">
        <f t="shared" si="4"/>
        <v>0</v>
      </c>
      <c r="T46" s="141">
        <f t="shared" si="10"/>
        <v>0</v>
      </c>
      <c r="U46" s="710">
        <f t="shared" si="11"/>
        <v>0</v>
      </c>
      <c r="V46" s="710">
        <f t="shared" si="12"/>
        <v>0</v>
      </c>
      <c r="W46" s="710">
        <f t="shared" si="13"/>
        <v>0</v>
      </c>
      <c r="X46" s="710">
        <f t="shared" si="14"/>
        <v>0</v>
      </c>
      <c r="Y46" s="141">
        <f t="shared" si="5"/>
        <v>0</v>
      </c>
      <c r="AB46" s="777"/>
      <c r="AC46" s="777"/>
      <c r="AD46" t="e">
        <f t="shared" si="15"/>
        <v>#N/A</v>
      </c>
    </row>
    <row r="47" spans="1:30" x14ac:dyDescent="0.2">
      <c r="A47" s="916" t="s">
        <v>174</v>
      </c>
      <c r="B47" t="s">
        <v>2089</v>
      </c>
      <c r="C47" t="s">
        <v>57</v>
      </c>
      <c r="D47">
        <v>3034501</v>
      </c>
      <c r="E47" t="s">
        <v>25</v>
      </c>
      <c r="F47" s="854">
        <v>37196</v>
      </c>
      <c r="G47" s="854"/>
      <c r="H47" s="854"/>
      <c r="I47" s="854" t="s">
        <v>245</v>
      </c>
      <c r="J47">
        <f t="shared" si="6"/>
        <v>0</v>
      </c>
      <c r="K47">
        <f t="shared" si="16"/>
        <v>0</v>
      </c>
      <c r="L47" s="251">
        <f t="shared" si="7"/>
        <v>2.2800000000000001E-2</v>
      </c>
      <c r="M47" s="557">
        <f t="shared" si="8"/>
        <v>0</v>
      </c>
      <c r="N47" s="557">
        <f t="shared" si="0"/>
        <v>0</v>
      </c>
      <c r="O47" s="557">
        <f t="shared" si="1"/>
        <v>0</v>
      </c>
      <c r="P47" s="557">
        <f t="shared" si="2"/>
        <v>0</v>
      </c>
      <c r="Q47" s="226" t="str">
        <f t="shared" si="9"/>
        <v>Y</v>
      </c>
      <c r="R47" s="226">
        <f t="shared" si="21"/>
        <v>0</v>
      </c>
      <c r="S47">
        <f t="shared" si="4"/>
        <v>0</v>
      </c>
      <c r="T47" s="141">
        <f t="shared" si="10"/>
        <v>0</v>
      </c>
      <c r="U47" s="710">
        <f t="shared" si="11"/>
        <v>0</v>
      </c>
      <c r="V47" s="710">
        <f t="shared" si="12"/>
        <v>0</v>
      </c>
      <c r="W47" s="710">
        <f t="shared" si="13"/>
        <v>0</v>
      </c>
      <c r="X47" s="710">
        <f t="shared" si="14"/>
        <v>0</v>
      </c>
      <c r="Y47" s="141">
        <f t="shared" si="5"/>
        <v>0</v>
      </c>
      <c r="AB47" s="777"/>
      <c r="AC47" s="777"/>
      <c r="AD47" t="e">
        <f t="shared" si="15"/>
        <v>#N/A</v>
      </c>
    </row>
    <row r="48" spans="1:30" x14ac:dyDescent="0.2">
      <c r="A48" s="916" t="s">
        <v>174</v>
      </c>
      <c r="B48" t="s">
        <v>2089</v>
      </c>
      <c r="C48" t="s">
        <v>58</v>
      </c>
      <c r="D48">
        <v>3038001</v>
      </c>
      <c r="E48" t="s">
        <v>25</v>
      </c>
      <c r="F48" s="854">
        <v>37196</v>
      </c>
      <c r="G48" s="854"/>
      <c r="H48" s="854"/>
      <c r="I48" s="854" t="s">
        <v>245</v>
      </c>
      <c r="J48">
        <f t="shared" si="6"/>
        <v>0</v>
      </c>
      <c r="K48">
        <f t="shared" si="16"/>
        <v>0</v>
      </c>
      <c r="L48" s="251">
        <f>VLOOKUP(I48,Retention,2,FALSE)</f>
        <v>2.2800000000000001E-2</v>
      </c>
      <c r="M48" s="557">
        <f>IF(OR(I48="TD",I48="TW"),0,J48*0.0228)</f>
        <v>0</v>
      </c>
      <c r="N48" s="557">
        <f>IF(OR(I48="TD",I48="TW"),0,K48*0.0228)</f>
        <v>0</v>
      </c>
      <c r="O48" s="557">
        <f>J48-ROUND(+$J48*(VLOOKUP($I48,cngded,6,FALSE)),0)</f>
        <v>0</v>
      </c>
      <c r="P48" s="557">
        <f t="shared" si="2"/>
        <v>0</v>
      </c>
      <c r="Q48" s="226" t="str">
        <f>IF(ISNA(VLOOKUP(C48,INCNG,1,FALSE)),"--", "Y")</f>
        <v>Y</v>
      </c>
      <c r="R48" s="226">
        <f t="shared" si="21"/>
        <v>0</v>
      </c>
      <c r="S48">
        <f>+K48-R48</f>
        <v>0</v>
      </c>
      <c r="T48" s="141">
        <f t="shared" si="10"/>
        <v>0</v>
      </c>
      <c r="U48" s="710">
        <f t="shared" si="11"/>
        <v>0</v>
      </c>
      <c r="V48" s="710">
        <f t="shared" si="12"/>
        <v>0</v>
      </c>
      <c r="W48" s="710">
        <f t="shared" si="13"/>
        <v>0</v>
      </c>
      <c r="X48" s="710">
        <f t="shared" si="14"/>
        <v>0</v>
      </c>
      <c r="Y48" s="141">
        <f>SUM(U48:X48)</f>
        <v>0</v>
      </c>
      <c r="AB48" s="777"/>
      <c r="AC48" s="777"/>
      <c r="AD48" t="e">
        <f t="shared" si="15"/>
        <v>#N/A</v>
      </c>
    </row>
    <row r="49" spans="1:30" x14ac:dyDescent="0.2">
      <c r="A49" s="916" t="s">
        <v>174</v>
      </c>
      <c r="B49" t="s">
        <v>2089</v>
      </c>
      <c r="C49" t="s">
        <v>1283</v>
      </c>
      <c r="D49">
        <v>3038201</v>
      </c>
      <c r="E49" t="s">
        <v>335</v>
      </c>
      <c r="F49" s="854">
        <v>37196</v>
      </c>
      <c r="G49" s="854"/>
      <c r="H49" s="854"/>
      <c r="I49" s="854" t="s">
        <v>245</v>
      </c>
      <c r="J49">
        <f t="shared" si="6"/>
        <v>0</v>
      </c>
      <c r="K49">
        <f t="shared" si="16"/>
        <v>0</v>
      </c>
      <c r="L49" s="251">
        <f>VLOOKUP(I49,Retention,2,FALSE)</f>
        <v>2.2800000000000001E-2</v>
      </c>
      <c r="M49" s="557">
        <f>IF(OR(I49="TD",I49="TW"),0,J49*0.0228)</f>
        <v>0</v>
      </c>
      <c r="N49" s="557">
        <f>IF(OR(I49="TD",I49="TW"),0,K49*0.0228)</f>
        <v>0</v>
      </c>
      <c r="O49" s="557">
        <f>J49-ROUND(+$J49*(VLOOKUP($I49,cngded,6,FALSE)),0)</f>
        <v>0</v>
      </c>
      <c r="P49" s="557">
        <f t="shared" si="2"/>
        <v>0</v>
      </c>
      <c r="Q49" s="226" t="str">
        <f>IF(ISNA(VLOOKUP(C49,INCNG,1,FALSE)),"--", "Y")</f>
        <v>Y</v>
      </c>
      <c r="R49" s="226">
        <f t="shared" si="21"/>
        <v>0</v>
      </c>
      <c r="S49">
        <f>+K49-R49</f>
        <v>0</v>
      </c>
      <c r="T49" s="141">
        <f t="shared" si="10"/>
        <v>0</v>
      </c>
      <c r="U49" s="710">
        <f t="shared" si="11"/>
        <v>0</v>
      </c>
      <c r="V49" s="710">
        <f t="shared" si="12"/>
        <v>0</v>
      </c>
      <c r="W49" s="710">
        <f t="shared" si="13"/>
        <v>0</v>
      </c>
      <c r="X49" s="710">
        <f t="shared" si="14"/>
        <v>0</v>
      </c>
      <c r="Y49" s="141">
        <f>SUM(U49:X49)</f>
        <v>0</v>
      </c>
      <c r="AB49" s="777"/>
      <c r="AC49" s="777"/>
      <c r="AD49" t="e">
        <f t="shared" si="15"/>
        <v>#N/A</v>
      </c>
    </row>
    <row r="50" spans="1:30" x14ac:dyDescent="0.2">
      <c r="A50" s="916" t="s">
        <v>174</v>
      </c>
      <c r="B50" t="s">
        <v>2089</v>
      </c>
      <c r="C50" t="s">
        <v>59</v>
      </c>
      <c r="D50">
        <v>3038601</v>
      </c>
      <c r="E50" t="s">
        <v>60</v>
      </c>
      <c r="F50" s="854">
        <v>37196</v>
      </c>
      <c r="G50" s="854"/>
      <c r="H50" s="854"/>
      <c r="I50" s="854" t="s">
        <v>245</v>
      </c>
      <c r="J50">
        <f t="shared" si="6"/>
        <v>0</v>
      </c>
      <c r="K50">
        <f t="shared" si="16"/>
        <v>0</v>
      </c>
      <c r="L50" s="251">
        <f>VLOOKUP(I50,Retention,2,FALSE)</f>
        <v>2.2800000000000001E-2</v>
      </c>
      <c r="M50" s="557">
        <f>IF(OR(I50="TD",I50="TW"),0,J50*0.0228)</f>
        <v>0</v>
      </c>
      <c r="N50" s="557">
        <f>IF(OR(I50="TD",I50="TW"),0,K50*0.0228)</f>
        <v>0</v>
      </c>
      <c r="O50" s="557">
        <f>J50-ROUND(+$J50*(VLOOKUP($I50,cngded,6,FALSE)),0)</f>
        <v>0</v>
      </c>
      <c r="P50" s="557">
        <f t="shared" si="2"/>
        <v>0</v>
      </c>
      <c r="Q50" s="226" t="str">
        <f>IF(ISNA(VLOOKUP(C50,INCNG,1,FALSE)),"--", "Y")</f>
        <v>Y</v>
      </c>
      <c r="R50" s="226">
        <f t="shared" si="21"/>
        <v>0</v>
      </c>
      <c r="S50">
        <f>+K50-R50</f>
        <v>0</v>
      </c>
      <c r="T50" s="141">
        <f t="shared" si="10"/>
        <v>0</v>
      </c>
      <c r="U50" s="710">
        <f t="shared" si="11"/>
        <v>0</v>
      </c>
      <c r="V50" s="710">
        <f t="shared" si="12"/>
        <v>0</v>
      </c>
      <c r="W50" s="710">
        <f t="shared" si="13"/>
        <v>0</v>
      </c>
      <c r="X50" s="710">
        <f t="shared" si="14"/>
        <v>0</v>
      </c>
      <c r="Y50" s="141">
        <f>SUM(U50:X50)</f>
        <v>0</v>
      </c>
      <c r="AB50" s="777"/>
      <c r="AC50" s="777"/>
      <c r="AD50" t="e">
        <f t="shared" si="15"/>
        <v>#N/A</v>
      </c>
    </row>
    <row r="51" spans="1:30" x14ac:dyDescent="0.2">
      <c r="A51" s="916" t="s">
        <v>174</v>
      </c>
      <c r="B51" t="s">
        <v>2089</v>
      </c>
      <c r="C51" t="s">
        <v>1281</v>
      </c>
      <c r="D51">
        <v>3043201</v>
      </c>
      <c r="E51" t="s">
        <v>335</v>
      </c>
      <c r="F51" s="854">
        <v>37196</v>
      </c>
      <c r="G51" s="854"/>
      <c r="H51" s="854"/>
      <c r="I51" s="854" t="s">
        <v>245</v>
      </c>
      <c r="J51">
        <f t="shared" si="6"/>
        <v>0</v>
      </c>
      <c r="K51">
        <f t="shared" si="16"/>
        <v>0</v>
      </c>
      <c r="L51" s="251">
        <f>VLOOKUP(I51,Retention,2,FALSE)</f>
        <v>2.2800000000000001E-2</v>
      </c>
      <c r="M51" s="557">
        <f>IF(OR(I51="TD",I51="TW"),0,J51*0.0228)</f>
        <v>0</v>
      </c>
      <c r="N51" s="557">
        <f>IF(OR(I51="TD",I51="TW"),0,K51*0.0228)</f>
        <v>0</v>
      </c>
      <c r="O51" s="557">
        <f>J51-ROUND(+$J51*(VLOOKUP($I51,cngded,6,FALSE)),0)</f>
        <v>0</v>
      </c>
      <c r="P51" s="557">
        <f t="shared" si="2"/>
        <v>0</v>
      </c>
      <c r="Q51" s="226" t="str">
        <f>IF(ISNA(VLOOKUP(C51,INCNG,1,FALSE)),"--", "Y")</f>
        <v>Y</v>
      </c>
      <c r="R51" s="226">
        <f t="shared" si="21"/>
        <v>0</v>
      </c>
      <c r="S51">
        <f>+K51-R51</f>
        <v>0</v>
      </c>
      <c r="T51" s="141">
        <f t="shared" si="10"/>
        <v>0</v>
      </c>
      <c r="U51" s="710">
        <f t="shared" si="11"/>
        <v>0</v>
      </c>
      <c r="V51" s="710">
        <f t="shared" si="12"/>
        <v>0</v>
      </c>
      <c r="W51" s="710">
        <f t="shared" si="13"/>
        <v>0</v>
      </c>
      <c r="X51" s="710">
        <f t="shared" si="14"/>
        <v>0</v>
      </c>
      <c r="Y51" s="141">
        <f>SUM(U51:X51)</f>
        <v>0</v>
      </c>
      <c r="AB51" s="777"/>
      <c r="AC51" s="777"/>
      <c r="AD51" t="e">
        <f t="shared" si="15"/>
        <v>#N/A</v>
      </c>
    </row>
    <row r="52" spans="1:30" x14ac:dyDescent="0.2">
      <c r="A52" s="916" t="s">
        <v>174</v>
      </c>
      <c r="B52" t="s">
        <v>2089</v>
      </c>
      <c r="C52" t="s">
        <v>1282</v>
      </c>
      <c r="D52">
        <v>3043401</v>
      </c>
      <c r="E52" t="s">
        <v>335</v>
      </c>
      <c r="F52" s="854">
        <v>37196</v>
      </c>
      <c r="G52" s="854"/>
      <c r="H52" s="854"/>
      <c r="I52" s="854" t="s">
        <v>245</v>
      </c>
      <c r="J52">
        <f t="shared" si="6"/>
        <v>0</v>
      </c>
      <c r="K52">
        <f t="shared" si="16"/>
        <v>0</v>
      </c>
      <c r="L52" s="251">
        <f t="shared" si="7"/>
        <v>2.2800000000000001E-2</v>
      </c>
      <c r="M52" s="557">
        <f t="shared" si="8"/>
        <v>0</v>
      </c>
      <c r="N52" s="557">
        <f t="shared" si="0"/>
        <v>0</v>
      </c>
      <c r="O52" s="557">
        <f t="shared" si="1"/>
        <v>0</v>
      </c>
      <c r="P52" s="557">
        <f t="shared" si="2"/>
        <v>0</v>
      </c>
      <c r="Q52" s="226" t="str">
        <f t="shared" si="9"/>
        <v>Y</v>
      </c>
      <c r="R52" s="226">
        <f t="shared" si="21"/>
        <v>0</v>
      </c>
      <c r="S52">
        <f t="shared" si="4"/>
        <v>0</v>
      </c>
      <c r="T52" s="141">
        <f t="shared" si="10"/>
        <v>0</v>
      </c>
      <c r="U52" s="710">
        <f t="shared" si="11"/>
        <v>0</v>
      </c>
      <c r="V52" s="710">
        <f t="shared" si="12"/>
        <v>0</v>
      </c>
      <c r="W52" s="710">
        <f t="shared" si="13"/>
        <v>0</v>
      </c>
      <c r="X52" s="710">
        <f t="shared" si="14"/>
        <v>0</v>
      </c>
      <c r="Y52" s="141">
        <f t="shared" si="5"/>
        <v>0</v>
      </c>
      <c r="AB52" s="777"/>
      <c r="AC52" s="777"/>
      <c r="AD52" t="e">
        <f t="shared" si="15"/>
        <v>#N/A</v>
      </c>
    </row>
    <row r="53" spans="1:30" x14ac:dyDescent="0.2">
      <c r="A53" s="916" t="s">
        <v>174</v>
      </c>
      <c r="B53" t="s">
        <v>2089</v>
      </c>
      <c r="C53" t="s">
        <v>1361</v>
      </c>
      <c r="D53">
        <v>3046501</v>
      </c>
      <c r="E53" t="s">
        <v>1150</v>
      </c>
      <c r="F53" s="854">
        <v>37196</v>
      </c>
      <c r="G53" s="854"/>
      <c r="H53" s="854"/>
      <c r="I53" s="854" t="s">
        <v>245</v>
      </c>
      <c r="J53">
        <f t="shared" si="6"/>
        <v>0</v>
      </c>
      <c r="K53">
        <f t="shared" si="16"/>
        <v>0</v>
      </c>
      <c r="L53" s="251">
        <f t="shared" si="7"/>
        <v>2.2800000000000001E-2</v>
      </c>
      <c r="M53" s="557">
        <f t="shared" si="8"/>
        <v>0</v>
      </c>
      <c r="N53" s="557">
        <f t="shared" si="0"/>
        <v>0</v>
      </c>
      <c r="O53" s="557">
        <f t="shared" si="1"/>
        <v>0</v>
      </c>
      <c r="P53" s="557">
        <f t="shared" si="2"/>
        <v>0</v>
      </c>
      <c r="Q53" s="226" t="str">
        <f t="shared" si="9"/>
        <v>Y</v>
      </c>
      <c r="R53" s="226">
        <f t="shared" si="21"/>
        <v>0</v>
      </c>
      <c r="S53">
        <f t="shared" si="4"/>
        <v>0</v>
      </c>
      <c r="T53" s="141">
        <f t="shared" si="10"/>
        <v>0</v>
      </c>
      <c r="U53" s="710">
        <f t="shared" si="11"/>
        <v>0</v>
      </c>
      <c r="V53" s="710">
        <f t="shared" si="12"/>
        <v>0</v>
      </c>
      <c r="W53" s="710">
        <f t="shared" si="13"/>
        <v>0</v>
      </c>
      <c r="X53" s="710">
        <f t="shared" si="14"/>
        <v>0</v>
      </c>
      <c r="Y53" s="141">
        <f t="shared" si="5"/>
        <v>0</v>
      </c>
      <c r="AB53" s="777"/>
      <c r="AC53" s="777"/>
      <c r="AD53" t="e">
        <f t="shared" si="15"/>
        <v>#N/A</v>
      </c>
    </row>
    <row r="54" spans="1:30" x14ac:dyDescent="0.2">
      <c r="A54" s="916" t="s">
        <v>174</v>
      </c>
      <c r="B54" t="s">
        <v>2089</v>
      </c>
      <c r="C54" t="s">
        <v>1274</v>
      </c>
      <c r="D54">
        <v>3050201</v>
      </c>
      <c r="E54" t="s">
        <v>1275</v>
      </c>
      <c r="F54" s="854">
        <v>37196</v>
      </c>
      <c r="G54" s="854"/>
      <c r="H54" s="854"/>
      <c r="I54" s="854" t="s">
        <v>245</v>
      </c>
      <c r="J54">
        <f t="shared" si="6"/>
        <v>0</v>
      </c>
      <c r="K54">
        <f t="shared" si="16"/>
        <v>0</v>
      </c>
      <c r="L54" s="251">
        <f t="shared" si="7"/>
        <v>2.2800000000000001E-2</v>
      </c>
      <c r="M54" s="557">
        <f t="shared" si="8"/>
        <v>0</v>
      </c>
      <c r="N54" s="557">
        <f t="shared" si="0"/>
        <v>0</v>
      </c>
      <c r="O54" s="557">
        <f t="shared" si="1"/>
        <v>0</v>
      </c>
      <c r="P54" s="557">
        <f t="shared" si="2"/>
        <v>0</v>
      </c>
      <c r="Q54" s="226" t="str">
        <f t="shared" si="9"/>
        <v>Y</v>
      </c>
      <c r="R54" s="226">
        <f t="shared" si="21"/>
        <v>0</v>
      </c>
      <c r="S54">
        <f t="shared" si="4"/>
        <v>0</v>
      </c>
      <c r="T54" s="141">
        <f t="shared" si="10"/>
        <v>0</v>
      </c>
      <c r="U54" s="710">
        <f t="shared" si="11"/>
        <v>0</v>
      </c>
      <c r="V54" s="710">
        <f t="shared" si="12"/>
        <v>0</v>
      </c>
      <c r="W54" s="710">
        <f t="shared" si="13"/>
        <v>0</v>
      </c>
      <c r="X54" s="710">
        <f t="shared" si="14"/>
        <v>0</v>
      </c>
      <c r="Y54" s="141">
        <f t="shared" si="5"/>
        <v>0</v>
      </c>
      <c r="AB54" s="777"/>
      <c r="AC54" s="777"/>
      <c r="AD54" t="e">
        <f t="shared" si="15"/>
        <v>#N/A</v>
      </c>
    </row>
    <row r="55" spans="1:30" x14ac:dyDescent="0.2">
      <c r="A55" s="916" t="s">
        <v>174</v>
      </c>
      <c r="B55" t="s">
        <v>2089</v>
      </c>
      <c r="C55" t="s">
        <v>1276</v>
      </c>
      <c r="D55">
        <v>3053201</v>
      </c>
      <c r="E55" t="s">
        <v>1275</v>
      </c>
      <c r="F55" s="854">
        <v>37196</v>
      </c>
      <c r="G55" s="854"/>
      <c r="H55" s="854"/>
      <c r="I55" s="854" t="s">
        <v>245</v>
      </c>
      <c r="J55">
        <f t="shared" si="6"/>
        <v>0</v>
      </c>
      <c r="K55">
        <f t="shared" si="16"/>
        <v>0</v>
      </c>
      <c r="L55" s="251">
        <f t="shared" si="7"/>
        <v>2.2800000000000001E-2</v>
      </c>
      <c r="M55" s="557">
        <f t="shared" si="8"/>
        <v>0</v>
      </c>
      <c r="N55" s="557">
        <f t="shared" si="0"/>
        <v>0</v>
      </c>
      <c r="O55" s="557">
        <f t="shared" si="1"/>
        <v>0</v>
      </c>
      <c r="P55" s="557">
        <f t="shared" si="2"/>
        <v>0</v>
      </c>
      <c r="Q55" s="226" t="str">
        <f t="shared" si="9"/>
        <v>Y</v>
      </c>
      <c r="R55" s="226">
        <f t="shared" si="21"/>
        <v>0</v>
      </c>
      <c r="S55">
        <f t="shared" si="4"/>
        <v>0</v>
      </c>
      <c r="T55" s="141">
        <f t="shared" si="10"/>
        <v>0</v>
      </c>
      <c r="U55" s="710">
        <f t="shared" si="11"/>
        <v>0</v>
      </c>
      <c r="V55" s="710">
        <f t="shared" si="12"/>
        <v>0</v>
      </c>
      <c r="W55" s="710">
        <f t="shared" si="13"/>
        <v>0</v>
      </c>
      <c r="X55" s="710">
        <f t="shared" si="14"/>
        <v>0</v>
      </c>
      <c r="Y55" s="141">
        <f t="shared" si="5"/>
        <v>0</v>
      </c>
      <c r="AB55" s="777"/>
      <c r="AC55" s="777"/>
      <c r="AD55" t="e">
        <f t="shared" si="15"/>
        <v>#N/A</v>
      </c>
    </row>
    <row r="56" spans="1:30" x14ac:dyDescent="0.2">
      <c r="A56" s="916" t="s">
        <v>174</v>
      </c>
      <c r="B56" t="s">
        <v>2089</v>
      </c>
      <c r="C56" t="s">
        <v>1272</v>
      </c>
      <c r="D56">
        <v>3086501</v>
      </c>
      <c r="E56" t="s">
        <v>1273</v>
      </c>
      <c r="F56" s="854">
        <v>37196</v>
      </c>
      <c r="G56" s="854"/>
      <c r="H56" s="854"/>
      <c r="I56" s="854" t="s">
        <v>245</v>
      </c>
      <c r="J56">
        <f t="shared" si="6"/>
        <v>0</v>
      </c>
      <c r="K56">
        <f t="shared" si="16"/>
        <v>0</v>
      </c>
      <c r="L56" s="251">
        <f t="shared" si="7"/>
        <v>2.2800000000000001E-2</v>
      </c>
      <c r="M56" s="557">
        <f t="shared" si="8"/>
        <v>0</v>
      </c>
      <c r="N56" s="557">
        <f t="shared" si="0"/>
        <v>0</v>
      </c>
      <c r="O56" s="557">
        <f t="shared" si="1"/>
        <v>0</v>
      </c>
      <c r="P56" s="557">
        <f t="shared" si="2"/>
        <v>0</v>
      </c>
      <c r="Q56" s="226" t="str">
        <f t="shared" si="9"/>
        <v>Y</v>
      </c>
      <c r="R56" s="226">
        <f t="shared" si="21"/>
        <v>0</v>
      </c>
      <c r="S56">
        <f t="shared" si="4"/>
        <v>0</v>
      </c>
      <c r="T56" s="141">
        <f t="shared" si="10"/>
        <v>0</v>
      </c>
      <c r="U56" s="710">
        <f t="shared" si="11"/>
        <v>0</v>
      </c>
      <c r="V56" s="710">
        <f t="shared" si="12"/>
        <v>0</v>
      </c>
      <c r="W56" s="710">
        <f t="shared" si="13"/>
        <v>0</v>
      </c>
      <c r="X56" s="710">
        <f t="shared" si="14"/>
        <v>0</v>
      </c>
      <c r="Y56" s="141">
        <f t="shared" si="5"/>
        <v>0</v>
      </c>
      <c r="AB56" s="777"/>
      <c r="AC56" s="777"/>
      <c r="AD56" t="e">
        <f t="shared" si="15"/>
        <v>#N/A</v>
      </c>
    </row>
    <row r="57" spans="1:30" x14ac:dyDescent="0.2">
      <c r="A57" s="916" t="s">
        <v>174</v>
      </c>
      <c r="B57" t="s">
        <v>2089</v>
      </c>
      <c r="C57" t="s">
        <v>61</v>
      </c>
      <c r="D57">
        <v>3095101</v>
      </c>
      <c r="E57" t="s">
        <v>62</v>
      </c>
      <c r="F57" s="854">
        <v>37196</v>
      </c>
      <c r="G57" s="854"/>
      <c r="H57" s="854"/>
      <c r="I57" s="854" t="s">
        <v>245</v>
      </c>
      <c r="J57">
        <f t="shared" si="6"/>
        <v>0</v>
      </c>
      <c r="K57">
        <f t="shared" si="16"/>
        <v>0</v>
      </c>
      <c r="L57" s="251">
        <f t="shared" si="7"/>
        <v>2.2800000000000001E-2</v>
      </c>
      <c r="M57" s="557">
        <f t="shared" si="8"/>
        <v>0</v>
      </c>
      <c r="N57" s="557">
        <f t="shared" si="0"/>
        <v>0</v>
      </c>
      <c r="O57" s="557">
        <f t="shared" si="1"/>
        <v>0</v>
      </c>
      <c r="P57" s="557">
        <f t="shared" si="2"/>
        <v>0</v>
      </c>
      <c r="Q57" s="226" t="str">
        <f t="shared" si="9"/>
        <v>Y</v>
      </c>
      <c r="R57" s="226">
        <f t="shared" si="21"/>
        <v>0</v>
      </c>
      <c r="S57">
        <f t="shared" si="4"/>
        <v>0</v>
      </c>
      <c r="T57" s="141">
        <f t="shared" si="10"/>
        <v>0</v>
      </c>
      <c r="U57" s="710">
        <f t="shared" si="11"/>
        <v>0</v>
      </c>
      <c r="V57" s="710">
        <f t="shared" si="12"/>
        <v>0</v>
      </c>
      <c r="W57" s="710">
        <f t="shared" si="13"/>
        <v>0</v>
      </c>
      <c r="X57" s="710">
        <f t="shared" si="14"/>
        <v>0</v>
      </c>
      <c r="Y57" s="141">
        <f t="shared" si="5"/>
        <v>0</v>
      </c>
      <c r="AB57" s="777"/>
      <c r="AC57" s="777"/>
      <c r="AD57" t="e">
        <f t="shared" si="15"/>
        <v>#N/A</v>
      </c>
    </row>
    <row r="58" spans="1:30" x14ac:dyDescent="0.2">
      <c r="A58" s="916" t="s">
        <v>174</v>
      </c>
      <c r="B58" t="s">
        <v>2089</v>
      </c>
      <c r="C58" t="s">
        <v>1314</v>
      </c>
      <c r="D58">
        <v>3120601</v>
      </c>
      <c r="E58" t="s">
        <v>1315</v>
      </c>
      <c r="F58" s="854">
        <v>37196</v>
      </c>
      <c r="G58" s="854"/>
      <c r="H58" s="854"/>
      <c r="I58" s="854" t="s">
        <v>245</v>
      </c>
      <c r="J58">
        <f t="shared" si="6"/>
        <v>0</v>
      </c>
      <c r="K58">
        <f t="shared" si="16"/>
        <v>0</v>
      </c>
      <c r="L58" s="251">
        <f t="shared" si="7"/>
        <v>2.2800000000000001E-2</v>
      </c>
      <c r="M58" s="557">
        <f t="shared" si="8"/>
        <v>0</v>
      </c>
      <c r="N58" s="557">
        <f t="shared" si="0"/>
        <v>0</v>
      </c>
      <c r="O58" s="557">
        <f t="shared" si="1"/>
        <v>0</v>
      </c>
      <c r="P58" s="557">
        <f t="shared" si="2"/>
        <v>0</v>
      </c>
      <c r="Q58" s="226" t="str">
        <f t="shared" si="9"/>
        <v>Y</v>
      </c>
      <c r="R58" s="226">
        <f t="shared" si="21"/>
        <v>0</v>
      </c>
      <c r="S58">
        <f t="shared" si="4"/>
        <v>0</v>
      </c>
      <c r="T58" s="141">
        <f t="shared" si="10"/>
        <v>0</v>
      </c>
      <c r="U58" s="710">
        <f t="shared" si="11"/>
        <v>0</v>
      </c>
      <c r="V58" s="710">
        <f t="shared" si="12"/>
        <v>0</v>
      </c>
      <c r="W58" s="710">
        <f t="shared" si="13"/>
        <v>0</v>
      </c>
      <c r="X58" s="710">
        <f t="shared" si="14"/>
        <v>0</v>
      </c>
      <c r="Y58" s="141">
        <f t="shared" si="5"/>
        <v>0</v>
      </c>
      <c r="AB58" s="777"/>
      <c r="AC58" s="777"/>
      <c r="AD58" t="e">
        <f t="shared" si="15"/>
        <v>#N/A</v>
      </c>
    </row>
    <row r="59" spans="1:30" x14ac:dyDescent="0.2">
      <c r="A59" s="916" t="s">
        <v>174</v>
      </c>
      <c r="B59" t="s">
        <v>2089</v>
      </c>
      <c r="C59" t="s">
        <v>1300</v>
      </c>
      <c r="D59">
        <v>3123401</v>
      </c>
      <c r="E59" t="s">
        <v>1150</v>
      </c>
      <c r="F59" s="854">
        <v>37196</v>
      </c>
      <c r="G59" s="854"/>
      <c r="H59" s="854"/>
      <c r="I59" s="854" t="s">
        <v>245</v>
      </c>
      <c r="J59">
        <f t="shared" si="6"/>
        <v>0</v>
      </c>
      <c r="K59">
        <f t="shared" si="16"/>
        <v>0</v>
      </c>
      <c r="L59" s="251">
        <f t="shared" si="7"/>
        <v>2.2800000000000001E-2</v>
      </c>
      <c r="M59" s="557">
        <f t="shared" si="8"/>
        <v>0</v>
      </c>
      <c r="N59" s="557">
        <f t="shared" si="0"/>
        <v>0</v>
      </c>
      <c r="O59" s="557">
        <f t="shared" si="1"/>
        <v>0</v>
      </c>
      <c r="P59" s="557">
        <f t="shared" si="2"/>
        <v>0</v>
      </c>
      <c r="Q59" s="226" t="str">
        <f t="shared" si="9"/>
        <v>Y</v>
      </c>
      <c r="R59" s="226">
        <f t="shared" si="21"/>
        <v>0</v>
      </c>
      <c r="S59">
        <f t="shared" si="4"/>
        <v>0</v>
      </c>
      <c r="T59" s="141">
        <f t="shared" si="10"/>
        <v>0</v>
      </c>
      <c r="U59" s="710">
        <f t="shared" si="11"/>
        <v>0</v>
      </c>
      <c r="V59" s="710">
        <f t="shared" si="12"/>
        <v>0</v>
      </c>
      <c r="W59" s="710">
        <f t="shared" si="13"/>
        <v>0</v>
      </c>
      <c r="X59" s="710">
        <f t="shared" si="14"/>
        <v>0</v>
      </c>
      <c r="Y59" s="141">
        <f t="shared" si="5"/>
        <v>0</v>
      </c>
      <c r="AB59" s="777"/>
      <c r="AC59" s="777"/>
      <c r="AD59" t="e">
        <f t="shared" si="15"/>
        <v>#N/A</v>
      </c>
    </row>
    <row r="60" spans="1:30" x14ac:dyDescent="0.2">
      <c r="A60" s="916" t="s">
        <v>174</v>
      </c>
      <c r="B60" t="s">
        <v>2090</v>
      </c>
      <c r="C60" t="s">
        <v>1371</v>
      </c>
      <c r="D60">
        <v>3124201</v>
      </c>
      <c r="E60" t="s">
        <v>1108</v>
      </c>
      <c r="F60" s="854">
        <v>37196</v>
      </c>
      <c r="G60" s="854"/>
      <c r="H60" s="854"/>
      <c r="I60" s="854" t="s">
        <v>252</v>
      </c>
      <c r="J60">
        <f t="shared" si="6"/>
        <v>0</v>
      </c>
      <c r="K60">
        <f t="shared" si="16"/>
        <v>0</v>
      </c>
      <c r="L60" s="251">
        <f t="shared" si="7"/>
        <v>0</v>
      </c>
      <c r="M60" s="557">
        <f t="shared" si="8"/>
        <v>0</v>
      </c>
      <c r="N60" s="557">
        <f t="shared" si="0"/>
        <v>0</v>
      </c>
      <c r="O60" s="557">
        <f t="shared" si="1"/>
        <v>0</v>
      </c>
      <c r="P60" s="557">
        <f t="shared" si="2"/>
        <v>0</v>
      </c>
      <c r="Q60" s="226" t="str">
        <f t="shared" si="9"/>
        <v>Y</v>
      </c>
      <c r="R60" s="226">
        <f t="shared" si="21"/>
        <v>0</v>
      </c>
      <c r="S60">
        <f t="shared" si="4"/>
        <v>0</v>
      </c>
      <c r="T60" s="141">
        <f t="shared" si="10"/>
        <v>0</v>
      </c>
      <c r="U60" s="710">
        <f t="shared" si="11"/>
        <v>0</v>
      </c>
      <c r="V60" s="710">
        <f t="shared" si="12"/>
        <v>0</v>
      </c>
      <c r="W60" s="710">
        <f t="shared" si="13"/>
        <v>0</v>
      </c>
      <c r="X60" s="710">
        <f t="shared" si="14"/>
        <v>0</v>
      </c>
      <c r="Y60" s="141">
        <f t="shared" si="5"/>
        <v>0</v>
      </c>
      <c r="AB60" s="777"/>
      <c r="AC60" s="777"/>
      <c r="AD60" t="e">
        <f t="shared" si="15"/>
        <v>#N/A</v>
      </c>
    </row>
    <row r="61" spans="1:30" x14ac:dyDescent="0.2">
      <c r="A61" s="916" t="s">
        <v>174</v>
      </c>
      <c r="B61" t="s">
        <v>2089</v>
      </c>
      <c r="C61" t="s">
        <v>1348</v>
      </c>
      <c r="D61">
        <v>3127401</v>
      </c>
      <c r="E61" t="s">
        <v>1108</v>
      </c>
      <c r="F61" s="854">
        <v>37196</v>
      </c>
      <c r="G61" s="854"/>
      <c r="H61" s="854"/>
      <c r="I61" s="854" t="s">
        <v>245</v>
      </c>
      <c r="J61">
        <f t="shared" si="6"/>
        <v>0</v>
      </c>
      <c r="K61">
        <f t="shared" si="16"/>
        <v>0</v>
      </c>
      <c r="L61" s="251">
        <f t="shared" si="7"/>
        <v>2.2800000000000001E-2</v>
      </c>
      <c r="M61" s="557">
        <f t="shared" si="8"/>
        <v>0</v>
      </c>
      <c r="N61" s="557">
        <f t="shared" si="0"/>
        <v>0</v>
      </c>
      <c r="O61" s="557">
        <f t="shared" si="1"/>
        <v>0</v>
      </c>
      <c r="P61" s="557">
        <f t="shared" si="2"/>
        <v>0</v>
      </c>
      <c r="Q61" s="226" t="str">
        <f t="shared" si="9"/>
        <v>Y</v>
      </c>
      <c r="R61" s="226">
        <f t="shared" si="21"/>
        <v>0</v>
      </c>
      <c r="S61">
        <f t="shared" si="4"/>
        <v>0</v>
      </c>
      <c r="T61" s="141">
        <f t="shared" si="10"/>
        <v>0</v>
      </c>
      <c r="U61" s="710">
        <f t="shared" si="11"/>
        <v>0</v>
      </c>
      <c r="V61" s="710">
        <f t="shared" si="12"/>
        <v>0</v>
      </c>
      <c r="W61" s="710">
        <f t="shared" si="13"/>
        <v>0</v>
      </c>
      <c r="X61" s="710">
        <f t="shared" si="14"/>
        <v>0</v>
      </c>
      <c r="Y61" s="141">
        <f t="shared" si="5"/>
        <v>0</v>
      </c>
      <c r="AB61" s="777"/>
      <c r="AC61" s="777"/>
      <c r="AD61" t="e">
        <f t="shared" si="15"/>
        <v>#N/A</v>
      </c>
    </row>
    <row r="62" spans="1:30" x14ac:dyDescent="0.2">
      <c r="A62" s="916" t="s">
        <v>174</v>
      </c>
      <c r="B62" t="s">
        <v>2089</v>
      </c>
      <c r="C62" t="s">
        <v>1332</v>
      </c>
      <c r="D62">
        <v>3127501</v>
      </c>
      <c r="E62" t="s">
        <v>1333</v>
      </c>
      <c r="F62" s="854">
        <v>37196</v>
      </c>
      <c r="G62" s="854"/>
      <c r="H62" s="854"/>
      <c r="I62" s="854" t="s">
        <v>245</v>
      </c>
      <c r="J62">
        <f t="shared" si="6"/>
        <v>0</v>
      </c>
      <c r="K62">
        <f t="shared" si="16"/>
        <v>0</v>
      </c>
      <c r="L62" s="251">
        <f t="shared" si="7"/>
        <v>2.2800000000000001E-2</v>
      </c>
      <c r="M62" s="557">
        <f t="shared" si="8"/>
        <v>0</v>
      </c>
      <c r="N62" s="557">
        <f t="shared" si="0"/>
        <v>0</v>
      </c>
      <c r="O62" s="557">
        <f t="shared" si="1"/>
        <v>0</v>
      </c>
      <c r="P62" s="557">
        <f t="shared" si="2"/>
        <v>0</v>
      </c>
      <c r="Q62" s="226" t="str">
        <f t="shared" si="9"/>
        <v>Y</v>
      </c>
      <c r="R62" s="226">
        <f t="shared" si="21"/>
        <v>0</v>
      </c>
      <c r="S62">
        <f t="shared" si="4"/>
        <v>0</v>
      </c>
      <c r="T62" s="141">
        <f t="shared" si="10"/>
        <v>0</v>
      </c>
      <c r="U62" s="710">
        <f t="shared" si="11"/>
        <v>0</v>
      </c>
      <c r="V62" s="710">
        <f t="shared" si="12"/>
        <v>0</v>
      </c>
      <c r="W62" s="710">
        <f t="shared" si="13"/>
        <v>0</v>
      </c>
      <c r="X62" s="710">
        <f t="shared" si="14"/>
        <v>0</v>
      </c>
      <c r="Y62" s="141">
        <f t="shared" si="5"/>
        <v>0</v>
      </c>
      <c r="AB62" s="777"/>
      <c r="AC62" s="777"/>
      <c r="AD62" t="e">
        <f t="shared" si="15"/>
        <v>#N/A</v>
      </c>
    </row>
    <row r="63" spans="1:30" x14ac:dyDescent="0.2">
      <c r="A63" s="916" t="s">
        <v>174</v>
      </c>
      <c r="B63" t="s">
        <v>2089</v>
      </c>
      <c r="C63" t="s">
        <v>1317</v>
      </c>
      <c r="D63">
        <v>3129101</v>
      </c>
      <c r="E63" t="s">
        <v>1318</v>
      </c>
      <c r="F63" s="854">
        <v>37196</v>
      </c>
      <c r="G63" s="854"/>
      <c r="H63" s="854"/>
      <c r="I63" s="854" t="s">
        <v>245</v>
      </c>
      <c r="J63">
        <f t="shared" si="6"/>
        <v>0</v>
      </c>
      <c r="K63">
        <f t="shared" si="16"/>
        <v>0</v>
      </c>
      <c r="L63" s="251">
        <f t="shared" si="7"/>
        <v>2.2800000000000001E-2</v>
      </c>
      <c r="M63" s="557">
        <f t="shared" si="8"/>
        <v>0</v>
      </c>
      <c r="N63" s="557">
        <f t="shared" si="0"/>
        <v>0</v>
      </c>
      <c r="O63" s="557">
        <f t="shared" si="1"/>
        <v>0</v>
      </c>
      <c r="P63" s="557">
        <f t="shared" si="2"/>
        <v>0</v>
      </c>
      <c r="Q63" s="226" t="str">
        <f t="shared" si="9"/>
        <v>Y</v>
      </c>
      <c r="R63" s="226">
        <f t="shared" si="21"/>
        <v>0</v>
      </c>
      <c r="S63">
        <f t="shared" si="4"/>
        <v>0</v>
      </c>
      <c r="T63" s="141">
        <f t="shared" si="10"/>
        <v>0</v>
      </c>
      <c r="U63" s="710">
        <f t="shared" si="11"/>
        <v>0</v>
      </c>
      <c r="V63" s="710">
        <f t="shared" si="12"/>
        <v>0</v>
      </c>
      <c r="W63" s="710">
        <f t="shared" si="13"/>
        <v>0</v>
      </c>
      <c r="X63" s="710">
        <f t="shared" si="14"/>
        <v>0</v>
      </c>
      <c r="Y63" s="141">
        <f t="shared" si="5"/>
        <v>0</v>
      </c>
      <c r="AB63" s="777"/>
      <c r="AC63" s="777"/>
      <c r="AD63" t="e">
        <f t="shared" si="15"/>
        <v>#N/A</v>
      </c>
    </row>
    <row r="64" spans="1:30" x14ac:dyDescent="0.2">
      <c r="A64" s="916" t="s">
        <v>174</v>
      </c>
      <c r="B64" t="s">
        <v>2089</v>
      </c>
      <c r="C64" t="s">
        <v>1334</v>
      </c>
      <c r="D64">
        <v>3130301</v>
      </c>
      <c r="E64" t="s">
        <v>1083</v>
      </c>
      <c r="F64" s="854">
        <v>37196</v>
      </c>
      <c r="G64" s="854"/>
      <c r="H64" s="854"/>
      <c r="I64" s="854" t="s">
        <v>245</v>
      </c>
      <c r="J64">
        <f t="shared" si="6"/>
        <v>0</v>
      </c>
      <c r="K64">
        <f t="shared" si="16"/>
        <v>0</v>
      </c>
      <c r="L64" s="251">
        <f t="shared" si="7"/>
        <v>2.2800000000000001E-2</v>
      </c>
      <c r="M64" s="557">
        <f t="shared" si="8"/>
        <v>0</v>
      </c>
      <c r="N64" s="557">
        <f t="shared" si="0"/>
        <v>0</v>
      </c>
      <c r="O64" s="557">
        <f t="shared" si="1"/>
        <v>0</v>
      </c>
      <c r="P64" s="557">
        <f t="shared" si="2"/>
        <v>0</v>
      </c>
      <c r="Q64" s="226" t="str">
        <f t="shared" si="9"/>
        <v>Y</v>
      </c>
      <c r="R64" s="226">
        <f t="shared" si="21"/>
        <v>0</v>
      </c>
      <c r="S64">
        <f t="shared" si="4"/>
        <v>0</v>
      </c>
      <c r="T64" s="141">
        <f t="shared" si="10"/>
        <v>0</v>
      </c>
      <c r="U64" s="710">
        <f t="shared" si="11"/>
        <v>0</v>
      </c>
      <c r="V64" s="710">
        <f t="shared" si="12"/>
        <v>0</v>
      </c>
      <c r="W64" s="710">
        <f t="shared" si="13"/>
        <v>0</v>
      </c>
      <c r="X64" s="710">
        <f t="shared" si="14"/>
        <v>0</v>
      </c>
      <c r="Y64" s="141">
        <f t="shared" si="5"/>
        <v>0</v>
      </c>
      <c r="AB64" s="777"/>
      <c r="AC64" s="777"/>
      <c r="AD64" t="e">
        <f t="shared" si="15"/>
        <v>#N/A</v>
      </c>
    </row>
    <row r="65" spans="1:30" x14ac:dyDescent="0.2">
      <c r="A65" s="916" t="s">
        <v>174</v>
      </c>
      <c r="B65" t="s">
        <v>2089</v>
      </c>
      <c r="C65" t="s">
        <v>1107</v>
      </c>
      <c r="D65">
        <v>3130401</v>
      </c>
      <c r="E65" t="s">
        <v>1108</v>
      </c>
      <c r="F65" s="854">
        <v>37196</v>
      </c>
      <c r="G65" s="854"/>
      <c r="H65" s="854"/>
      <c r="I65" s="854" t="s">
        <v>245</v>
      </c>
      <c r="J65">
        <f t="shared" si="6"/>
        <v>0</v>
      </c>
      <c r="K65">
        <f t="shared" si="16"/>
        <v>0</v>
      </c>
      <c r="L65" s="251">
        <f t="shared" si="7"/>
        <v>2.2800000000000001E-2</v>
      </c>
      <c r="M65" s="557">
        <f t="shared" si="8"/>
        <v>0</v>
      </c>
      <c r="N65" s="557">
        <f t="shared" si="0"/>
        <v>0</v>
      </c>
      <c r="O65" s="557">
        <f t="shared" si="1"/>
        <v>0</v>
      </c>
      <c r="P65" s="557">
        <f t="shared" si="2"/>
        <v>0</v>
      </c>
      <c r="Q65" s="226" t="str">
        <f t="shared" si="9"/>
        <v>Y</v>
      </c>
      <c r="R65" s="226">
        <f t="shared" si="21"/>
        <v>0</v>
      </c>
      <c r="S65">
        <f t="shared" si="4"/>
        <v>0</v>
      </c>
      <c r="T65" s="141">
        <f t="shared" si="10"/>
        <v>0</v>
      </c>
      <c r="U65" s="710">
        <f t="shared" si="11"/>
        <v>0</v>
      </c>
      <c r="V65" s="710">
        <f t="shared" si="12"/>
        <v>0</v>
      </c>
      <c r="W65" s="710">
        <f t="shared" si="13"/>
        <v>0</v>
      </c>
      <c r="X65" s="710">
        <f t="shared" si="14"/>
        <v>0</v>
      </c>
      <c r="Y65" s="141">
        <f t="shared" si="5"/>
        <v>0</v>
      </c>
      <c r="AB65" s="777"/>
      <c r="AC65" s="777"/>
      <c r="AD65" t="e">
        <f t="shared" si="15"/>
        <v>#N/A</v>
      </c>
    </row>
    <row r="66" spans="1:30" x14ac:dyDescent="0.2">
      <c r="A66" s="916" t="s">
        <v>174</v>
      </c>
      <c r="B66" t="s">
        <v>2089</v>
      </c>
      <c r="C66" t="s">
        <v>63</v>
      </c>
      <c r="D66">
        <v>3130501</v>
      </c>
      <c r="E66" t="s">
        <v>62</v>
      </c>
      <c r="F66" s="854">
        <v>37196</v>
      </c>
      <c r="G66" s="854"/>
      <c r="H66" s="854"/>
      <c r="I66" s="854" t="s">
        <v>245</v>
      </c>
      <c r="J66">
        <f t="shared" si="6"/>
        <v>0</v>
      </c>
      <c r="K66">
        <f t="shared" si="16"/>
        <v>0</v>
      </c>
      <c r="L66" s="251">
        <f t="shared" si="7"/>
        <v>2.2800000000000001E-2</v>
      </c>
      <c r="M66" s="557">
        <f t="shared" si="8"/>
        <v>0</v>
      </c>
      <c r="N66" s="557">
        <f t="shared" si="0"/>
        <v>0</v>
      </c>
      <c r="O66" s="557">
        <f t="shared" si="1"/>
        <v>0</v>
      </c>
      <c r="P66" s="557">
        <f t="shared" si="2"/>
        <v>0</v>
      </c>
      <c r="Q66" s="226" t="str">
        <f t="shared" si="9"/>
        <v>Y</v>
      </c>
      <c r="R66" s="226">
        <f t="shared" si="21"/>
        <v>0</v>
      </c>
      <c r="S66">
        <f t="shared" si="4"/>
        <v>0</v>
      </c>
      <c r="T66" s="141">
        <f t="shared" si="10"/>
        <v>0</v>
      </c>
      <c r="U66" s="710">
        <f t="shared" si="11"/>
        <v>0</v>
      </c>
      <c r="V66" s="710">
        <f t="shared" si="12"/>
        <v>0</v>
      </c>
      <c r="W66" s="710">
        <f t="shared" si="13"/>
        <v>0</v>
      </c>
      <c r="X66" s="710">
        <f t="shared" si="14"/>
        <v>0</v>
      </c>
      <c r="Y66" s="141">
        <f t="shared" si="5"/>
        <v>0</v>
      </c>
      <c r="AB66" s="777"/>
      <c r="AC66" s="777"/>
      <c r="AD66" t="e">
        <f t="shared" si="15"/>
        <v>#N/A</v>
      </c>
    </row>
    <row r="67" spans="1:30" x14ac:dyDescent="0.2">
      <c r="A67" s="916" t="s">
        <v>174</v>
      </c>
      <c r="B67" t="s">
        <v>2089</v>
      </c>
      <c r="C67" t="s">
        <v>1347</v>
      </c>
      <c r="D67">
        <v>3131001</v>
      </c>
      <c r="E67" t="s">
        <v>1108</v>
      </c>
      <c r="F67" s="854">
        <v>37196</v>
      </c>
      <c r="G67" s="854"/>
      <c r="H67" s="854"/>
      <c r="I67" s="854" t="s">
        <v>245</v>
      </c>
      <c r="J67">
        <f t="shared" ref="J67:J130" si="22">IF(ISNA(VLOOKUP(C67,CNGx,2,FALSE)),"na",(VLOOKUP(C67,CNGx,2,FALSE)))</f>
        <v>0</v>
      </c>
      <c r="K67">
        <f>IF(ISNA(VLOOKUP(C67,CNGx,3,0)),0,VLOOKUP(C67,CNGx,3,FALSE))</f>
        <v>0</v>
      </c>
      <c r="L67" s="251">
        <f t="shared" si="7"/>
        <v>2.2800000000000001E-2</v>
      </c>
      <c r="M67" s="557">
        <f t="shared" si="8"/>
        <v>0</v>
      </c>
      <c r="N67" s="557">
        <f t="shared" si="0"/>
        <v>0</v>
      </c>
      <c r="O67" s="557">
        <f t="shared" si="1"/>
        <v>0</v>
      </c>
      <c r="P67" s="557">
        <f t="shared" si="2"/>
        <v>0</v>
      </c>
      <c r="Q67" s="226" t="str">
        <f t="shared" si="9"/>
        <v>Y</v>
      </c>
      <c r="R67" s="226">
        <f t="shared" si="21"/>
        <v>0</v>
      </c>
      <c r="S67">
        <f t="shared" si="4"/>
        <v>0</v>
      </c>
      <c r="T67" s="141">
        <f t="shared" ref="T67:T130" si="23">+P67-R67</f>
        <v>0</v>
      </c>
      <c r="U67" s="710">
        <f t="shared" si="11"/>
        <v>0</v>
      </c>
      <c r="V67" s="710">
        <f t="shared" si="12"/>
        <v>0</v>
      </c>
      <c r="W67" s="710">
        <f t="shared" si="13"/>
        <v>0</v>
      </c>
      <c r="X67" s="710">
        <f t="shared" si="14"/>
        <v>0</v>
      </c>
      <c r="Y67" s="141">
        <f t="shared" si="5"/>
        <v>0</v>
      </c>
      <c r="AB67" s="777"/>
      <c r="AC67" s="777"/>
      <c r="AD67" t="e">
        <f t="shared" si="15"/>
        <v>#N/A</v>
      </c>
    </row>
    <row r="68" spans="1:30" x14ac:dyDescent="0.2">
      <c r="A68" s="916" t="s">
        <v>174</v>
      </c>
      <c r="B68" t="s">
        <v>2089</v>
      </c>
      <c r="C68" t="s">
        <v>1349</v>
      </c>
      <c r="D68">
        <v>3131101</v>
      </c>
      <c r="E68" t="s">
        <v>1108</v>
      </c>
      <c r="F68" s="854">
        <v>37196</v>
      </c>
      <c r="G68" s="854"/>
      <c r="H68" s="854"/>
      <c r="I68" s="854" t="s">
        <v>245</v>
      </c>
      <c r="J68">
        <f t="shared" si="22"/>
        <v>0</v>
      </c>
      <c r="K68">
        <f t="shared" si="16"/>
        <v>0</v>
      </c>
      <c r="L68" s="251">
        <f t="shared" si="7"/>
        <v>2.2800000000000001E-2</v>
      </c>
      <c r="M68" s="557">
        <f t="shared" si="8"/>
        <v>0</v>
      </c>
      <c r="N68" s="557">
        <f t="shared" si="0"/>
        <v>0</v>
      </c>
      <c r="O68" s="557">
        <f t="shared" si="1"/>
        <v>0</v>
      </c>
      <c r="P68" s="557">
        <f t="shared" si="2"/>
        <v>0</v>
      </c>
      <c r="Q68" s="226" t="str">
        <f t="shared" si="9"/>
        <v>Y</v>
      </c>
      <c r="R68" s="226">
        <f t="shared" si="21"/>
        <v>0</v>
      </c>
      <c r="S68">
        <f t="shared" si="4"/>
        <v>0</v>
      </c>
      <c r="T68" s="141">
        <f t="shared" si="23"/>
        <v>0</v>
      </c>
      <c r="U68" s="710">
        <f t="shared" si="11"/>
        <v>0</v>
      </c>
      <c r="V68" s="710">
        <f t="shared" si="12"/>
        <v>0</v>
      </c>
      <c r="W68" s="710">
        <f t="shared" si="13"/>
        <v>0</v>
      </c>
      <c r="X68" s="710">
        <f t="shared" si="14"/>
        <v>0</v>
      </c>
      <c r="Y68" s="141">
        <f t="shared" si="5"/>
        <v>0</v>
      </c>
      <c r="AB68" s="777"/>
      <c r="AC68" s="777"/>
      <c r="AD68" t="e">
        <f t="shared" si="15"/>
        <v>#N/A</v>
      </c>
    </row>
    <row r="69" spans="1:30" x14ac:dyDescent="0.2">
      <c r="A69" s="916" t="s">
        <v>174</v>
      </c>
      <c r="B69" t="s">
        <v>2089</v>
      </c>
      <c r="C69" t="s">
        <v>2105</v>
      </c>
      <c r="D69">
        <v>3133001</v>
      </c>
      <c r="E69" t="s">
        <v>1083</v>
      </c>
      <c r="F69" s="854">
        <v>37196</v>
      </c>
      <c r="G69" s="854"/>
      <c r="H69" s="854"/>
      <c r="I69" s="854" t="s">
        <v>245</v>
      </c>
      <c r="J69">
        <f t="shared" si="22"/>
        <v>0</v>
      </c>
      <c r="K69">
        <f t="shared" si="16"/>
        <v>0</v>
      </c>
      <c r="L69" s="251">
        <f t="shared" si="7"/>
        <v>2.2800000000000001E-2</v>
      </c>
      <c r="M69" s="557">
        <f t="shared" si="8"/>
        <v>0</v>
      </c>
      <c r="N69" s="557">
        <f t="shared" si="0"/>
        <v>0</v>
      </c>
      <c r="O69" s="557">
        <f t="shared" si="1"/>
        <v>0</v>
      </c>
      <c r="P69" s="557">
        <f t="shared" si="2"/>
        <v>0</v>
      </c>
      <c r="Q69" s="226" t="str">
        <f t="shared" si="9"/>
        <v>Y</v>
      </c>
      <c r="R69" s="226">
        <f t="shared" ref="R69:R100" si="24">IF(ISNA(VLOOKUP(C69,INCNG,10,FALSE)),0,VLOOKUP(C69,INCNG,10,FALSE))</f>
        <v>0</v>
      </c>
      <c r="S69">
        <f t="shared" si="4"/>
        <v>0</v>
      </c>
      <c r="T69" s="141">
        <f t="shared" si="23"/>
        <v>0</v>
      </c>
      <c r="U69" s="710">
        <f t="shared" si="11"/>
        <v>0</v>
      </c>
      <c r="V69" s="710">
        <f t="shared" si="12"/>
        <v>0</v>
      </c>
      <c r="W69" s="710">
        <f t="shared" si="13"/>
        <v>0</v>
      </c>
      <c r="X69" s="710">
        <f t="shared" si="14"/>
        <v>0</v>
      </c>
      <c r="Y69" s="141">
        <f t="shared" si="5"/>
        <v>0</v>
      </c>
      <c r="AB69" s="777"/>
      <c r="AC69" s="777"/>
      <c r="AD69" t="e">
        <f t="shared" si="15"/>
        <v>#N/A</v>
      </c>
    </row>
    <row r="70" spans="1:30" x14ac:dyDescent="0.2">
      <c r="A70" s="916" t="s">
        <v>174</v>
      </c>
      <c r="B70" t="s">
        <v>2092</v>
      </c>
      <c r="C70" t="s">
        <v>1378</v>
      </c>
      <c r="D70">
        <v>3134901</v>
      </c>
      <c r="E70" t="s">
        <v>549</v>
      </c>
      <c r="F70" s="854">
        <v>37196</v>
      </c>
      <c r="G70" s="854"/>
      <c r="H70" s="854"/>
      <c r="I70" s="854" t="s">
        <v>246</v>
      </c>
      <c r="J70">
        <f t="shared" si="22"/>
        <v>0</v>
      </c>
      <c r="K70">
        <f t="shared" ref="K70:K101" si="25">IF(ISNA(VLOOKUP(C70,CNGx,3,0)),0,VLOOKUP(C70,CNGx,3,FALSE))</f>
        <v>0</v>
      </c>
      <c r="L70" s="251">
        <f t="shared" si="7"/>
        <v>0</v>
      </c>
      <c r="M70" s="557">
        <f t="shared" si="8"/>
        <v>0</v>
      </c>
      <c r="N70" s="557">
        <f t="shared" si="0"/>
        <v>0</v>
      </c>
      <c r="O70" s="557">
        <f t="shared" si="1"/>
        <v>0</v>
      </c>
      <c r="P70" s="557">
        <f t="shared" si="2"/>
        <v>0</v>
      </c>
      <c r="Q70" s="226" t="str">
        <f t="shared" si="9"/>
        <v>Y</v>
      </c>
      <c r="R70" s="226">
        <f t="shared" si="24"/>
        <v>0</v>
      </c>
      <c r="S70">
        <f t="shared" si="4"/>
        <v>0</v>
      </c>
      <c r="T70" s="141">
        <f t="shared" si="23"/>
        <v>0</v>
      </c>
      <c r="U70" s="710">
        <f t="shared" si="11"/>
        <v>0</v>
      </c>
      <c r="V70" s="710">
        <f t="shared" si="12"/>
        <v>0</v>
      </c>
      <c r="W70" s="710">
        <f t="shared" si="13"/>
        <v>0</v>
      </c>
      <c r="X70" s="710">
        <f t="shared" si="14"/>
        <v>0</v>
      </c>
      <c r="Y70" s="141">
        <f t="shared" si="5"/>
        <v>0</v>
      </c>
      <c r="AB70" s="777"/>
      <c r="AC70" s="777"/>
      <c r="AD70" t="e">
        <f t="shared" si="15"/>
        <v>#N/A</v>
      </c>
    </row>
    <row r="71" spans="1:30" x14ac:dyDescent="0.2">
      <c r="A71" s="916" t="s">
        <v>174</v>
      </c>
      <c r="B71" t="s">
        <v>2090</v>
      </c>
      <c r="C71" t="s">
        <v>1373</v>
      </c>
      <c r="D71">
        <v>3136601</v>
      </c>
      <c r="E71" t="s">
        <v>1150</v>
      </c>
      <c r="F71" s="854">
        <v>37196</v>
      </c>
      <c r="G71" s="854"/>
      <c r="H71" s="854"/>
      <c r="I71" s="854" t="s">
        <v>252</v>
      </c>
      <c r="J71">
        <f t="shared" si="22"/>
        <v>0</v>
      </c>
      <c r="K71">
        <f t="shared" si="25"/>
        <v>0</v>
      </c>
      <c r="L71" s="251">
        <f t="shared" si="7"/>
        <v>0</v>
      </c>
      <c r="M71" s="557">
        <f t="shared" si="8"/>
        <v>0</v>
      </c>
      <c r="N71" s="557">
        <f t="shared" si="0"/>
        <v>0</v>
      </c>
      <c r="O71" s="557">
        <f t="shared" si="1"/>
        <v>0</v>
      </c>
      <c r="P71" s="557">
        <f t="shared" si="2"/>
        <v>0</v>
      </c>
      <c r="Q71" s="226" t="str">
        <f t="shared" si="9"/>
        <v>Y</v>
      </c>
      <c r="R71" s="226">
        <f t="shared" si="24"/>
        <v>0</v>
      </c>
      <c r="S71">
        <f t="shared" si="4"/>
        <v>0</v>
      </c>
      <c r="T71" s="141">
        <f t="shared" si="23"/>
        <v>0</v>
      </c>
      <c r="U71" s="710">
        <f t="shared" si="11"/>
        <v>0</v>
      </c>
      <c r="V71" s="710">
        <f t="shared" si="12"/>
        <v>0</v>
      </c>
      <c r="W71" s="710">
        <f t="shared" si="13"/>
        <v>0</v>
      </c>
      <c r="X71" s="710">
        <f t="shared" si="14"/>
        <v>0</v>
      </c>
      <c r="Y71" s="141">
        <f t="shared" si="5"/>
        <v>0</v>
      </c>
      <c r="AB71" s="777"/>
      <c r="AC71" s="777"/>
      <c r="AD71" t="e">
        <f t="shared" si="15"/>
        <v>#N/A</v>
      </c>
    </row>
    <row r="72" spans="1:30" x14ac:dyDescent="0.2">
      <c r="A72" s="916" t="s">
        <v>174</v>
      </c>
      <c r="B72" t="s">
        <v>2089</v>
      </c>
      <c r="C72" t="s">
        <v>64</v>
      </c>
      <c r="D72">
        <v>3139001</v>
      </c>
      <c r="E72" t="s">
        <v>176</v>
      </c>
      <c r="F72" s="854">
        <v>37196</v>
      </c>
      <c r="G72" s="854"/>
      <c r="H72" s="854"/>
      <c r="I72" s="854" t="s">
        <v>245</v>
      </c>
      <c r="J72">
        <f t="shared" si="22"/>
        <v>0</v>
      </c>
      <c r="K72">
        <f t="shared" si="25"/>
        <v>0</v>
      </c>
      <c r="L72" s="251">
        <f t="shared" si="7"/>
        <v>2.2800000000000001E-2</v>
      </c>
      <c r="M72" s="557">
        <f t="shared" si="8"/>
        <v>0</v>
      </c>
      <c r="N72" s="557">
        <f t="shared" si="0"/>
        <v>0</v>
      </c>
      <c r="O72" s="557">
        <f t="shared" si="1"/>
        <v>0</v>
      </c>
      <c r="P72" s="557">
        <f t="shared" si="2"/>
        <v>0</v>
      </c>
      <c r="Q72" s="226" t="str">
        <f t="shared" si="9"/>
        <v>Y</v>
      </c>
      <c r="R72" s="226">
        <f t="shared" si="24"/>
        <v>0</v>
      </c>
      <c r="S72">
        <f t="shared" si="4"/>
        <v>0</v>
      </c>
      <c r="T72" s="141">
        <f t="shared" si="23"/>
        <v>0</v>
      </c>
      <c r="U72" s="710">
        <f t="shared" si="11"/>
        <v>0</v>
      </c>
      <c r="V72" s="710">
        <f t="shared" si="12"/>
        <v>0</v>
      </c>
      <c r="W72" s="710">
        <f t="shared" si="13"/>
        <v>0</v>
      </c>
      <c r="X72" s="710">
        <f t="shared" si="14"/>
        <v>0</v>
      </c>
      <c r="Y72" s="141">
        <f t="shared" si="5"/>
        <v>0</v>
      </c>
      <c r="AB72" s="777"/>
      <c r="AC72" s="777"/>
      <c r="AD72" t="e">
        <f t="shared" si="15"/>
        <v>#N/A</v>
      </c>
    </row>
    <row r="73" spans="1:30" x14ac:dyDescent="0.2">
      <c r="A73" s="916" t="s">
        <v>174</v>
      </c>
      <c r="B73" t="s">
        <v>2089</v>
      </c>
      <c r="C73" t="s">
        <v>65</v>
      </c>
      <c r="D73">
        <v>3141701</v>
      </c>
      <c r="E73" t="s">
        <v>62</v>
      </c>
      <c r="F73" s="854">
        <v>37196</v>
      </c>
      <c r="G73" s="854"/>
      <c r="H73" s="854"/>
      <c r="I73" s="854" t="s">
        <v>245</v>
      </c>
      <c r="J73">
        <f t="shared" si="22"/>
        <v>0</v>
      </c>
      <c r="K73">
        <f t="shared" si="25"/>
        <v>0</v>
      </c>
      <c r="L73" s="251">
        <f t="shared" si="7"/>
        <v>2.2800000000000001E-2</v>
      </c>
      <c r="M73" s="557">
        <f t="shared" si="8"/>
        <v>0</v>
      </c>
      <c r="N73" s="557">
        <f t="shared" si="0"/>
        <v>0</v>
      </c>
      <c r="O73" s="557">
        <f t="shared" si="1"/>
        <v>0</v>
      </c>
      <c r="P73" s="557">
        <f t="shared" si="2"/>
        <v>0</v>
      </c>
      <c r="Q73" s="226" t="str">
        <f t="shared" si="9"/>
        <v>Y</v>
      </c>
      <c r="R73" s="226">
        <f t="shared" si="24"/>
        <v>0</v>
      </c>
      <c r="S73">
        <f t="shared" si="4"/>
        <v>0</v>
      </c>
      <c r="T73" s="141">
        <f t="shared" si="23"/>
        <v>0</v>
      </c>
      <c r="U73" s="710">
        <f t="shared" si="11"/>
        <v>0</v>
      </c>
      <c r="V73" s="710">
        <f t="shared" si="12"/>
        <v>0</v>
      </c>
      <c r="W73" s="710">
        <f t="shared" si="13"/>
        <v>0</v>
      </c>
      <c r="X73" s="710">
        <f t="shared" si="14"/>
        <v>0</v>
      </c>
      <c r="Y73" s="141">
        <f t="shared" si="5"/>
        <v>0</v>
      </c>
      <c r="AB73" s="777"/>
      <c r="AC73" s="777"/>
      <c r="AD73" t="e">
        <f t="shared" si="15"/>
        <v>#N/A</v>
      </c>
    </row>
    <row r="74" spans="1:30" x14ac:dyDescent="0.2">
      <c r="A74" s="916" t="s">
        <v>174</v>
      </c>
      <c r="B74" t="s">
        <v>2089</v>
      </c>
      <c r="C74" t="s">
        <v>1189</v>
      </c>
      <c r="D74">
        <v>3153701</v>
      </c>
      <c r="E74" t="s">
        <v>1188</v>
      </c>
      <c r="F74" s="854">
        <v>37196</v>
      </c>
      <c r="G74" s="854"/>
      <c r="H74" s="854"/>
      <c r="I74" s="854" t="s">
        <v>245</v>
      </c>
      <c r="J74">
        <f t="shared" si="22"/>
        <v>0</v>
      </c>
      <c r="K74">
        <f t="shared" si="25"/>
        <v>0</v>
      </c>
      <c r="L74" s="251">
        <f t="shared" si="7"/>
        <v>2.2800000000000001E-2</v>
      </c>
      <c r="M74" s="557">
        <f t="shared" si="8"/>
        <v>0</v>
      </c>
      <c r="N74" s="557">
        <f t="shared" si="0"/>
        <v>0</v>
      </c>
      <c r="O74" s="557">
        <f t="shared" si="1"/>
        <v>0</v>
      </c>
      <c r="P74" s="557">
        <f t="shared" si="2"/>
        <v>0</v>
      </c>
      <c r="Q74" s="226" t="str">
        <f t="shared" si="9"/>
        <v>Y</v>
      </c>
      <c r="R74" s="226">
        <f t="shared" si="24"/>
        <v>0</v>
      </c>
      <c r="S74">
        <f t="shared" si="4"/>
        <v>0</v>
      </c>
      <c r="T74" s="141">
        <f t="shared" si="23"/>
        <v>0</v>
      </c>
      <c r="U74" s="710">
        <f t="shared" si="11"/>
        <v>0</v>
      </c>
      <c r="V74" s="710">
        <f t="shared" si="12"/>
        <v>0</v>
      </c>
      <c r="W74" s="710">
        <f t="shared" si="13"/>
        <v>0</v>
      </c>
      <c r="X74" s="710">
        <f t="shared" si="14"/>
        <v>0</v>
      </c>
      <c r="Y74" s="141">
        <f t="shared" si="5"/>
        <v>0</v>
      </c>
      <c r="AB74" s="777"/>
      <c r="AC74" s="777"/>
      <c r="AD74" t="e">
        <f t="shared" si="15"/>
        <v>#N/A</v>
      </c>
    </row>
    <row r="75" spans="1:30" x14ac:dyDescent="0.2">
      <c r="A75" s="916" t="s">
        <v>174</v>
      </c>
      <c r="B75" t="s">
        <v>2089</v>
      </c>
      <c r="C75" t="s">
        <v>1335</v>
      </c>
      <c r="D75">
        <v>3178601</v>
      </c>
      <c r="E75" t="s">
        <v>1092</v>
      </c>
      <c r="F75" s="854">
        <v>37196</v>
      </c>
      <c r="G75" s="854"/>
      <c r="H75" s="854"/>
      <c r="I75" s="854" t="s">
        <v>245</v>
      </c>
      <c r="J75">
        <f t="shared" si="22"/>
        <v>0</v>
      </c>
      <c r="K75">
        <f t="shared" si="25"/>
        <v>0</v>
      </c>
      <c r="L75" s="251">
        <f t="shared" si="7"/>
        <v>2.2800000000000001E-2</v>
      </c>
      <c r="M75" s="557">
        <f t="shared" si="8"/>
        <v>0</v>
      </c>
      <c r="N75" s="557">
        <f t="shared" si="0"/>
        <v>0</v>
      </c>
      <c r="O75" s="557">
        <f t="shared" si="1"/>
        <v>0</v>
      </c>
      <c r="P75" s="557">
        <f t="shared" si="2"/>
        <v>0</v>
      </c>
      <c r="Q75" s="226" t="str">
        <f t="shared" si="9"/>
        <v>Y</v>
      </c>
      <c r="R75" s="226">
        <f t="shared" si="24"/>
        <v>0</v>
      </c>
      <c r="S75">
        <f t="shared" si="4"/>
        <v>0</v>
      </c>
      <c r="T75" s="141">
        <f t="shared" si="23"/>
        <v>0</v>
      </c>
      <c r="U75" s="710">
        <f t="shared" si="11"/>
        <v>0</v>
      </c>
      <c r="V75" s="710">
        <f t="shared" si="12"/>
        <v>0</v>
      </c>
      <c r="W75" s="710">
        <f t="shared" si="13"/>
        <v>0</v>
      </c>
      <c r="X75" s="710">
        <f t="shared" si="14"/>
        <v>0</v>
      </c>
      <c r="Y75" s="141">
        <f t="shared" si="5"/>
        <v>0</v>
      </c>
      <c r="AB75" s="777"/>
      <c r="AC75" s="777"/>
      <c r="AD75" t="e">
        <f t="shared" si="15"/>
        <v>#N/A</v>
      </c>
    </row>
    <row r="76" spans="1:30" x14ac:dyDescent="0.2">
      <c r="A76" s="916" t="s">
        <v>174</v>
      </c>
      <c r="B76" t="s">
        <v>2089</v>
      </c>
      <c r="C76" t="s">
        <v>1183</v>
      </c>
      <c r="D76">
        <v>3190601</v>
      </c>
      <c r="E76" t="s">
        <v>1184</v>
      </c>
      <c r="F76" s="854">
        <v>37196</v>
      </c>
      <c r="G76" s="854"/>
      <c r="H76" s="854"/>
      <c r="I76" s="854" t="s">
        <v>245</v>
      </c>
      <c r="J76">
        <f t="shared" si="22"/>
        <v>0</v>
      </c>
      <c r="K76">
        <f t="shared" si="25"/>
        <v>0</v>
      </c>
      <c r="L76" s="251">
        <f t="shared" si="7"/>
        <v>2.2800000000000001E-2</v>
      </c>
      <c r="M76" s="557">
        <f t="shared" si="8"/>
        <v>0</v>
      </c>
      <c r="N76" s="557">
        <f t="shared" si="0"/>
        <v>0</v>
      </c>
      <c r="O76" s="557">
        <f t="shared" si="1"/>
        <v>0</v>
      </c>
      <c r="P76" s="557">
        <f t="shared" si="2"/>
        <v>0</v>
      </c>
      <c r="Q76" s="226" t="str">
        <f t="shared" si="9"/>
        <v>Y</v>
      </c>
      <c r="R76" s="226">
        <f t="shared" si="24"/>
        <v>0</v>
      </c>
      <c r="S76">
        <f t="shared" si="4"/>
        <v>0</v>
      </c>
      <c r="T76" s="141">
        <f t="shared" si="23"/>
        <v>0</v>
      </c>
      <c r="U76" s="710">
        <f t="shared" si="11"/>
        <v>0</v>
      </c>
      <c r="V76" s="710">
        <f t="shared" si="12"/>
        <v>0</v>
      </c>
      <c r="W76" s="710">
        <f t="shared" si="13"/>
        <v>0</v>
      </c>
      <c r="X76" s="710">
        <f t="shared" si="14"/>
        <v>0</v>
      </c>
      <c r="Y76" s="141">
        <f t="shared" si="5"/>
        <v>0</v>
      </c>
      <c r="AB76" s="777"/>
      <c r="AC76" s="777"/>
      <c r="AD76" t="e">
        <f t="shared" si="15"/>
        <v>#N/A</v>
      </c>
    </row>
    <row r="77" spans="1:30" x14ac:dyDescent="0.2">
      <c r="A77" s="916" t="s">
        <v>174</v>
      </c>
      <c r="B77" t="s">
        <v>2089</v>
      </c>
      <c r="C77" t="s">
        <v>68</v>
      </c>
      <c r="D77">
        <v>3209901</v>
      </c>
      <c r="E77" t="s">
        <v>25</v>
      </c>
      <c r="F77" s="854">
        <v>37196</v>
      </c>
      <c r="G77" s="854"/>
      <c r="H77" s="854"/>
      <c r="I77" s="854" t="s">
        <v>245</v>
      </c>
      <c r="J77">
        <f t="shared" si="22"/>
        <v>0</v>
      </c>
      <c r="K77">
        <f t="shared" si="25"/>
        <v>0</v>
      </c>
      <c r="L77" s="251">
        <f t="shared" si="7"/>
        <v>2.2800000000000001E-2</v>
      </c>
      <c r="M77" s="557">
        <f t="shared" si="8"/>
        <v>0</v>
      </c>
      <c r="N77" s="557">
        <f t="shared" si="0"/>
        <v>0</v>
      </c>
      <c r="O77" s="557">
        <f t="shared" si="1"/>
        <v>0</v>
      </c>
      <c r="P77" s="557">
        <f t="shared" si="2"/>
        <v>0</v>
      </c>
      <c r="Q77" s="226" t="str">
        <f t="shared" si="9"/>
        <v>Y</v>
      </c>
      <c r="R77" s="226">
        <f t="shared" si="24"/>
        <v>0</v>
      </c>
      <c r="S77">
        <f t="shared" si="4"/>
        <v>0</v>
      </c>
      <c r="T77" s="141">
        <f t="shared" si="23"/>
        <v>0</v>
      </c>
      <c r="U77" s="710">
        <f t="shared" si="11"/>
        <v>0</v>
      </c>
      <c r="V77" s="710">
        <f t="shared" si="12"/>
        <v>0</v>
      </c>
      <c r="W77" s="710">
        <f t="shared" si="13"/>
        <v>0</v>
      </c>
      <c r="X77" s="710">
        <f t="shared" si="14"/>
        <v>0</v>
      </c>
      <c r="Y77" s="141">
        <f t="shared" si="5"/>
        <v>0</v>
      </c>
      <c r="AB77" s="777"/>
      <c r="AC77" s="777"/>
      <c r="AD77" t="e">
        <f t="shared" si="15"/>
        <v>#N/A</v>
      </c>
    </row>
    <row r="78" spans="1:30" x14ac:dyDescent="0.2">
      <c r="A78" s="916" t="s">
        <v>174</v>
      </c>
      <c r="B78" t="s">
        <v>2089</v>
      </c>
      <c r="C78" t="s">
        <v>1290</v>
      </c>
      <c r="D78">
        <v>3219301</v>
      </c>
      <c r="E78" t="s">
        <v>1150</v>
      </c>
      <c r="F78" s="854">
        <v>37196</v>
      </c>
      <c r="G78" s="854"/>
      <c r="H78" s="854"/>
      <c r="I78" s="854" t="s">
        <v>245</v>
      </c>
      <c r="J78">
        <f t="shared" si="22"/>
        <v>0</v>
      </c>
      <c r="K78">
        <f t="shared" si="25"/>
        <v>0</v>
      </c>
      <c r="L78" s="251">
        <f t="shared" si="7"/>
        <v>2.2800000000000001E-2</v>
      </c>
      <c r="M78" s="557">
        <f t="shared" si="8"/>
        <v>0</v>
      </c>
      <c r="N78" s="557">
        <f t="shared" si="0"/>
        <v>0</v>
      </c>
      <c r="O78" s="557">
        <f t="shared" si="1"/>
        <v>0</v>
      </c>
      <c r="P78" s="557">
        <f t="shared" si="2"/>
        <v>0</v>
      </c>
      <c r="Q78" s="226" t="str">
        <f t="shared" si="9"/>
        <v>Y</v>
      </c>
      <c r="R78" s="226">
        <f t="shared" si="24"/>
        <v>0</v>
      </c>
      <c r="S78">
        <f t="shared" si="4"/>
        <v>0</v>
      </c>
      <c r="T78" s="141">
        <f t="shared" si="23"/>
        <v>0</v>
      </c>
      <c r="U78" s="710">
        <f t="shared" si="11"/>
        <v>0</v>
      </c>
      <c r="V78" s="710">
        <f t="shared" si="12"/>
        <v>0</v>
      </c>
      <c r="W78" s="710">
        <f t="shared" si="13"/>
        <v>0</v>
      </c>
      <c r="X78" s="710">
        <f t="shared" si="14"/>
        <v>0</v>
      </c>
      <c r="Y78" s="141">
        <f t="shared" si="5"/>
        <v>0</v>
      </c>
      <c r="AB78" s="777"/>
      <c r="AC78" s="777"/>
      <c r="AD78" t="e">
        <f t="shared" si="15"/>
        <v>#N/A</v>
      </c>
    </row>
    <row r="79" spans="1:30" x14ac:dyDescent="0.2">
      <c r="A79" s="916" t="s">
        <v>174</v>
      </c>
      <c r="B79" t="s">
        <v>2089</v>
      </c>
      <c r="C79" t="s">
        <v>1284</v>
      </c>
      <c r="D79">
        <v>3223401</v>
      </c>
      <c r="E79" t="s">
        <v>1108</v>
      </c>
      <c r="F79" s="854">
        <v>37196</v>
      </c>
      <c r="G79" s="854"/>
      <c r="H79" s="854"/>
      <c r="I79" s="854" t="s">
        <v>245</v>
      </c>
      <c r="J79">
        <f t="shared" si="22"/>
        <v>0</v>
      </c>
      <c r="K79">
        <f t="shared" si="25"/>
        <v>0</v>
      </c>
      <c r="L79" s="251">
        <f t="shared" si="7"/>
        <v>2.2800000000000001E-2</v>
      </c>
      <c r="M79" s="557">
        <f t="shared" si="8"/>
        <v>0</v>
      </c>
      <c r="N79" s="557">
        <f t="shared" si="0"/>
        <v>0</v>
      </c>
      <c r="O79" s="557">
        <f t="shared" si="1"/>
        <v>0</v>
      </c>
      <c r="P79" s="557">
        <f t="shared" si="2"/>
        <v>0</v>
      </c>
      <c r="Q79" s="226" t="str">
        <f t="shared" si="9"/>
        <v>Y</v>
      </c>
      <c r="R79" s="226">
        <f t="shared" si="24"/>
        <v>0</v>
      </c>
      <c r="S79">
        <f t="shared" si="4"/>
        <v>0</v>
      </c>
      <c r="T79" s="141">
        <f t="shared" si="23"/>
        <v>0</v>
      </c>
      <c r="U79" s="710">
        <f t="shared" si="11"/>
        <v>0</v>
      </c>
      <c r="V79" s="710">
        <f t="shared" si="12"/>
        <v>0</v>
      </c>
      <c r="W79" s="710">
        <f t="shared" si="13"/>
        <v>0</v>
      </c>
      <c r="X79" s="710">
        <f t="shared" si="14"/>
        <v>0</v>
      </c>
      <c r="Y79" s="141">
        <f t="shared" si="5"/>
        <v>0</v>
      </c>
      <c r="AB79" s="777"/>
      <c r="AC79" s="777"/>
      <c r="AD79" t="e">
        <f t="shared" si="15"/>
        <v>#N/A</v>
      </c>
    </row>
    <row r="80" spans="1:30" x14ac:dyDescent="0.2">
      <c r="A80" s="916" t="s">
        <v>174</v>
      </c>
      <c r="B80" t="s">
        <v>2089</v>
      </c>
      <c r="C80" t="s">
        <v>1109</v>
      </c>
      <c r="D80">
        <v>3225601</v>
      </c>
      <c r="E80" t="s">
        <v>1110</v>
      </c>
      <c r="F80" s="854">
        <v>37196</v>
      </c>
      <c r="G80" s="854"/>
      <c r="H80" s="854"/>
      <c r="I80" s="854" t="s">
        <v>245</v>
      </c>
      <c r="J80">
        <f t="shared" si="22"/>
        <v>0</v>
      </c>
      <c r="K80">
        <f t="shared" si="25"/>
        <v>0</v>
      </c>
      <c r="L80" s="251">
        <f t="shared" si="7"/>
        <v>2.2800000000000001E-2</v>
      </c>
      <c r="M80" s="557">
        <f t="shared" si="8"/>
        <v>0</v>
      </c>
      <c r="N80" s="557">
        <f t="shared" si="0"/>
        <v>0</v>
      </c>
      <c r="O80" s="557">
        <f t="shared" si="1"/>
        <v>0</v>
      </c>
      <c r="P80" s="557">
        <f t="shared" si="2"/>
        <v>0</v>
      </c>
      <c r="Q80" s="226" t="str">
        <f t="shared" si="9"/>
        <v>Y</v>
      </c>
      <c r="R80" s="226">
        <f t="shared" si="24"/>
        <v>0</v>
      </c>
      <c r="S80">
        <f t="shared" si="4"/>
        <v>0</v>
      </c>
      <c r="T80" s="141">
        <f t="shared" si="23"/>
        <v>0</v>
      </c>
      <c r="U80" s="710">
        <f t="shared" si="11"/>
        <v>0</v>
      </c>
      <c r="V80" s="710">
        <f t="shared" si="12"/>
        <v>0</v>
      </c>
      <c r="W80" s="710">
        <f t="shared" si="13"/>
        <v>0</v>
      </c>
      <c r="X80" s="710">
        <f t="shared" si="14"/>
        <v>0</v>
      </c>
      <c r="Y80" s="141">
        <f t="shared" si="5"/>
        <v>0</v>
      </c>
      <c r="AB80" s="777"/>
      <c r="AC80" s="777"/>
      <c r="AD80" t="e">
        <f t="shared" si="15"/>
        <v>#N/A</v>
      </c>
    </row>
    <row r="81" spans="1:30" x14ac:dyDescent="0.2">
      <c r="A81" s="916" t="s">
        <v>174</v>
      </c>
      <c r="B81" t="s">
        <v>2089</v>
      </c>
      <c r="C81" t="s">
        <v>1287</v>
      </c>
      <c r="D81">
        <v>3226701</v>
      </c>
      <c r="E81" t="s">
        <v>1150</v>
      </c>
      <c r="F81" s="854">
        <v>37196</v>
      </c>
      <c r="G81" s="854"/>
      <c r="H81" s="854"/>
      <c r="I81" s="854" t="s">
        <v>245</v>
      </c>
      <c r="J81">
        <f t="shared" si="22"/>
        <v>0</v>
      </c>
      <c r="K81">
        <f t="shared" si="25"/>
        <v>0</v>
      </c>
      <c r="L81" s="251">
        <f t="shared" si="7"/>
        <v>2.2800000000000001E-2</v>
      </c>
      <c r="M81" s="557">
        <f t="shared" si="8"/>
        <v>0</v>
      </c>
      <c r="N81" s="557">
        <f t="shared" si="0"/>
        <v>0</v>
      </c>
      <c r="O81" s="557">
        <f t="shared" si="1"/>
        <v>0</v>
      </c>
      <c r="P81" s="557">
        <f t="shared" si="2"/>
        <v>0</v>
      </c>
      <c r="Q81" s="226" t="str">
        <f t="shared" si="9"/>
        <v>Y</v>
      </c>
      <c r="R81" s="226">
        <f t="shared" si="24"/>
        <v>0</v>
      </c>
      <c r="S81">
        <f t="shared" si="4"/>
        <v>0</v>
      </c>
      <c r="T81" s="141">
        <f t="shared" si="23"/>
        <v>0</v>
      </c>
      <c r="U81" s="710">
        <f t="shared" si="11"/>
        <v>0</v>
      </c>
      <c r="V81" s="710">
        <f t="shared" si="12"/>
        <v>0</v>
      </c>
      <c r="W81" s="710">
        <f t="shared" si="13"/>
        <v>0</v>
      </c>
      <c r="X81" s="710">
        <f t="shared" si="14"/>
        <v>0</v>
      </c>
      <c r="Y81" s="141">
        <f t="shared" si="5"/>
        <v>0</v>
      </c>
      <c r="AB81" s="777"/>
      <c r="AC81" s="777"/>
      <c r="AD81" t="e">
        <f t="shared" si="15"/>
        <v>#N/A</v>
      </c>
    </row>
    <row r="82" spans="1:30" x14ac:dyDescent="0.2">
      <c r="A82" s="916" t="s">
        <v>174</v>
      </c>
      <c r="B82" t="s">
        <v>2089</v>
      </c>
      <c r="C82" t="s">
        <v>1286</v>
      </c>
      <c r="D82">
        <v>3231101</v>
      </c>
      <c r="E82" t="s">
        <v>1110</v>
      </c>
      <c r="F82" s="854">
        <v>37196</v>
      </c>
      <c r="G82" s="854"/>
      <c r="H82" s="854"/>
      <c r="I82" s="854" t="s">
        <v>245</v>
      </c>
      <c r="J82">
        <f t="shared" si="22"/>
        <v>0</v>
      </c>
      <c r="K82">
        <f t="shared" si="25"/>
        <v>0</v>
      </c>
      <c r="L82" s="251">
        <f t="shared" si="7"/>
        <v>2.2800000000000001E-2</v>
      </c>
      <c r="M82" s="557">
        <f t="shared" si="8"/>
        <v>0</v>
      </c>
      <c r="N82" s="557">
        <f t="shared" si="0"/>
        <v>0</v>
      </c>
      <c r="O82" s="557">
        <f t="shared" si="1"/>
        <v>0</v>
      </c>
      <c r="P82" s="557">
        <f t="shared" si="2"/>
        <v>0</v>
      </c>
      <c r="Q82" s="226" t="str">
        <f t="shared" si="9"/>
        <v>Y</v>
      </c>
      <c r="R82" s="226">
        <f t="shared" si="24"/>
        <v>0</v>
      </c>
      <c r="S82">
        <f t="shared" si="4"/>
        <v>0</v>
      </c>
      <c r="T82" s="141">
        <f t="shared" si="23"/>
        <v>0</v>
      </c>
      <c r="U82" s="710">
        <f t="shared" si="11"/>
        <v>0</v>
      </c>
      <c r="V82" s="710">
        <f t="shared" si="12"/>
        <v>0</v>
      </c>
      <c r="W82" s="710">
        <f t="shared" si="13"/>
        <v>0</v>
      </c>
      <c r="X82" s="710">
        <f t="shared" si="14"/>
        <v>0</v>
      </c>
      <c r="Y82" s="141">
        <f t="shared" si="5"/>
        <v>0</v>
      </c>
      <c r="AB82" s="777"/>
      <c r="AC82" s="777"/>
      <c r="AD82" t="e">
        <f t="shared" si="15"/>
        <v>#N/A</v>
      </c>
    </row>
    <row r="83" spans="1:30" x14ac:dyDescent="0.2">
      <c r="A83" s="916" t="s">
        <v>174</v>
      </c>
      <c r="B83" t="s">
        <v>2089</v>
      </c>
      <c r="C83" t="s">
        <v>1268</v>
      </c>
      <c r="D83">
        <v>3234701</v>
      </c>
      <c r="E83" t="s">
        <v>1269</v>
      </c>
      <c r="F83" s="854">
        <v>37196</v>
      </c>
      <c r="G83" s="854"/>
      <c r="H83" s="854"/>
      <c r="I83" s="854" t="s">
        <v>245</v>
      </c>
      <c r="J83">
        <f t="shared" si="22"/>
        <v>0</v>
      </c>
      <c r="K83">
        <f t="shared" si="25"/>
        <v>0</v>
      </c>
      <c r="L83" s="251">
        <f t="shared" si="7"/>
        <v>2.2800000000000001E-2</v>
      </c>
      <c r="M83" s="557">
        <f t="shared" si="8"/>
        <v>0</v>
      </c>
      <c r="N83" s="557">
        <f t="shared" si="0"/>
        <v>0</v>
      </c>
      <c r="O83" s="557">
        <f t="shared" si="1"/>
        <v>0</v>
      </c>
      <c r="P83" s="557">
        <f t="shared" si="2"/>
        <v>0</v>
      </c>
      <c r="Q83" s="226" t="str">
        <f t="shared" si="9"/>
        <v>Y</v>
      </c>
      <c r="R83" s="226">
        <f t="shared" si="24"/>
        <v>0</v>
      </c>
      <c r="S83">
        <f t="shared" si="4"/>
        <v>0</v>
      </c>
      <c r="T83" s="141">
        <f t="shared" si="23"/>
        <v>0</v>
      </c>
      <c r="U83" s="710">
        <f t="shared" si="11"/>
        <v>0</v>
      </c>
      <c r="V83" s="710">
        <f t="shared" si="12"/>
        <v>0</v>
      </c>
      <c r="W83" s="710">
        <f t="shared" si="13"/>
        <v>0</v>
      </c>
      <c r="X83" s="710">
        <f t="shared" si="14"/>
        <v>0</v>
      </c>
      <c r="Y83" s="141">
        <f t="shared" si="5"/>
        <v>0</v>
      </c>
      <c r="AB83" s="777"/>
      <c r="AC83" s="777"/>
      <c r="AD83" t="e">
        <f t="shared" si="15"/>
        <v>#N/A</v>
      </c>
    </row>
    <row r="84" spans="1:30" x14ac:dyDescent="0.2">
      <c r="A84" s="916" t="s">
        <v>174</v>
      </c>
      <c r="B84" t="s">
        <v>2089</v>
      </c>
      <c r="C84" t="s">
        <v>2102</v>
      </c>
      <c r="D84">
        <v>3241501</v>
      </c>
      <c r="E84" t="s">
        <v>1083</v>
      </c>
      <c r="F84" s="854">
        <v>37196</v>
      </c>
      <c r="G84" s="854"/>
      <c r="H84" s="854"/>
      <c r="I84" s="854" t="s">
        <v>245</v>
      </c>
      <c r="J84">
        <f t="shared" si="22"/>
        <v>0</v>
      </c>
      <c r="K84">
        <f t="shared" si="25"/>
        <v>0</v>
      </c>
      <c r="L84" s="251">
        <f t="shared" si="7"/>
        <v>2.2800000000000001E-2</v>
      </c>
      <c r="M84" s="557">
        <f t="shared" si="8"/>
        <v>0</v>
      </c>
      <c r="N84" s="557">
        <f t="shared" si="0"/>
        <v>0</v>
      </c>
      <c r="O84" s="557">
        <f t="shared" si="1"/>
        <v>0</v>
      </c>
      <c r="P84" s="557">
        <f t="shared" si="2"/>
        <v>0</v>
      </c>
      <c r="Q84" s="226" t="str">
        <f t="shared" si="9"/>
        <v>Y</v>
      </c>
      <c r="R84" s="226">
        <f t="shared" si="24"/>
        <v>0</v>
      </c>
      <c r="S84">
        <f t="shared" si="4"/>
        <v>0</v>
      </c>
      <c r="T84" s="141">
        <f t="shared" si="23"/>
        <v>0</v>
      </c>
      <c r="U84" s="710">
        <f t="shared" si="11"/>
        <v>0</v>
      </c>
      <c r="V84" s="710">
        <f t="shared" si="12"/>
        <v>0</v>
      </c>
      <c r="W84" s="710">
        <f t="shared" si="13"/>
        <v>0</v>
      </c>
      <c r="X84" s="710">
        <f t="shared" si="14"/>
        <v>0</v>
      </c>
      <c r="Y84" s="141">
        <f t="shared" si="5"/>
        <v>0</v>
      </c>
      <c r="AB84" s="777"/>
      <c r="AC84" s="777"/>
      <c r="AD84" t="e">
        <f t="shared" si="15"/>
        <v>#N/A</v>
      </c>
    </row>
    <row r="85" spans="1:30" x14ac:dyDescent="0.2">
      <c r="A85" s="916" t="s">
        <v>174</v>
      </c>
      <c r="B85" t="s">
        <v>2089</v>
      </c>
      <c r="C85" t="s">
        <v>1285</v>
      </c>
      <c r="D85">
        <v>3245501</v>
      </c>
      <c r="E85" t="s">
        <v>1108</v>
      </c>
      <c r="F85" s="854">
        <v>37196</v>
      </c>
      <c r="G85" s="854"/>
      <c r="H85" s="854"/>
      <c r="I85" s="854" t="s">
        <v>245</v>
      </c>
      <c r="J85">
        <f t="shared" si="22"/>
        <v>0</v>
      </c>
      <c r="K85">
        <f t="shared" si="25"/>
        <v>0</v>
      </c>
      <c r="L85" s="251">
        <f t="shared" si="7"/>
        <v>2.2800000000000001E-2</v>
      </c>
      <c r="M85" s="557">
        <f t="shared" si="8"/>
        <v>0</v>
      </c>
      <c r="N85" s="557">
        <f t="shared" si="0"/>
        <v>0</v>
      </c>
      <c r="O85" s="557">
        <f t="shared" si="1"/>
        <v>0</v>
      </c>
      <c r="P85" s="557">
        <f t="shared" si="2"/>
        <v>0</v>
      </c>
      <c r="Q85" s="226" t="str">
        <f t="shared" si="9"/>
        <v>Y</v>
      </c>
      <c r="R85" s="226">
        <f t="shared" si="24"/>
        <v>0</v>
      </c>
      <c r="S85">
        <f t="shared" si="4"/>
        <v>0</v>
      </c>
      <c r="T85" s="141">
        <f t="shared" si="23"/>
        <v>0</v>
      </c>
      <c r="U85" s="710">
        <f t="shared" si="11"/>
        <v>0</v>
      </c>
      <c r="V85" s="710">
        <f t="shared" si="12"/>
        <v>0</v>
      </c>
      <c r="W85" s="710">
        <f t="shared" si="13"/>
        <v>0</v>
      </c>
      <c r="X85" s="710">
        <f t="shared" si="14"/>
        <v>0</v>
      </c>
      <c r="Y85" s="141">
        <f t="shared" si="5"/>
        <v>0</v>
      </c>
      <c r="AB85" s="777"/>
      <c r="AC85" s="777"/>
      <c r="AD85" t="e">
        <f t="shared" si="15"/>
        <v>#N/A</v>
      </c>
    </row>
    <row r="86" spans="1:30" x14ac:dyDescent="0.2">
      <c r="A86" s="916" t="s">
        <v>174</v>
      </c>
      <c r="B86" t="s">
        <v>2089</v>
      </c>
      <c r="C86" t="s">
        <v>69</v>
      </c>
      <c r="D86">
        <v>3245701</v>
      </c>
      <c r="E86" t="s">
        <v>70</v>
      </c>
      <c r="F86" s="854">
        <v>37196</v>
      </c>
      <c r="G86" s="854"/>
      <c r="H86" s="854"/>
      <c r="I86" s="854" t="s">
        <v>245</v>
      </c>
      <c r="J86">
        <f t="shared" si="22"/>
        <v>0</v>
      </c>
      <c r="K86">
        <f t="shared" si="25"/>
        <v>0</v>
      </c>
      <c r="L86" s="251">
        <f t="shared" si="7"/>
        <v>2.2800000000000001E-2</v>
      </c>
      <c r="M86" s="557">
        <f t="shared" si="8"/>
        <v>0</v>
      </c>
      <c r="N86" s="557">
        <f t="shared" si="0"/>
        <v>0</v>
      </c>
      <c r="O86" s="557">
        <f t="shared" si="1"/>
        <v>0</v>
      </c>
      <c r="P86" s="557">
        <f t="shared" si="2"/>
        <v>0</v>
      </c>
      <c r="Q86" s="226" t="str">
        <f t="shared" si="9"/>
        <v>Y</v>
      </c>
      <c r="R86" s="226">
        <f t="shared" si="24"/>
        <v>0</v>
      </c>
      <c r="S86">
        <f t="shared" si="4"/>
        <v>0</v>
      </c>
      <c r="T86" s="141">
        <f t="shared" si="23"/>
        <v>0</v>
      </c>
      <c r="U86" s="710">
        <f t="shared" si="11"/>
        <v>0</v>
      </c>
      <c r="V86" s="710">
        <f t="shared" si="12"/>
        <v>0</v>
      </c>
      <c r="W86" s="710">
        <f t="shared" si="13"/>
        <v>0</v>
      </c>
      <c r="X86" s="710">
        <f t="shared" si="14"/>
        <v>0</v>
      </c>
      <c r="Y86" s="141">
        <f t="shared" si="5"/>
        <v>0</v>
      </c>
      <c r="AB86" s="777"/>
      <c r="AC86" s="777"/>
      <c r="AD86" t="e">
        <f t="shared" si="15"/>
        <v>#N/A</v>
      </c>
    </row>
    <row r="87" spans="1:30" x14ac:dyDescent="0.2">
      <c r="A87" s="916" t="s">
        <v>174</v>
      </c>
      <c r="B87" t="s">
        <v>2089</v>
      </c>
      <c r="C87" t="s">
        <v>1185</v>
      </c>
      <c r="D87">
        <v>3250501</v>
      </c>
      <c r="E87" t="s">
        <v>1110</v>
      </c>
      <c r="F87" s="854">
        <v>37196</v>
      </c>
      <c r="G87" s="854"/>
      <c r="H87" s="854"/>
      <c r="I87" s="854" t="s">
        <v>245</v>
      </c>
      <c r="J87">
        <f t="shared" si="22"/>
        <v>0</v>
      </c>
      <c r="K87">
        <f t="shared" si="25"/>
        <v>0</v>
      </c>
      <c r="L87" s="251">
        <f t="shared" si="7"/>
        <v>2.2800000000000001E-2</v>
      </c>
      <c r="M87" s="557">
        <f t="shared" si="8"/>
        <v>0</v>
      </c>
      <c r="N87" s="557">
        <f t="shared" si="0"/>
        <v>0</v>
      </c>
      <c r="O87" s="557">
        <f t="shared" si="1"/>
        <v>0</v>
      </c>
      <c r="P87" s="557">
        <f t="shared" si="2"/>
        <v>0</v>
      </c>
      <c r="Q87" s="226" t="str">
        <f t="shared" si="9"/>
        <v>Y</v>
      </c>
      <c r="R87" s="226">
        <f t="shared" si="24"/>
        <v>0</v>
      </c>
      <c r="S87">
        <f t="shared" si="4"/>
        <v>0</v>
      </c>
      <c r="T87" s="141">
        <f t="shared" si="23"/>
        <v>0</v>
      </c>
      <c r="U87" s="710">
        <f t="shared" si="11"/>
        <v>0</v>
      </c>
      <c r="V87" s="710">
        <f t="shared" si="12"/>
        <v>0</v>
      </c>
      <c r="W87" s="710">
        <f t="shared" si="13"/>
        <v>0</v>
      </c>
      <c r="X87" s="710">
        <f t="shared" si="14"/>
        <v>0</v>
      </c>
      <c r="Y87" s="141">
        <f t="shared" si="5"/>
        <v>0</v>
      </c>
      <c r="AB87" s="777"/>
      <c r="AC87" s="777"/>
      <c r="AD87" t="e">
        <f t="shared" si="15"/>
        <v>#N/A</v>
      </c>
    </row>
    <row r="88" spans="1:30" x14ac:dyDescent="0.2">
      <c r="A88" s="916" t="s">
        <v>174</v>
      </c>
      <c r="B88" t="s">
        <v>2089</v>
      </c>
      <c r="C88" t="s">
        <v>1331</v>
      </c>
      <c r="D88">
        <v>3284701</v>
      </c>
      <c r="E88" t="s">
        <v>1083</v>
      </c>
      <c r="F88" s="854">
        <v>37196</v>
      </c>
      <c r="G88" s="854"/>
      <c r="H88" s="854"/>
      <c r="I88" s="854" t="s">
        <v>245</v>
      </c>
      <c r="J88">
        <f t="shared" si="22"/>
        <v>0</v>
      </c>
      <c r="K88">
        <f t="shared" si="25"/>
        <v>0</v>
      </c>
      <c r="L88" s="251">
        <f t="shared" si="7"/>
        <v>2.2800000000000001E-2</v>
      </c>
      <c r="M88" s="557">
        <f t="shared" si="8"/>
        <v>0</v>
      </c>
      <c r="N88" s="557">
        <f t="shared" si="0"/>
        <v>0</v>
      </c>
      <c r="O88" s="557">
        <f t="shared" si="1"/>
        <v>0</v>
      </c>
      <c r="P88" s="557">
        <f t="shared" si="2"/>
        <v>0</v>
      </c>
      <c r="Q88" s="226" t="str">
        <f t="shared" si="9"/>
        <v>Y</v>
      </c>
      <c r="R88" s="226">
        <f t="shared" si="24"/>
        <v>0</v>
      </c>
      <c r="S88">
        <f t="shared" si="4"/>
        <v>0</v>
      </c>
      <c r="T88" s="141">
        <f t="shared" si="23"/>
        <v>0</v>
      </c>
      <c r="U88" s="710">
        <f t="shared" si="11"/>
        <v>0</v>
      </c>
      <c r="V88" s="710">
        <f t="shared" si="12"/>
        <v>0</v>
      </c>
      <c r="W88" s="710">
        <f t="shared" si="13"/>
        <v>0</v>
      </c>
      <c r="X88" s="710">
        <f t="shared" si="14"/>
        <v>0</v>
      </c>
      <c r="Y88" s="141">
        <f t="shared" si="5"/>
        <v>0</v>
      </c>
      <c r="AB88" s="777"/>
      <c r="AC88" s="777"/>
      <c r="AD88" t="e">
        <f t="shared" si="15"/>
        <v>#N/A</v>
      </c>
    </row>
    <row r="89" spans="1:30" x14ac:dyDescent="0.2">
      <c r="A89" s="916" t="s">
        <v>174</v>
      </c>
      <c r="B89" t="s">
        <v>2089</v>
      </c>
      <c r="C89" t="s">
        <v>1299</v>
      </c>
      <c r="D89">
        <v>3290201</v>
      </c>
      <c r="E89" t="s">
        <v>1150</v>
      </c>
      <c r="F89" s="854">
        <v>37196</v>
      </c>
      <c r="G89" s="854"/>
      <c r="H89" s="854"/>
      <c r="I89" s="854" t="s">
        <v>245</v>
      </c>
      <c r="J89">
        <f t="shared" si="22"/>
        <v>0</v>
      </c>
      <c r="K89">
        <f t="shared" si="25"/>
        <v>0</v>
      </c>
      <c r="L89" s="251">
        <f t="shared" si="7"/>
        <v>2.2800000000000001E-2</v>
      </c>
      <c r="M89" s="557">
        <f t="shared" si="8"/>
        <v>0</v>
      </c>
      <c r="N89" s="557">
        <f t="shared" si="0"/>
        <v>0</v>
      </c>
      <c r="O89" s="557">
        <f t="shared" si="1"/>
        <v>0</v>
      </c>
      <c r="P89" s="557">
        <f t="shared" si="2"/>
        <v>0</v>
      </c>
      <c r="Q89" s="226" t="str">
        <f t="shared" si="9"/>
        <v>Y</v>
      </c>
      <c r="R89" s="226">
        <f t="shared" si="24"/>
        <v>0</v>
      </c>
      <c r="S89">
        <f t="shared" si="4"/>
        <v>0</v>
      </c>
      <c r="T89" s="141">
        <f t="shared" si="23"/>
        <v>0</v>
      </c>
      <c r="U89" s="710">
        <f t="shared" si="11"/>
        <v>0</v>
      </c>
      <c r="V89" s="710">
        <f t="shared" si="12"/>
        <v>0</v>
      </c>
      <c r="W89" s="710">
        <f t="shared" si="13"/>
        <v>0</v>
      </c>
      <c r="X89" s="710">
        <f t="shared" si="14"/>
        <v>0</v>
      </c>
      <c r="Y89" s="141">
        <f t="shared" si="5"/>
        <v>0</v>
      </c>
      <c r="AB89" s="777"/>
      <c r="AC89" s="777"/>
      <c r="AD89" t="e">
        <f t="shared" si="15"/>
        <v>#N/A</v>
      </c>
    </row>
    <row r="90" spans="1:30" x14ac:dyDescent="0.2">
      <c r="A90" s="916" t="s">
        <v>174</v>
      </c>
      <c r="B90" t="s">
        <v>2089</v>
      </c>
      <c r="C90" t="s">
        <v>1301</v>
      </c>
      <c r="D90">
        <v>3290902</v>
      </c>
      <c r="E90" t="s">
        <v>1302</v>
      </c>
      <c r="F90" s="854">
        <v>37196</v>
      </c>
      <c r="G90" s="854"/>
      <c r="H90" s="854"/>
      <c r="I90" s="854" t="s">
        <v>245</v>
      </c>
      <c r="J90">
        <f t="shared" si="22"/>
        <v>0</v>
      </c>
      <c r="K90">
        <f t="shared" si="25"/>
        <v>0</v>
      </c>
      <c r="L90" s="251">
        <f t="shared" si="7"/>
        <v>2.2800000000000001E-2</v>
      </c>
      <c r="M90" s="557">
        <f t="shared" si="8"/>
        <v>0</v>
      </c>
      <c r="N90" s="557">
        <f t="shared" si="0"/>
        <v>0</v>
      </c>
      <c r="O90" s="557">
        <f t="shared" si="1"/>
        <v>0</v>
      </c>
      <c r="P90" s="557">
        <f t="shared" si="2"/>
        <v>0</v>
      </c>
      <c r="Q90" s="226" t="str">
        <f t="shared" si="9"/>
        <v>Y</v>
      </c>
      <c r="R90" s="226">
        <f t="shared" si="24"/>
        <v>0</v>
      </c>
      <c r="S90">
        <f t="shared" si="4"/>
        <v>0</v>
      </c>
      <c r="T90" s="141">
        <f t="shared" si="23"/>
        <v>0</v>
      </c>
      <c r="U90" s="710">
        <f t="shared" si="11"/>
        <v>0</v>
      </c>
      <c r="V90" s="710">
        <f t="shared" si="12"/>
        <v>0</v>
      </c>
      <c r="W90" s="710">
        <f t="shared" si="13"/>
        <v>0</v>
      </c>
      <c r="X90" s="710">
        <f t="shared" si="14"/>
        <v>0</v>
      </c>
      <c r="Y90" s="141">
        <f t="shared" si="5"/>
        <v>0</v>
      </c>
      <c r="AB90" s="777"/>
      <c r="AC90" s="777"/>
      <c r="AD90" t="e">
        <f t="shared" si="15"/>
        <v>#N/A</v>
      </c>
    </row>
    <row r="91" spans="1:30" x14ac:dyDescent="0.2">
      <c r="A91" s="916" t="s">
        <v>174</v>
      </c>
      <c r="B91" t="s">
        <v>2089</v>
      </c>
      <c r="C91" t="s">
        <v>1199</v>
      </c>
      <c r="D91">
        <v>3294701</v>
      </c>
      <c r="E91" t="s">
        <v>1262</v>
      </c>
      <c r="F91" s="854">
        <v>37196</v>
      </c>
      <c r="G91" s="854"/>
      <c r="H91" s="854"/>
      <c r="I91" s="854" t="s">
        <v>245</v>
      </c>
      <c r="J91">
        <f t="shared" si="22"/>
        <v>0</v>
      </c>
      <c r="K91">
        <f t="shared" si="25"/>
        <v>0</v>
      </c>
      <c r="L91" s="251">
        <f t="shared" si="7"/>
        <v>2.2800000000000001E-2</v>
      </c>
      <c r="M91" s="557">
        <f t="shared" si="8"/>
        <v>0</v>
      </c>
      <c r="N91" s="557">
        <f t="shared" si="0"/>
        <v>0</v>
      </c>
      <c r="O91" s="557">
        <f t="shared" si="1"/>
        <v>0</v>
      </c>
      <c r="P91" s="557">
        <f t="shared" si="2"/>
        <v>0</v>
      </c>
      <c r="Q91" s="226" t="str">
        <f t="shared" si="9"/>
        <v>Y</v>
      </c>
      <c r="R91" s="226">
        <f t="shared" si="24"/>
        <v>0</v>
      </c>
      <c r="S91">
        <f t="shared" si="4"/>
        <v>0</v>
      </c>
      <c r="T91" s="141">
        <f t="shared" si="23"/>
        <v>0</v>
      </c>
      <c r="U91" s="710">
        <f t="shared" si="11"/>
        <v>0</v>
      </c>
      <c r="V91" s="710">
        <f t="shared" si="12"/>
        <v>0</v>
      </c>
      <c r="W91" s="710">
        <f t="shared" si="13"/>
        <v>0</v>
      </c>
      <c r="X91" s="710">
        <f t="shared" si="14"/>
        <v>0</v>
      </c>
      <c r="Y91" s="141">
        <f t="shared" si="5"/>
        <v>0</v>
      </c>
      <c r="AB91" s="777"/>
      <c r="AC91" s="777"/>
      <c r="AD91" t="e">
        <f t="shared" si="15"/>
        <v>#N/A</v>
      </c>
    </row>
    <row r="92" spans="1:30" x14ac:dyDescent="0.2">
      <c r="A92" s="916" t="s">
        <v>174</v>
      </c>
      <c r="B92" t="s">
        <v>2089</v>
      </c>
      <c r="C92" t="s">
        <v>71</v>
      </c>
      <c r="D92">
        <v>3297001</v>
      </c>
      <c r="E92" t="s">
        <v>25</v>
      </c>
      <c r="F92" s="854">
        <v>37196</v>
      </c>
      <c r="G92" s="854"/>
      <c r="H92" s="854"/>
      <c r="I92" s="854" t="s">
        <v>245</v>
      </c>
      <c r="J92">
        <f t="shared" si="22"/>
        <v>0</v>
      </c>
      <c r="K92">
        <f t="shared" si="25"/>
        <v>0</v>
      </c>
      <c r="L92" s="251">
        <f t="shared" si="7"/>
        <v>2.2800000000000001E-2</v>
      </c>
      <c r="M92" s="557">
        <f t="shared" si="8"/>
        <v>0</v>
      </c>
      <c r="N92" s="557">
        <f t="shared" si="0"/>
        <v>0</v>
      </c>
      <c r="O92" s="557">
        <f t="shared" si="1"/>
        <v>0</v>
      </c>
      <c r="P92" s="557">
        <f t="shared" si="2"/>
        <v>0</v>
      </c>
      <c r="Q92" s="226" t="str">
        <f t="shared" si="9"/>
        <v>Y</v>
      </c>
      <c r="R92" s="226">
        <f t="shared" si="24"/>
        <v>0</v>
      </c>
      <c r="S92">
        <f t="shared" si="4"/>
        <v>0</v>
      </c>
      <c r="T92" s="141">
        <f t="shared" si="23"/>
        <v>0</v>
      </c>
      <c r="U92" s="710">
        <f t="shared" si="11"/>
        <v>0</v>
      </c>
      <c r="V92" s="710">
        <f t="shared" si="12"/>
        <v>0</v>
      </c>
      <c r="W92" s="710">
        <f t="shared" si="13"/>
        <v>0</v>
      </c>
      <c r="X92" s="710">
        <f t="shared" si="14"/>
        <v>0</v>
      </c>
      <c r="Y92" s="141">
        <f t="shared" si="5"/>
        <v>0</v>
      </c>
      <c r="AB92" s="777"/>
      <c r="AC92" s="777"/>
      <c r="AD92" t="e">
        <f t="shared" si="15"/>
        <v>#N/A</v>
      </c>
    </row>
    <row r="93" spans="1:30" x14ac:dyDescent="0.2">
      <c r="A93" s="916" t="s">
        <v>174</v>
      </c>
      <c r="B93" t="s">
        <v>2089</v>
      </c>
      <c r="C93" t="s">
        <v>74</v>
      </c>
      <c r="D93">
        <v>3313401</v>
      </c>
      <c r="E93" t="s">
        <v>25</v>
      </c>
      <c r="F93" s="854">
        <v>37196</v>
      </c>
      <c r="G93" s="854"/>
      <c r="H93" s="854"/>
      <c r="I93" s="854" t="s">
        <v>245</v>
      </c>
      <c r="J93">
        <f t="shared" si="22"/>
        <v>0</v>
      </c>
      <c r="K93">
        <f t="shared" si="25"/>
        <v>0</v>
      </c>
      <c r="L93" s="251">
        <f t="shared" si="7"/>
        <v>2.2800000000000001E-2</v>
      </c>
      <c r="M93" s="557">
        <f t="shared" si="8"/>
        <v>0</v>
      </c>
      <c r="N93" s="557">
        <f t="shared" si="0"/>
        <v>0</v>
      </c>
      <c r="O93" s="557">
        <f t="shared" si="1"/>
        <v>0</v>
      </c>
      <c r="P93" s="557">
        <f t="shared" si="2"/>
        <v>0</v>
      </c>
      <c r="Q93" s="226" t="str">
        <f t="shared" si="9"/>
        <v>Y</v>
      </c>
      <c r="R93" s="226">
        <f t="shared" si="24"/>
        <v>0</v>
      </c>
      <c r="S93">
        <f t="shared" si="4"/>
        <v>0</v>
      </c>
      <c r="T93" s="141">
        <f t="shared" si="23"/>
        <v>0</v>
      </c>
      <c r="U93" s="710">
        <f t="shared" si="11"/>
        <v>0</v>
      </c>
      <c r="V93" s="710">
        <f t="shared" si="12"/>
        <v>0</v>
      </c>
      <c r="W93" s="710">
        <f t="shared" si="13"/>
        <v>0</v>
      </c>
      <c r="X93" s="710">
        <f t="shared" si="14"/>
        <v>0</v>
      </c>
      <c r="Y93" s="141">
        <f t="shared" si="5"/>
        <v>0</v>
      </c>
      <c r="AB93" s="777"/>
      <c r="AC93" s="777"/>
      <c r="AD93" t="e">
        <f t="shared" si="15"/>
        <v>#N/A</v>
      </c>
    </row>
    <row r="94" spans="1:30" x14ac:dyDescent="0.2">
      <c r="A94" s="916" t="s">
        <v>174</v>
      </c>
      <c r="B94" t="s">
        <v>2089</v>
      </c>
      <c r="C94" t="s">
        <v>1195</v>
      </c>
      <c r="D94">
        <v>3316501</v>
      </c>
      <c r="E94" t="s">
        <v>1188</v>
      </c>
      <c r="F94" s="854">
        <v>37196</v>
      </c>
      <c r="G94" s="854"/>
      <c r="H94" s="854"/>
      <c r="I94" s="854" t="s">
        <v>245</v>
      </c>
      <c r="J94">
        <f t="shared" si="22"/>
        <v>0</v>
      </c>
      <c r="K94">
        <f t="shared" si="25"/>
        <v>0</v>
      </c>
      <c r="L94" s="251">
        <f t="shared" si="7"/>
        <v>2.2800000000000001E-2</v>
      </c>
      <c r="M94" s="557">
        <f t="shared" si="8"/>
        <v>0</v>
      </c>
      <c r="N94" s="557">
        <f t="shared" si="0"/>
        <v>0</v>
      </c>
      <c r="O94" s="557">
        <f t="shared" si="1"/>
        <v>0</v>
      </c>
      <c r="P94" s="557">
        <f t="shared" si="2"/>
        <v>0</v>
      </c>
      <c r="Q94" s="226" t="str">
        <f t="shared" si="9"/>
        <v>Y</v>
      </c>
      <c r="R94" s="226">
        <f t="shared" si="24"/>
        <v>0</v>
      </c>
      <c r="S94">
        <f t="shared" si="4"/>
        <v>0</v>
      </c>
      <c r="T94" s="141">
        <f t="shared" si="23"/>
        <v>0</v>
      </c>
      <c r="U94" s="710">
        <f t="shared" si="11"/>
        <v>0</v>
      </c>
      <c r="V94" s="710">
        <f t="shared" si="12"/>
        <v>0</v>
      </c>
      <c r="W94" s="710">
        <f t="shared" si="13"/>
        <v>0</v>
      </c>
      <c r="X94" s="710">
        <f t="shared" si="14"/>
        <v>0</v>
      </c>
      <c r="Y94" s="141">
        <f t="shared" si="5"/>
        <v>0</v>
      </c>
      <c r="AB94" s="777"/>
      <c r="AC94" s="777"/>
      <c r="AD94" t="e">
        <f t="shared" si="15"/>
        <v>#N/A</v>
      </c>
    </row>
    <row r="95" spans="1:30" x14ac:dyDescent="0.2">
      <c r="A95" s="916" t="s">
        <v>174</v>
      </c>
      <c r="B95" t="s">
        <v>2089</v>
      </c>
      <c r="C95" t="s">
        <v>1196</v>
      </c>
      <c r="D95">
        <v>3316601</v>
      </c>
      <c r="E95" t="s">
        <v>1188</v>
      </c>
      <c r="F95" s="854">
        <v>37196</v>
      </c>
      <c r="G95" s="854"/>
      <c r="H95" s="854"/>
      <c r="I95" s="854" t="s">
        <v>245</v>
      </c>
      <c r="J95">
        <f t="shared" si="22"/>
        <v>0</v>
      </c>
      <c r="K95">
        <f t="shared" si="25"/>
        <v>0</v>
      </c>
      <c r="L95" s="251">
        <f t="shared" si="7"/>
        <v>2.2800000000000001E-2</v>
      </c>
      <c r="M95" s="557">
        <f t="shared" si="8"/>
        <v>0</v>
      </c>
      <c r="N95" s="557">
        <f t="shared" si="0"/>
        <v>0</v>
      </c>
      <c r="O95" s="557">
        <f t="shared" si="1"/>
        <v>0</v>
      </c>
      <c r="P95" s="557">
        <f t="shared" si="2"/>
        <v>0</v>
      </c>
      <c r="Q95" s="226" t="str">
        <f t="shared" si="9"/>
        <v>Y</v>
      </c>
      <c r="R95" s="226">
        <f t="shared" si="24"/>
        <v>0</v>
      </c>
      <c r="S95">
        <f t="shared" si="4"/>
        <v>0</v>
      </c>
      <c r="T95" s="141">
        <f t="shared" si="23"/>
        <v>0</v>
      </c>
      <c r="U95" s="710">
        <f t="shared" si="11"/>
        <v>0</v>
      </c>
      <c r="V95" s="710">
        <f t="shared" si="12"/>
        <v>0</v>
      </c>
      <c r="W95" s="710">
        <f t="shared" si="13"/>
        <v>0</v>
      </c>
      <c r="X95" s="710">
        <f t="shared" si="14"/>
        <v>0</v>
      </c>
      <c r="Y95" s="141">
        <f t="shared" si="5"/>
        <v>0</v>
      </c>
      <c r="AB95" s="777"/>
      <c r="AC95" s="777"/>
      <c r="AD95" t="e">
        <f t="shared" si="15"/>
        <v>#N/A</v>
      </c>
    </row>
    <row r="96" spans="1:30" x14ac:dyDescent="0.2">
      <c r="A96" s="916" t="s">
        <v>174</v>
      </c>
      <c r="B96" t="s">
        <v>2089</v>
      </c>
      <c r="C96" t="s">
        <v>1344</v>
      </c>
      <c r="D96">
        <v>3325801</v>
      </c>
      <c r="E96" t="s">
        <v>1083</v>
      </c>
      <c r="F96" s="854">
        <v>37196</v>
      </c>
      <c r="G96" s="854"/>
      <c r="H96" s="854"/>
      <c r="I96" s="854" t="s">
        <v>245</v>
      </c>
      <c r="J96">
        <f t="shared" si="22"/>
        <v>0</v>
      </c>
      <c r="K96">
        <f t="shared" si="25"/>
        <v>0</v>
      </c>
      <c r="L96" s="251">
        <f t="shared" si="7"/>
        <v>2.2800000000000001E-2</v>
      </c>
      <c r="M96" s="557">
        <f t="shared" si="8"/>
        <v>0</v>
      </c>
      <c r="N96" s="557">
        <f t="shared" si="0"/>
        <v>0</v>
      </c>
      <c r="O96" s="557">
        <f t="shared" si="1"/>
        <v>0</v>
      </c>
      <c r="P96" s="557">
        <f t="shared" si="2"/>
        <v>0</v>
      </c>
      <c r="Q96" s="226" t="str">
        <f t="shared" si="9"/>
        <v>Y</v>
      </c>
      <c r="R96" s="226">
        <f t="shared" si="24"/>
        <v>0</v>
      </c>
      <c r="S96">
        <f t="shared" si="4"/>
        <v>0</v>
      </c>
      <c r="T96" s="141">
        <f t="shared" si="23"/>
        <v>0</v>
      </c>
      <c r="U96" s="710">
        <f t="shared" si="11"/>
        <v>0</v>
      </c>
      <c r="V96" s="710">
        <f t="shared" si="12"/>
        <v>0</v>
      </c>
      <c r="W96" s="710">
        <f t="shared" si="13"/>
        <v>0</v>
      </c>
      <c r="X96" s="710">
        <f t="shared" si="14"/>
        <v>0</v>
      </c>
      <c r="Y96" s="141">
        <f t="shared" si="5"/>
        <v>0</v>
      </c>
      <c r="AB96" s="777"/>
      <c r="AC96" s="777"/>
      <c r="AD96" t="e">
        <f t="shared" si="15"/>
        <v>#N/A</v>
      </c>
    </row>
    <row r="97" spans="1:30" x14ac:dyDescent="0.2">
      <c r="A97" s="916" t="s">
        <v>174</v>
      </c>
      <c r="B97" t="s">
        <v>2089</v>
      </c>
      <c r="C97" t="s">
        <v>1350</v>
      </c>
      <c r="D97">
        <v>3327701</v>
      </c>
      <c r="E97" t="s">
        <v>1108</v>
      </c>
      <c r="F97" s="854">
        <v>37196</v>
      </c>
      <c r="G97" s="854"/>
      <c r="H97" s="854"/>
      <c r="I97" s="854" t="s">
        <v>245</v>
      </c>
      <c r="J97">
        <f t="shared" si="22"/>
        <v>0</v>
      </c>
      <c r="K97">
        <f t="shared" si="25"/>
        <v>0</v>
      </c>
      <c r="L97" s="251">
        <f t="shared" si="7"/>
        <v>2.2800000000000001E-2</v>
      </c>
      <c r="M97" s="557">
        <f t="shared" si="8"/>
        <v>0</v>
      </c>
      <c r="N97" s="557">
        <f t="shared" si="0"/>
        <v>0</v>
      </c>
      <c r="O97" s="557">
        <f t="shared" si="1"/>
        <v>0</v>
      </c>
      <c r="P97" s="557">
        <f t="shared" si="2"/>
        <v>0</v>
      </c>
      <c r="Q97" s="226" t="str">
        <f t="shared" si="9"/>
        <v>Y</v>
      </c>
      <c r="R97" s="226">
        <f t="shared" si="24"/>
        <v>0</v>
      </c>
      <c r="S97">
        <f t="shared" si="4"/>
        <v>0</v>
      </c>
      <c r="T97" s="141">
        <f t="shared" si="23"/>
        <v>0</v>
      </c>
      <c r="U97" s="710">
        <f t="shared" si="11"/>
        <v>0</v>
      </c>
      <c r="V97" s="710">
        <f t="shared" si="12"/>
        <v>0</v>
      </c>
      <c r="W97" s="710">
        <f t="shared" si="13"/>
        <v>0</v>
      </c>
      <c r="X97" s="710">
        <f t="shared" si="14"/>
        <v>0</v>
      </c>
      <c r="Y97" s="141">
        <f t="shared" si="5"/>
        <v>0</v>
      </c>
      <c r="AB97" s="777"/>
      <c r="AC97" s="777"/>
      <c r="AD97" t="e">
        <f t="shared" si="15"/>
        <v>#N/A</v>
      </c>
    </row>
    <row r="98" spans="1:30" x14ac:dyDescent="0.2">
      <c r="A98" s="916" t="s">
        <v>174</v>
      </c>
      <c r="B98" t="s">
        <v>2089</v>
      </c>
      <c r="C98" t="s">
        <v>1277</v>
      </c>
      <c r="D98">
        <v>3329801</v>
      </c>
      <c r="E98" t="s">
        <v>1275</v>
      </c>
      <c r="F98" s="854">
        <v>37196</v>
      </c>
      <c r="G98" s="854"/>
      <c r="H98" s="854"/>
      <c r="I98" s="854" t="s">
        <v>245</v>
      </c>
      <c r="J98">
        <f t="shared" si="22"/>
        <v>0</v>
      </c>
      <c r="K98">
        <f t="shared" si="25"/>
        <v>0</v>
      </c>
      <c r="L98" s="251">
        <f t="shared" si="7"/>
        <v>2.2800000000000001E-2</v>
      </c>
      <c r="M98" s="557">
        <f t="shared" si="8"/>
        <v>0</v>
      </c>
      <c r="N98" s="557">
        <f t="shared" si="0"/>
        <v>0</v>
      </c>
      <c r="O98" s="557">
        <f t="shared" si="1"/>
        <v>0</v>
      </c>
      <c r="P98" s="557">
        <f t="shared" si="2"/>
        <v>0</v>
      </c>
      <c r="Q98" s="226" t="str">
        <f t="shared" si="9"/>
        <v>Y</v>
      </c>
      <c r="R98" s="226">
        <f t="shared" si="24"/>
        <v>0</v>
      </c>
      <c r="S98">
        <f t="shared" si="4"/>
        <v>0</v>
      </c>
      <c r="T98" s="141">
        <f t="shared" si="23"/>
        <v>0</v>
      </c>
      <c r="U98" s="710">
        <f t="shared" si="11"/>
        <v>0</v>
      </c>
      <c r="V98" s="710">
        <f t="shared" si="12"/>
        <v>0</v>
      </c>
      <c r="W98" s="710">
        <f t="shared" si="13"/>
        <v>0</v>
      </c>
      <c r="X98" s="710">
        <f t="shared" si="14"/>
        <v>0</v>
      </c>
      <c r="Y98" s="141">
        <f t="shared" si="5"/>
        <v>0</v>
      </c>
      <c r="AB98" s="777"/>
      <c r="AC98" s="777"/>
      <c r="AD98" t="e">
        <f t="shared" ref="AD98:AD161" si="26">VLOOKUP(AB98,INCNG,3,FALSE)</f>
        <v>#N/A</v>
      </c>
    </row>
    <row r="99" spans="1:30" x14ac:dyDescent="0.2">
      <c r="A99" s="916" t="s">
        <v>174</v>
      </c>
      <c r="B99" t="s">
        <v>2089</v>
      </c>
      <c r="C99" t="s">
        <v>1111</v>
      </c>
      <c r="D99">
        <v>3330401</v>
      </c>
      <c r="E99" t="s">
        <v>1108</v>
      </c>
      <c r="F99" s="854">
        <v>37196</v>
      </c>
      <c r="G99" s="854"/>
      <c r="H99" s="854"/>
      <c r="I99" s="854" t="s">
        <v>245</v>
      </c>
      <c r="J99">
        <f t="shared" si="22"/>
        <v>0</v>
      </c>
      <c r="K99">
        <f t="shared" si="25"/>
        <v>0</v>
      </c>
      <c r="L99" s="251">
        <f t="shared" si="7"/>
        <v>2.2800000000000001E-2</v>
      </c>
      <c r="M99" s="557">
        <f t="shared" si="8"/>
        <v>0</v>
      </c>
      <c r="N99" s="557">
        <f t="shared" si="0"/>
        <v>0</v>
      </c>
      <c r="O99" s="557">
        <f t="shared" si="1"/>
        <v>0</v>
      </c>
      <c r="P99" s="557">
        <f t="shared" si="2"/>
        <v>0</v>
      </c>
      <c r="Q99" s="226" t="str">
        <f t="shared" si="9"/>
        <v>Y</v>
      </c>
      <c r="R99" s="226">
        <f t="shared" si="24"/>
        <v>0</v>
      </c>
      <c r="S99">
        <f t="shared" si="4"/>
        <v>0</v>
      </c>
      <c r="T99" s="141">
        <f t="shared" si="23"/>
        <v>0</v>
      </c>
      <c r="U99" s="710">
        <f t="shared" si="11"/>
        <v>0</v>
      </c>
      <c r="V99" s="710">
        <f t="shared" si="12"/>
        <v>0</v>
      </c>
      <c r="W99" s="710">
        <f t="shared" si="13"/>
        <v>0</v>
      </c>
      <c r="X99" s="710">
        <f t="shared" si="14"/>
        <v>0</v>
      </c>
      <c r="Y99" s="141">
        <f t="shared" si="5"/>
        <v>0</v>
      </c>
      <c r="AB99" s="777"/>
      <c r="AC99" s="777"/>
      <c r="AD99" t="e">
        <f t="shared" si="26"/>
        <v>#N/A</v>
      </c>
    </row>
    <row r="100" spans="1:30" x14ac:dyDescent="0.2">
      <c r="A100" s="916" t="s">
        <v>174</v>
      </c>
      <c r="B100" t="s">
        <v>2090</v>
      </c>
      <c r="C100" t="s">
        <v>1374</v>
      </c>
      <c r="D100">
        <v>3394401</v>
      </c>
      <c r="E100" t="s">
        <v>1083</v>
      </c>
      <c r="F100" s="854">
        <v>37196</v>
      </c>
      <c r="G100" s="854"/>
      <c r="H100" s="854"/>
      <c r="I100" s="854" t="s">
        <v>252</v>
      </c>
      <c r="J100">
        <f t="shared" si="22"/>
        <v>0</v>
      </c>
      <c r="K100">
        <f t="shared" si="25"/>
        <v>0</v>
      </c>
      <c r="L100" s="251">
        <f t="shared" si="7"/>
        <v>0</v>
      </c>
      <c r="M100" s="557">
        <f t="shared" si="8"/>
        <v>0</v>
      </c>
      <c r="N100" s="557">
        <f t="shared" si="0"/>
        <v>0</v>
      </c>
      <c r="O100" s="557">
        <f t="shared" si="1"/>
        <v>0</v>
      </c>
      <c r="P100" s="557">
        <f t="shared" si="2"/>
        <v>0</v>
      </c>
      <c r="Q100" s="226" t="str">
        <f t="shared" si="9"/>
        <v>Y</v>
      </c>
      <c r="R100" s="226">
        <f t="shared" si="24"/>
        <v>0</v>
      </c>
      <c r="S100">
        <f t="shared" si="4"/>
        <v>0</v>
      </c>
      <c r="T100" s="141">
        <f t="shared" si="23"/>
        <v>0</v>
      </c>
      <c r="U100" s="710">
        <f t="shared" si="11"/>
        <v>0</v>
      </c>
      <c r="V100" s="710">
        <f t="shared" si="12"/>
        <v>0</v>
      </c>
      <c r="W100" s="710">
        <f t="shared" si="13"/>
        <v>0</v>
      </c>
      <c r="X100" s="710">
        <f t="shared" si="14"/>
        <v>0</v>
      </c>
      <c r="Y100" s="141">
        <f t="shared" si="5"/>
        <v>0</v>
      </c>
      <c r="AB100" s="777"/>
      <c r="AC100" s="777"/>
      <c r="AD100" t="e">
        <f t="shared" si="26"/>
        <v>#N/A</v>
      </c>
    </row>
    <row r="101" spans="1:30" x14ac:dyDescent="0.2">
      <c r="A101" s="916" t="s">
        <v>174</v>
      </c>
      <c r="B101" t="s">
        <v>2089</v>
      </c>
      <c r="C101" t="s">
        <v>1180</v>
      </c>
      <c r="D101">
        <v>3402401</v>
      </c>
      <c r="E101" t="s">
        <v>1182</v>
      </c>
      <c r="F101" s="854">
        <v>37196</v>
      </c>
      <c r="G101" s="854"/>
      <c r="H101" s="854"/>
      <c r="I101" s="854" t="s">
        <v>245</v>
      </c>
      <c r="J101">
        <f t="shared" si="22"/>
        <v>0</v>
      </c>
      <c r="K101">
        <f t="shared" si="25"/>
        <v>0</v>
      </c>
      <c r="L101" s="251">
        <f t="shared" si="7"/>
        <v>2.2800000000000001E-2</v>
      </c>
      <c r="M101" s="557">
        <f t="shared" si="8"/>
        <v>0</v>
      </c>
      <c r="N101" s="557">
        <f t="shared" ref="N101:N164" si="27">IF(OR(I101="TD",I101="TW"),0,K101*0.0228)</f>
        <v>0</v>
      </c>
      <c r="O101" s="557">
        <f t="shared" ref="O101:O164" si="28">J101-ROUND(+$J101*(VLOOKUP($I101,cngded,6,FALSE)),0)</f>
        <v>0</v>
      </c>
      <c r="P101" s="557">
        <f t="shared" ref="P101:P164" si="29">K101-ROUND(+$K101*(VLOOKUP($I101,cngded,6,FALSE)),0)</f>
        <v>0</v>
      </c>
      <c r="Q101" s="226" t="str">
        <f t="shared" si="9"/>
        <v>Y</v>
      </c>
      <c r="R101" s="226">
        <f t="shared" ref="R101:R164" si="30">IF(ISNA(VLOOKUP(C101,INCNG,10,FALSE)),0,VLOOKUP(C101,INCNG,10,FALSE))</f>
        <v>0</v>
      </c>
      <c r="S101">
        <f t="shared" ref="S101:S164" si="31">+K101-R101</f>
        <v>0</v>
      </c>
      <c r="T101" s="141">
        <f t="shared" si="23"/>
        <v>0</v>
      </c>
      <c r="U101" s="710">
        <f t="shared" si="11"/>
        <v>0</v>
      </c>
      <c r="V101" s="710">
        <f t="shared" si="12"/>
        <v>0</v>
      </c>
      <c r="W101" s="710">
        <f t="shared" si="13"/>
        <v>0</v>
      </c>
      <c r="X101" s="710">
        <f t="shared" si="14"/>
        <v>0</v>
      </c>
      <c r="Y101" s="141">
        <f t="shared" ref="Y101:Y161" si="32">SUM(U101:X101)</f>
        <v>0</v>
      </c>
      <c r="AB101" s="777"/>
      <c r="AC101" s="777"/>
      <c r="AD101" t="e">
        <f t="shared" si="26"/>
        <v>#N/A</v>
      </c>
    </row>
    <row r="102" spans="1:30" x14ac:dyDescent="0.2">
      <c r="A102" s="916" t="s">
        <v>174</v>
      </c>
      <c r="B102" t="s">
        <v>2090</v>
      </c>
      <c r="C102" t="s">
        <v>1372</v>
      </c>
      <c r="D102">
        <v>3405001</v>
      </c>
      <c r="E102" t="s">
        <v>1128</v>
      </c>
      <c r="F102" s="854">
        <v>37196</v>
      </c>
      <c r="G102" s="854"/>
      <c r="H102" s="854"/>
      <c r="I102" s="854" t="s">
        <v>252</v>
      </c>
      <c r="J102">
        <f t="shared" si="22"/>
        <v>0</v>
      </c>
      <c r="K102">
        <f t="shared" ref="K102:K130" si="33">IF(ISNA(VLOOKUP(C102,CNGx,3,0)),0,VLOOKUP(C102,CNGx,3,FALSE))</f>
        <v>0</v>
      </c>
      <c r="L102" s="251">
        <f t="shared" ref="L102:L165" si="34">VLOOKUP(I102,Retention,2,FALSE)</f>
        <v>0</v>
      </c>
      <c r="M102" s="557">
        <f t="shared" ref="M102:M165" si="35">IF(OR(I102="TD",I102="TW"),0,J102*0.0228)</f>
        <v>0</v>
      </c>
      <c r="N102" s="557">
        <f t="shared" si="27"/>
        <v>0</v>
      </c>
      <c r="O102" s="557">
        <f t="shared" si="28"/>
        <v>0</v>
      </c>
      <c r="P102" s="557">
        <f t="shared" si="29"/>
        <v>0</v>
      </c>
      <c r="Q102" s="226" t="str">
        <f t="shared" ref="Q102:Q165" si="36">IF(ISNA(VLOOKUP(C102,INCNG,1,FALSE)),"--", "Y")</f>
        <v>Y</v>
      </c>
      <c r="R102" s="226">
        <f t="shared" si="30"/>
        <v>0</v>
      </c>
      <c r="S102">
        <f t="shared" si="31"/>
        <v>0</v>
      </c>
      <c r="T102" s="141">
        <f t="shared" si="23"/>
        <v>0</v>
      </c>
      <c r="U102" s="710">
        <f t="shared" ref="U102:U165" si="37">ROUND(+$K102*(VLOOKUP($I102,Retention,2,FALSE)),0)</f>
        <v>0</v>
      </c>
      <c r="V102" s="710">
        <f t="shared" ref="V102:V165" si="38">ROUND(+$K102*(VLOOKUP($I102,Retention,3,FALSE)),0)</f>
        <v>0</v>
      </c>
      <c r="W102" s="710">
        <f t="shared" ref="W102:W165" si="39">ROUND(+$K102*(VLOOKUP($I102,Retention,4,FALSE)),0)</f>
        <v>0</v>
      </c>
      <c r="X102" s="710">
        <f t="shared" ref="X102:X165" si="40">ROUND(+$K102*(VLOOKUP($I102,Retention,5,FALSE)),0)</f>
        <v>0</v>
      </c>
      <c r="Y102" s="141">
        <f t="shared" si="32"/>
        <v>0</v>
      </c>
      <c r="AB102" s="777"/>
      <c r="AC102" s="777"/>
      <c r="AD102" t="e">
        <f t="shared" si="26"/>
        <v>#N/A</v>
      </c>
    </row>
    <row r="103" spans="1:30" x14ac:dyDescent="0.2">
      <c r="A103" s="916" t="s">
        <v>174</v>
      </c>
      <c r="B103" t="s">
        <v>2089</v>
      </c>
      <c r="C103" t="s">
        <v>1336</v>
      </c>
      <c r="D103">
        <v>3405301</v>
      </c>
      <c r="E103" t="s">
        <v>1092</v>
      </c>
      <c r="F103" s="854">
        <v>37196</v>
      </c>
      <c r="G103" s="854"/>
      <c r="H103" s="854"/>
      <c r="I103" s="854" t="s">
        <v>245</v>
      </c>
      <c r="J103">
        <f t="shared" si="22"/>
        <v>0</v>
      </c>
      <c r="K103">
        <f t="shared" si="33"/>
        <v>0</v>
      </c>
      <c r="L103" s="251">
        <f t="shared" si="34"/>
        <v>2.2800000000000001E-2</v>
      </c>
      <c r="M103" s="557">
        <f t="shared" si="35"/>
        <v>0</v>
      </c>
      <c r="N103" s="557">
        <f t="shared" si="27"/>
        <v>0</v>
      </c>
      <c r="O103" s="557">
        <f t="shared" si="28"/>
        <v>0</v>
      </c>
      <c r="P103" s="557">
        <f t="shared" si="29"/>
        <v>0</v>
      </c>
      <c r="Q103" s="226" t="str">
        <f t="shared" si="36"/>
        <v>Y</v>
      </c>
      <c r="R103" s="226">
        <f t="shared" si="30"/>
        <v>0</v>
      </c>
      <c r="S103">
        <f t="shared" si="31"/>
        <v>0</v>
      </c>
      <c r="T103" s="141">
        <f t="shared" si="23"/>
        <v>0</v>
      </c>
      <c r="U103" s="710">
        <f t="shared" si="37"/>
        <v>0</v>
      </c>
      <c r="V103" s="710">
        <f t="shared" si="38"/>
        <v>0</v>
      </c>
      <c r="W103" s="710">
        <f t="shared" si="39"/>
        <v>0</v>
      </c>
      <c r="X103" s="710">
        <f t="shared" si="40"/>
        <v>0</v>
      </c>
      <c r="Y103" s="141">
        <f t="shared" si="32"/>
        <v>0</v>
      </c>
      <c r="AB103" s="777"/>
      <c r="AC103" s="777"/>
      <c r="AD103" t="e">
        <f t="shared" si="26"/>
        <v>#N/A</v>
      </c>
    </row>
    <row r="104" spans="1:30" x14ac:dyDescent="0.2">
      <c r="A104" s="916" t="s">
        <v>174</v>
      </c>
      <c r="B104" t="s">
        <v>2089</v>
      </c>
      <c r="C104" t="s">
        <v>1298</v>
      </c>
      <c r="D104">
        <v>3409901</v>
      </c>
      <c r="E104" t="s">
        <v>1150</v>
      </c>
      <c r="F104" s="854">
        <v>37196</v>
      </c>
      <c r="G104" s="854"/>
      <c r="H104" s="854"/>
      <c r="I104" s="854" t="s">
        <v>245</v>
      </c>
      <c r="J104">
        <f t="shared" si="22"/>
        <v>0</v>
      </c>
      <c r="K104">
        <f t="shared" si="33"/>
        <v>0</v>
      </c>
      <c r="L104" s="251">
        <f t="shared" si="34"/>
        <v>2.2800000000000001E-2</v>
      </c>
      <c r="M104" s="557">
        <f t="shared" si="35"/>
        <v>0</v>
      </c>
      <c r="N104" s="557">
        <f t="shared" si="27"/>
        <v>0</v>
      </c>
      <c r="O104" s="557">
        <f t="shared" si="28"/>
        <v>0</v>
      </c>
      <c r="P104" s="557">
        <f t="shared" si="29"/>
        <v>0</v>
      </c>
      <c r="Q104" s="226" t="str">
        <f t="shared" si="36"/>
        <v>Y</v>
      </c>
      <c r="R104" s="226">
        <f t="shared" si="30"/>
        <v>0</v>
      </c>
      <c r="S104">
        <f t="shared" si="31"/>
        <v>0</v>
      </c>
      <c r="T104" s="141">
        <f t="shared" si="23"/>
        <v>0</v>
      </c>
      <c r="U104" s="710">
        <f t="shared" si="37"/>
        <v>0</v>
      </c>
      <c r="V104" s="710">
        <f t="shared" si="38"/>
        <v>0</v>
      </c>
      <c r="W104" s="710">
        <f t="shared" si="39"/>
        <v>0</v>
      </c>
      <c r="X104" s="710">
        <f t="shared" si="40"/>
        <v>0</v>
      </c>
      <c r="Y104" s="141">
        <f t="shared" si="32"/>
        <v>0</v>
      </c>
      <c r="AB104" s="777"/>
      <c r="AC104" s="777"/>
      <c r="AD104" t="e">
        <f t="shared" si="26"/>
        <v>#N/A</v>
      </c>
    </row>
    <row r="105" spans="1:30" x14ac:dyDescent="0.2">
      <c r="A105" s="916" t="s">
        <v>174</v>
      </c>
      <c r="B105" t="s">
        <v>2089</v>
      </c>
      <c r="C105" t="s">
        <v>2106</v>
      </c>
      <c r="D105">
        <v>3410301</v>
      </c>
      <c r="E105" t="s">
        <v>1083</v>
      </c>
      <c r="F105" s="854">
        <v>37196</v>
      </c>
      <c r="G105" s="854"/>
      <c r="H105" s="854"/>
      <c r="I105" s="854" t="s">
        <v>245</v>
      </c>
      <c r="J105">
        <f t="shared" si="22"/>
        <v>0</v>
      </c>
      <c r="K105">
        <f t="shared" si="33"/>
        <v>0</v>
      </c>
      <c r="L105" s="251">
        <f t="shared" si="34"/>
        <v>2.2800000000000001E-2</v>
      </c>
      <c r="M105" s="557">
        <f t="shared" si="35"/>
        <v>0</v>
      </c>
      <c r="N105" s="557">
        <f t="shared" si="27"/>
        <v>0</v>
      </c>
      <c r="O105" s="557">
        <f t="shared" si="28"/>
        <v>0</v>
      </c>
      <c r="P105" s="557">
        <f t="shared" si="29"/>
        <v>0</v>
      </c>
      <c r="Q105" s="226" t="str">
        <f t="shared" si="36"/>
        <v>Y</v>
      </c>
      <c r="R105" s="226">
        <f t="shared" si="30"/>
        <v>0</v>
      </c>
      <c r="S105">
        <f t="shared" si="31"/>
        <v>0</v>
      </c>
      <c r="T105" s="141">
        <f t="shared" si="23"/>
        <v>0</v>
      </c>
      <c r="U105" s="710">
        <f t="shared" si="37"/>
        <v>0</v>
      </c>
      <c r="V105" s="710">
        <f t="shared" si="38"/>
        <v>0</v>
      </c>
      <c r="W105" s="710">
        <f t="shared" si="39"/>
        <v>0</v>
      </c>
      <c r="X105" s="710">
        <f t="shared" si="40"/>
        <v>0</v>
      </c>
      <c r="Y105" s="141">
        <f t="shared" si="32"/>
        <v>0</v>
      </c>
      <c r="AB105" s="777"/>
      <c r="AC105" s="777"/>
      <c r="AD105" t="e">
        <f t="shared" si="26"/>
        <v>#N/A</v>
      </c>
    </row>
    <row r="106" spans="1:30" x14ac:dyDescent="0.2">
      <c r="A106" s="916" t="s">
        <v>174</v>
      </c>
      <c r="B106" t="s">
        <v>2089</v>
      </c>
      <c r="C106" t="s">
        <v>2104</v>
      </c>
      <c r="D106">
        <v>3415201</v>
      </c>
      <c r="E106" t="s">
        <v>1083</v>
      </c>
      <c r="F106" s="854">
        <v>37196</v>
      </c>
      <c r="G106" s="854"/>
      <c r="H106" s="854"/>
      <c r="I106" s="854" t="s">
        <v>245</v>
      </c>
      <c r="J106">
        <f t="shared" si="22"/>
        <v>0</v>
      </c>
      <c r="K106">
        <f t="shared" si="33"/>
        <v>0</v>
      </c>
      <c r="L106" s="251">
        <f t="shared" si="34"/>
        <v>2.2800000000000001E-2</v>
      </c>
      <c r="M106" s="557">
        <f t="shared" si="35"/>
        <v>0</v>
      </c>
      <c r="N106" s="557">
        <f t="shared" si="27"/>
        <v>0</v>
      </c>
      <c r="O106" s="557">
        <f t="shared" si="28"/>
        <v>0</v>
      </c>
      <c r="P106" s="557">
        <f t="shared" si="29"/>
        <v>0</v>
      </c>
      <c r="Q106" s="226" t="str">
        <f t="shared" si="36"/>
        <v>Y</v>
      </c>
      <c r="R106" s="226">
        <f t="shared" si="30"/>
        <v>0</v>
      </c>
      <c r="S106">
        <f t="shared" si="31"/>
        <v>0</v>
      </c>
      <c r="T106" s="141">
        <f t="shared" si="23"/>
        <v>0</v>
      </c>
      <c r="U106" s="710">
        <f t="shared" si="37"/>
        <v>0</v>
      </c>
      <c r="V106" s="710">
        <f t="shared" si="38"/>
        <v>0</v>
      </c>
      <c r="W106" s="710">
        <f t="shared" si="39"/>
        <v>0</v>
      </c>
      <c r="X106" s="710">
        <f t="shared" si="40"/>
        <v>0</v>
      </c>
      <c r="Y106" s="141">
        <f t="shared" si="32"/>
        <v>0</v>
      </c>
      <c r="AB106" s="777"/>
      <c r="AC106" s="777"/>
      <c r="AD106" t="e">
        <f t="shared" si="26"/>
        <v>#N/A</v>
      </c>
    </row>
    <row r="107" spans="1:30" x14ac:dyDescent="0.2">
      <c r="A107" s="916" t="s">
        <v>174</v>
      </c>
      <c r="B107" t="s">
        <v>2089</v>
      </c>
      <c r="C107" t="s">
        <v>1311</v>
      </c>
      <c r="D107">
        <v>3420401</v>
      </c>
      <c r="E107" t="s">
        <v>1128</v>
      </c>
      <c r="F107" s="854">
        <v>37196</v>
      </c>
      <c r="G107" s="854"/>
      <c r="H107" s="854"/>
      <c r="I107" s="854" t="s">
        <v>245</v>
      </c>
      <c r="J107">
        <f t="shared" si="22"/>
        <v>0</v>
      </c>
      <c r="K107">
        <f t="shared" si="33"/>
        <v>0</v>
      </c>
      <c r="L107" s="251">
        <f t="shared" si="34"/>
        <v>2.2800000000000001E-2</v>
      </c>
      <c r="M107" s="557">
        <f t="shared" si="35"/>
        <v>0</v>
      </c>
      <c r="N107" s="557">
        <f t="shared" si="27"/>
        <v>0</v>
      </c>
      <c r="O107" s="557">
        <f t="shared" si="28"/>
        <v>0</v>
      </c>
      <c r="P107" s="557">
        <f t="shared" si="29"/>
        <v>0</v>
      </c>
      <c r="Q107" s="226" t="str">
        <f t="shared" si="36"/>
        <v>Y</v>
      </c>
      <c r="R107" s="226">
        <f t="shared" si="30"/>
        <v>0</v>
      </c>
      <c r="S107">
        <f t="shared" si="31"/>
        <v>0</v>
      </c>
      <c r="T107" s="141">
        <f t="shared" si="23"/>
        <v>0</v>
      </c>
      <c r="U107" s="710">
        <f t="shared" si="37"/>
        <v>0</v>
      </c>
      <c r="V107" s="710">
        <f t="shared" si="38"/>
        <v>0</v>
      </c>
      <c r="W107" s="710">
        <f t="shared" si="39"/>
        <v>0</v>
      </c>
      <c r="X107" s="710">
        <f t="shared" si="40"/>
        <v>0</v>
      </c>
      <c r="Y107" s="141">
        <f t="shared" si="32"/>
        <v>0</v>
      </c>
      <c r="AB107" s="777"/>
      <c r="AC107" s="777"/>
      <c r="AD107" t="e">
        <f t="shared" si="26"/>
        <v>#N/A</v>
      </c>
    </row>
    <row r="108" spans="1:30" x14ac:dyDescent="0.2">
      <c r="A108" s="916" t="s">
        <v>174</v>
      </c>
      <c r="B108" t="s">
        <v>2090</v>
      </c>
      <c r="C108" t="s">
        <v>75</v>
      </c>
      <c r="D108">
        <v>3421301</v>
      </c>
      <c r="E108" t="s">
        <v>62</v>
      </c>
      <c r="F108" s="854">
        <v>37196</v>
      </c>
      <c r="G108" s="854"/>
      <c r="H108" s="854"/>
      <c r="I108" s="854" t="s">
        <v>252</v>
      </c>
      <c r="J108">
        <f t="shared" si="22"/>
        <v>0</v>
      </c>
      <c r="K108">
        <f t="shared" si="33"/>
        <v>0</v>
      </c>
      <c r="L108" s="251">
        <f t="shared" si="34"/>
        <v>0</v>
      </c>
      <c r="M108" s="557">
        <f t="shared" si="35"/>
        <v>0</v>
      </c>
      <c r="N108" s="557">
        <f t="shared" si="27"/>
        <v>0</v>
      </c>
      <c r="O108" s="557">
        <f t="shared" si="28"/>
        <v>0</v>
      </c>
      <c r="P108" s="557">
        <f t="shared" si="29"/>
        <v>0</v>
      </c>
      <c r="Q108" s="226" t="str">
        <f t="shared" si="36"/>
        <v>Y</v>
      </c>
      <c r="R108" s="226">
        <f t="shared" si="30"/>
        <v>0</v>
      </c>
      <c r="S108">
        <f t="shared" si="31"/>
        <v>0</v>
      </c>
      <c r="T108" s="141">
        <f t="shared" si="23"/>
        <v>0</v>
      </c>
      <c r="U108" s="710">
        <f t="shared" si="37"/>
        <v>0</v>
      </c>
      <c r="V108" s="710">
        <f t="shared" si="38"/>
        <v>0</v>
      </c>
      <c r="W108" s="710">
        <f t="shared" si="39"/>
        <v>0</v>
      </c>
      <c r="X108" s="710">
        <f t="shared" si="40"/>
        <v>0</v>
      </c>
      <c r="Y108" s="141">
        <f t="shared" si="32"/>
        <v>0</v>
      </c>
      <c r="AB108" s="777"/>
      <c r="AC108" s="777"/>
      <c r="AD108" t="e">
        <f t="shared" si="26"/>
        <v>#N/A</v>
      </c>
    </row>
    <row r="109" spans="1:30" x14ac:dyDescent="0.2">
      <c r="A109" s="916" t="s">
        <v>174</v>
      </c>
      <c r="B109" t="s">
        <v>2089</v>
      </c>
      <c r="C109" t="s">
        <v>1312</v>
      </c>
      <c r="D109">
        <v>3422001</v>
      </c>
      <c r="E109" t="s">
        <v>1313</v>
      </c>
      <c r="F109" s="854">
        <v>37196</v>
      </c>
      <c r="G109" s="854"/>
      <c r="H109" s="854"/>
      <c r="I109" s="854" t="s">
        <v>245</v>
      </c>
      <c r="J109">
        <f t="shared" si="22"/>
        <v>0</v>
      </c>
      <c r="K109">
        <f t="shared" si="33"/>
        <v>0</v>
      </c>
      <c r="L109" s="251">
        <f t="shared" si="34"/>
        <v>2.2800000000000001E-2</v>
      </c>
      <c r="M109" s="557">
        <f t="shared" si="35"/>
        <v>0</v>
      </c>
      <c r="N109" s="557">
        <f t="shared" si="27"/>
        <v>0</v>
      </c>
      <c r="O109" s="557">
        <f t="shared" si="28"/>
        <v>0</v>
      </c>
      <c r="P109" s="557">
        <f t="shared" si="29"/>
        <v>0</v>
      </c>
      <c r="Q109" s="226" t="str">
        <f t="shared" si="36"/>
        <v>Y</v>
      </c>
      <c r="R109" s="226">
        <f t="shared" si="30"/>
        <v>0</v>
      </c>
      <c r="S109">
        <f t="shared" si="31"/>
        <v>0</v>
      </c>
      <c r="T109" s="141">
        <f t="shared" si="23"/>
        <v>0</v>
      </c>
      <c r="U109" s="710">
        <f t="shared" si="37"/>
        <v>0</v>
      </c>
      <c r="V109" s="710">
        <f t="shared" si="38"/>
        <v>0</v>
      </c>
      <c r="W109" s="710">
        <f t="shared" si="39"/>
        <v>0</v>
      </c>
      <c r="X109" s="710">
        <f t="shared" si="40"/>
        <v>0</v>
      </c>
      <c r="Y109" s="141">
        <f t="shared" si="32"/>
        <v>0</v>
      </c>
      <c r="AB109" s="777"/>
      <c r="AC109" s="777"/>
      <c r="AD109" t="e">
        <f t="shared" si="26"/>
        <v>#N/A</v>
      </c>
    </row>
    <row r="110" spans="1:30" x14ac:dyDescent="0.2">
      <c r="A110" s="916" t="s">
        <v>174</v>
      </c>
      <c r="B110" t="s">
        <v>2089</v>
      </c>
      <c r="C110" t="s">
        <v>1338</v>
      </c>
      <c r="D110">
        <v>3422901</v>
      </c>
      <c r="E110" t="s">
        <v>1092</v>
      </c>
      <c r="F110" s="854">
        <v>37196</v>
      </c>
      <c r="G110" s="854"/>
      <c r="H110" s="854"/>
      <c r="I110" s="854" t="s">
        <v>245</v>
      </c>
      <c r="J110">
        <f t="shared" si="22"/>
        <v>0</v>
      </c>
      <c r="K110">
        <f t="shared" si="33"/>
        <v>0</v>
      </c>
      <c r="L110" s="251">
        <f t="shared" si="34"/>
        <v>2.2800000000000001E-2</v>
      </c>
      <c r="M110" s="557">
        <f t="shared" si="35"/>
        <v>0</v>
      </c>
      <c r="N110" s="557">
        <f t="shared" si="27"/>
        <v>0</v>
      </c>
      <c r="O110" s="557">
        <f t="shared" si="28"/>
        <v>0</v>
      </c>
      <c r="P110" s="557">
        <f t="shared" si="29"/>
        <v>0</v>
      </c>
      <c r="Q110" s="226" t="str">
        <f t="shared" si="36"/>
        <v>Y</v>
      </c>
      <c r="R110" s="226">
        <f t="shared" si="30"/>
        <v>0</v>
      </c>
      <c r="S110">
        <f t="shared" si="31"/>
        <v>0</v>
      </c>
      <c r="T110" s="141">
        <f t="shared" si="23"/>
        <v>0</v>
      </c>
      <c r="U110" s="710">
        <f t="shared" si="37"/>
        <v>0</v>
      </c>
      <c r="V110" s="710">
        <f t="shared" si="38"/>
        <v>0</v>
      </c>
      <c r="W110" s="710">
        <f t="shared" si="39"/>
        <v>0</v>
      </c>
      <c r="X110" s="710">
        <f t="shared" si="40"/>
        <v>0</v>
      </c>
      <c r="Y110" s="141">
        <f t="shared" si="32"/>
        <v>0</v>
      </c>
      <c r="AB110" s="777"/>
      <c r="AC110" s="777"/>
      <c r="AD110" t="e">
        <f t="shared" si="26"/>
        <v>#N/A</v>
      </c>
    </row>
    <row r="111" spans="1:30" x14ac:dyDescent="0.2">
      <c r="A111" s="916" t="s">
        <v>174</v>
      </c>
      <c r="B111" t="s">
        <v>2089</v>
      </c>
      <c r="C111" t="s">
        <v>1112</v>
      </c>
      <c r="D111">
        <v>3423501</v>
      </c>
      <c r="E111" t="s">
        <v>1113</v>
      </c>
      <c r="F111" s="854">
        <v>37196</v>
      </c>
      <c r="G111" s="854"/>
      <c r="H111" s="854"/>
      <c r="I111" s="854" t="s">
        <v>245</v>
      </c>
      <c r="J111">
        <f t="shared" si="22"/>
        <v>0</v>
      </c>
      <c r="K111">
        <f t="shared" si="33"/>
        <v>0</v>
      </c>
      <c r="L111" s="251">
        <f t="shared" si="34"/>
        <v>2.2800000000000001E-2</v>
      </c>
      <c r="M111" s="557">
        <f t="shared" si="35"/>
        <v>0</v>
      </c>
      <c r="N111" s="557">
        <f t="shared" si="27"/>
        <v>0</v>
      </c>
      <c r="O111" s="557">
        <f t="shared" si="28"/>
        <v>0</v>
      </c>
      <c r="P111" s="557">
        <f t="shared" si="29"/>
        <v>0</v>
      </c>
      <c r="Q111" s="226" t="str">
        <f t="shared" si="36"/>
        <v>Y</v>
      </c>
      <c r="R111" s="226">
        <f t="shared" si="30"/>
        <v>0</v>
      </c>
      <c r="S111">
        <f t="shared" si="31"/>
        <v>0</v>
      </c>
      <c r="T111" s="141">
        <f t="shared" si="23"/>
        <v>0</v>
      </c>
      <c r="U111" s="710">
        <f t="shared" si="37"/>
        <v>0</v>
      </c>
      <c r="V111" s="710">
        <f t="shared" si="38"/>
        <v>0</v>
      </c>
      <c r="W111" s="710">
        <f t="shared" si="39"/>
        <v>0</v>
      </c>
      <c r="X111" s="710">
        <f t="shared" si="40"/>
        <v>0</v>
      </c>
      <c r="Y111" s="141">
        <f t="shared" si="32"/>
        <v>0</v>
      </c>
      <c r="AB111" s="777"/>
      <c r="AC111" s="777"/>
      <c r="AD111" t="e">
        <f t="shared" si="26"/>
        <v>#N/A</v>
      </c>
    </row>
    <row r="112" spans="1:30" x14ac:dyDescent="0.2">
      <c r="A112" s="916" t="s">
        <v>174</v>
      </c>
      <c r="B112" t="s">
        <v>2089</v>
      </c>
      <c r="C112" t="s">
        <v>1114</v>
      </c>
      <c r="D112">
        <v>3423601</v>
      </c>
      <c r="E112" t="s">
        <v>1113</v>
      </c>
      <c r="F112" s="854">
        <v>37196</v>
      </c>
      <c r="G112" s="854"/>
      <c r="H112" s="854"/>
      <c r="I112" s="854" t="s">
        <v>245</v>
      </c>
      <c r="J112">
        <f t="shared" si="22"/>
        <v>0</v>
      </c>
      <c r="K112">
        <f t="shared" si="33"/>
        <v>0</v>
      </c>
      <c r="L112" s="251">
        <f t="shared" si="34"/>
        <v>2.2800000000000001E-2</v>
      </c>
      <c r="M112" s="557">
        <f t="shared" si="35"/>
        <v>0</v>
      </c>
      <c r="N112" s="557">
        <f t="shared" si="27"/>
        <v>0</v>
      </c>
      <c r="O112" s="557">
        <f t="shared" si="28"/>
        <v>0</v>
      </c>
      <c r="P112" s="557">
        <f t="shared" si="29"/>
        <v>0</v>
      </c>
      <c r="Q112" s="226" t="str">
        <f t="shared" si="36"/>
        <v>Y</v>
      </c>
      <c r="R112" s="226">
        <f t="shared" si="30"/>
        <v>0</v>
      </c>
      <c r="S112">
        <f t="shared" si="31"/>
        <v>0</v>
      </c>
      <c r="T112" s="141">
        <f t="shared" si="23"/>
        <v>0</v>
      </c>
      <c r="U112" s="710">
        <f t="shared" si="37"/>
        <v>0</v>
      </c>
      <c r="V112" s="710">
        <f t="shared" si="38"/>
        <v>0</v>
      </c>
      <c r="W112" s="710">
        <f t="shared" si="39"/>
        <v>0</v>
      </c>
      <c r="X112" s="710">
        <f t="shared" si="40"/>
        <v>0</v>
      </c>
      <c r="Y112" s="141">
        <f t="shared" si="32"/>
        <v>0</v>
      </c>
      <c r="AB112" s="777"/>
      <c r="AC112" s="777"/>
      <c r="AD112" t="e">
        <f t="shared" si="26"/>
        <v>#N/A</v>
      </c>
    </row>
    <row r="113" spans="1:30" x14ac:dyDescent="0.2">
      <c r="A113" s="916" t="s">
        <v>174</v>
      </c>
      <c r="B113" t="s">
        <v>2089</v>
      </c>
      <c r="C113" t="s">
        <v>1115</v>
      </c>
      <c r="D113">
        <v>3423701</v>
      </c>
      <c r="E113" t="s">
        <v>1113</v>
      </c>
      <c r="F113" s="854">
        <v>37196</v>
      </c>
      <c r="G113" s="854"/>
      <c r="H113" s="854"/>
      <c r="I113" s="854" t="s">
        <v>245</v>
      </c>
      <c r="J113">
        <f t="shared" si="22"/>
        <v>0</v>
      </c>
      <c r="K113">
        <f t="shared" si="33"/>
        <v>0</v>
      </c>
      <c r="L113" s="251">
        <f t="shared" si="34"/>
        <v>2.2800000000000001E-2</v>
      </c>
      <c r="M113" s="557">
        <f t="shared" si="35"/>
        <v>0</v>
      </c>
      <c r="N113" s="557">
        <f t="shared" si="27"/>
        <v>0</v>
      </c>
      <c r="O113" s="557">
        <f t="shared" si="28"/>
        <v>0</v>
      </c>
      <c r="P113" s="557">
        <f t="shared" si="29"/>
        <v>0</v>
      </c>
      <c r="Q113" s="226" t="str">
        <f t="shared" si="36"/>
        <v>Y</v>
      </c>
      <c r="R113" s="226">
        <f t="shared" si="30"/>
        <v>0</v>
      </c>
      <c r="S113">
        <f t="shared" si="31"/>
        <v>0</v>
      </c>
      <c r="T113" s="141">
        <f t="shared" si="23"/>
        <v>0</v>
      </c>
      <c r="U113" s="710">
        <f t="shared" si="37"/>
        <v>0</v>
      </c>
      <c r="V113" s="710">
        <f t="shared" si="38"/>
        <v>0</v>
      </c>
      <c r="W113" s="710">
        <f t="shared" si="39"/>
        <v>0</v>
      </c>
      <c r="X113" s="710">
        <f t="shared" si="40"/>
        <v>0</v>
      </c>
      <c r="Y113" s="141">
        <f t="shared" si="32"/>
        <v>0</v>
      </c>
      <c r="AB113" s="777"/>
      <c r="AC113" s="777"/>
      <c r="AD113" t="e">
        <f t="shared" si="26"/>
        <v>#N/A</v>
      </c>
    </row>
    <row r="114" spans="1:30" x14ac:dyDescent="0.2">
      <c r="A114" s="916" t="s">
        <v>174</v>
      </c>
      <c r="B114" t="s">
        <v>2089</v>
      </c>
      <c r="C114" t="s">
        <v>1116</v>
      </c>
      <c r="D114">
        <v>3423801</v>
      </c>
      <c r="E114" t="s">
        <v>1113</v>
      </c>
      <c r="F114" s="854">
        <v>37196</v>
      </c>
      <c r="G114" s="854"/>
      <c r="H114" s="854"/>
      <c r="I114" s="854" t="s">
        <v>245</v>
      </c>
      <c r="J114">
        <f t="shared" si="22"/>
        <v>0</v>
      </c>
      <c r="K114">
        <f t="shared" si="33"/>
        <v>0</v>
      </c>
      <c r="L114" s="251">
        <f t="shared" si="34"/>
        <v>2.2800000000000001E-2</v>
      </c>
      <c r="M114" s="557">
        <f t="shared" si="35"/>
        <v>0</v>
      </c>
      <c r="N114" s="557">
        <f t="shared" si="27"/>
        <v>0</v>
      </c>
      <c r="O114" s="557">
        <f t="shared" si="28"/>
        <v>0</v>
      </c>
      <c r="P114" s="557">
        <f t="shared" si="29"/>
        <v>0</v>
      </c>
      <c r="Q114" s="226" t="str">
        <f t="shared" si="36"/>
        <v>Y</v>
      </c>
      <c r="R114" s="226">
        <f t="shared" si="30"/>
        <v>0</v>
      </c>
      <c r="S114">
        <f t="shared" si="31"/>
        <v>0</v>
      </c>
      <c r="T114" s="141">
        <f t="shared" si="23"/>
        <v>0</v>
      </c>
      <c r="U114" s="710">
        <f t="shared" si="37"/>
        <v>0</v>
      </c>
      <c r="V114" s="710">
        <f t="shared" si="38"/>
        <v>0</v>
      </c>
      <c r="W114" s="710">
        <f t="shared" si="39"/>
        <v>0</v>
      </c>
      <c r="X114" s="710">
        <f t="shared" si="40"/>
        <v>0</v>
      </c>
      <c r="Y114" s="141">
        <f t="shared" si="32"/>
        <v>0</v>
      </c>
      <c r="AB114" s="777"/>
      <c r="AC114" s="777"/>
      <c r="AD114" t="e">
        <f t="shared" si="26"/>
        <v>#N/A</v>
      </c>
    </row>
    <row r="115" spans="1:30" x14ac:dyDescent="0.2">
      <c r="A115" s="916" t="s">
        <v>174</v>
      </c>
      <c r="B115" t="s">
        <v>2089</v>
      </c>
      <c r="C115" t="s">
        <v>77</v>
      </c>
      <c r="D115">
        <v>3425201</v>
      </c>
      <c r="E115" t="s">
        <v>62</v>
      </c>
      <c r="F115" s="854">
        <v>37196</v>
      </c>
      <c r="G115" s="854"/>
      <c r="H115" s="854"/>
      <c r="I115" s="854" t="s">
        <v>245</v>
      </c>
      <c r="J115">
        <f t="shared" si="22"/>
        <v>0</v>
      </c>
      <c r="K115">
        <f t="shared" si="33"/>
        <v>0</v>
      </c>
      <c r="L115" s="251">
        <f t="shared" si="34"/>
        <v>2.2800000000000001E-2</v>
      </c>
      <c r="M115" s="557">
        <f t="shared" si="35"/>
        <v>0</v>
      </c>
      <c r="N115" s="557">
        <f t="shared" si="27"/>
        <v>0</v>
      </c>
      <c r="O115" s="557">
        <f t="shared" si="28"/>
        <v>0</v>
      </c>
      <c r="P115" s="557">
        <f t="shared" si="29"/>
        <v>0</v>
      </c>
      <c r="Q115" s="226" t="str">
        <f t="shared" si="36"/>
        <v>Y</v>
      </c>
      <c r="R115" s="226">
        <f t="shared" si="30"/>
        <v>0</v>
      </c>
      <c r="S115">
        <f t="shared" si="31"/>
        <v>0</v>
      </c>
      <c r="T115" s="141">
        <f t="shared" si="23"/>
        <v>0</v>
      </c>
      <c r="U115" s="710">
        <f t="shared" si="37"/>
        <v>0</v>
      </c>
      <c r="V115" s="710">
        <f t="shared" si="38"/>
        <v>0</v>
      </c>
      <c r="W115" s="710">
        <f t="shared" si="39"/>
        <v>0</v>
      </c>
      <c r="X115" s="710">
        <f t="shared" si="40"/>
        <v>0</v>
      </c>
      <c r="Y115" s="141">
        <f t="shared" si="32"/>
        <v>0</v>
      </c>
      <c r="AB115" s="777"/>
      <c r="AC115" s="777"/>
      <c r="AD115" t="e">
        <f t="shared" si="26"/>
        <v>#N/A</v>
      </c>
    </row>
    <row r="116" spans="1:30" x14ac:dyDescent="0.2">
      <c r="A116" s="916" t="s">
        <v>174</v>
      </c>
      <c r="B116" t="s">
        <v>2089</v>
      </c>
      <c r="C116" t="s">
        <v>2109</v>
      </c>
      <c r="D116">
        <v>3425301</v>
      </c>
      <c r="E116" t="s">
        <v>2108</v>
      </c>
      <c r="F116" s="854">
        <v>37196</v>
      </c>
      <c r="G116" s="854"/>
      <c r="H116" s="854"/>
      <c r="I116" s="854" t="s">
        <v>245</v>
      </c>
      <c r="J116">
        <f t="shared" si="22"/>
        <v>0</v>
      </c>
      <c r="K116">
        <f t="shared" si="33"/>
        <v>0</v>
      </c>
      <c r="L116" s="251">
        <f t="shared" si="34"/>
        <v>2.2800000000000001E-2</v>
      </c>
      <c r="M116" s="557">
        <f t="shared" si="35"/>
        <v>0</v>
      </c>
      <c r="N116" s="557">
        <f t="shared" si="27"/>
        <v>0</v>
      </c>
      <c r="O116" s="557">
        <f t="shared" si="28"/>
        <v>0</v>
      </c>
      <c r="P116" s="557">
        <f t="shared" si="29"/>
        <v>0</v>
      </c>
      <c r="Q116" s="226" t="str">
        <f t="shared" si="36"/>
        <v>Y</v>
      </c>
      <c r="R116" s="226">
        <f t="shared" si="30"/>
        <v>0</v>
      </c>
      <c r="S116">
        <f t="shared" si="31"/>
        <v>0</v>
      </c>
      <c r="T116" s="141">
        <f t="shared" si="23"/>
        <v>0</v>
      </c>
      <c r="U116" s="710">
        <f t="shared" si="37"/>
        <v>0</v>
      </c>
      <c r="V116" s="710">
        <f t="shared" si="38"/>
        <v>0</v>
      </c>
      <c r="W116" s="710">
        <f t="shared" si="39"/>
        <v>0</v>
      </c>
      <c r="X116" s="710">
        <f t="shared" si="40"/>
        <v>0</v>
      </c>
      <c r="Y116" s="141">
        <f t="shared" si="32"/>
        <v>0</v>
      </c>
      <c r="AB116" s="777"/>
      <c r="AC116" s="777"/>
      <c r="AD116" t="e">
        <f t="shared" si="26"/>
        <v>#N/A</v>
      </c>
    </row>
    <row r="117" spans="1:30" x14ac:dyDescent="0.2">
      <c r="A117" s="916" t="s">
        <v>174</v>
      </c>
      <c r="B117" t="s">
        <v>2089</v>
      </c>
      <c r="C117" t="s">
        <v>2101</v>
      </c>
      <c r="D117">
        <v>3425601</v>
      </c>
      <c r="E117" t="s">
        <v>1083</v>
      </c>
      <c r="F117" s="854">
        <v>37196</v>
      </c>
      <c r="G117" s="854"/>
      <c r="H117" s="854"/>
      <c r="I117" s="854" t="s">
        <v>245</v>
      </c>
      <c r="J117">
        <f t="shared" si="22"/>
        <v>0</v>
      </c>
      <c r="K117">
        <f t="shared" si="33"/>
        <v>0</v>
      </c>
      <c r="L117" s="251">
        <f t="shared" si="34"/>
        <v>2.2800000000000001E-2</v>
      </c>
      <c r="M117" s="557">
        <f t="shared" si="35"/>
        <v>0</v>
      </c>
      <c r="N117" s="557">
        <f t="shared" si="27"/>
        <v>0</v>
      </c>
      <c r="O117" s="557">
        <f t="shared" si="28"/>
        <v>0</v>
      </c>
      <c r="P117" s="557">
        <f t="shared" si="29"/>
        <v>0</v>
      </c>
      <c r="Q117" s="226" t="str">
        <f t="shared" si="36"/>
        <v>Y</v>
      </c>
      <c r="R117" s="226">
        <f t="shared" si="30"/>
        <v>0</v>
      </c>
      <c r="S117">
        <f t="shared" si="31"/>
        <v>0</v>
      </c>
      <c r="T117" s="141">
        <f t="shared" si="23"/>
        <v>0</v>
      </c>
      <c r="U117" s="710">
        <f t="shared" si="37"/>
        <v>0</v>
      </c>
      <c r="V117" s="710">
        <f t="shared" si="38"/>
        <v>0</v>
      </c>
      <c r="W117" s="710">
        <f t="shared" si="39"/>
        <v>0</v>
      </c>
      <c r="X117" s="710">
        <f t="shared" si="40"/>
        <v>0</v>
      </c>
      <c r="Y117" s="141">
        <f t="shared" si="32"/>
        <v>0</v>
      </c>
      <c r="AB117" s="777"/>
      <c r="AC117" s="777"/>
      <c r="AD117" t="e">
        <f t="shared" si="26"/>
        <v>#N/A</v>
      </c>
    </row>
    <row r="118" spans="1:30" x14ac:dyDescent="0.2">
      <c r="A118" s="916" t="s">
        <v>174</v>
      </c>
      <c r="B118" t="s">
        <v>2090</v>
      </c>
      <c r="C118" t="s">
        <v>79</v>
      </c>
      <c r="D118">
        <v>3425901</v>
      </c>
      <c r="E118" t="s">
        <v>62</v>
      </c>
      <c r="F118" s="854">
        <v>37196</v>
      </c>
      <c r="G118" s="854"/>
      <c r="H118" s="854"/>
      <c r="I118" s="854" t="s">
        <v>252</v>
      </c>
      <c r="J118">
        <f t="shared" si="22"/>
        <v>0</v>
      </c>
      <c r="K118">
        <f t="shared" si="33"/>
        <v>0</v>
      </c>
      <c r="L118" s="251">
        <f t="shared" si="34"/>
        <v>0</v>
      </c>
      <c r="M118" s="557">
        <f t="shared" si="35"/>
        <v>0</v>
      </c>
      <c r="N118" s="557">
        <f t="shared" si="27"/>
        <v>0</v>
      </c>
      <c r="O118" s="557">
        <f t="shared" si="28"/>
        <v>0</v>
      </c>
      <c r="P118" s="557">
        <f t="shared" si="29"/>
        <v>0</v>
      </c>
      <c r="Q118" s="226" t="str">
        <f t="shared" si="36"/>
        <v>Y</v>
      </c>
      <c r="R118" s="226">
        <f t="shared" si="30"/>
        <v>0</v>
      </c>
      <c r="S118">
        <f t="shared" si="31"/>
        <v>0</v>
      </c>
      <c r="T118" s="141">
        <f t="shared" si="23"/>
        <v>0</v>
      </c>
      <c r="U118" s="710">
        <f t="shared" si="37"/>
        <v>0</v>
      </c>
      <c r="V118" s="710">
        <f t="shared" si="38"/>
        <v>0</v>
      </c>
      <c r="W118" s="710">
        <f t="shared" si="39"/>
        <v>0</v>
      </c>
      <c r="X118" s="710">
        <f t="shared" si="40"/>
        <v>0</v>
      </c>
      <c r="Y118" s="141">
        <f t="shared" si="32"/>
        <v>0</v>
      </c>
      <c r="AB118" s="777"/>
      <c r="AC118" s="777"/>
      <c r="AD118" t="e">
        <f t="shared" si="26"/>
        <v>#N/A</v>
      </c>
    </row>
    <row r="119" spans="1:30" x14ac:dyDescent="0.2">
      <c r="A119" s="916" t="s">
        <v>174</v>
      </c>
      <c r="B119" t="s">
        <v>2089</v>
      </c>
      <c r="C119" t="s">
        <v>1308</v>
      </c>
      <c r="D119">
        <v>3426101</v>
      </c>
      <c r="E119" t="s">
        <v>1128</v>
      </c>
      <c r="F119" s="854">
        <v>37196</v>
      </c>
      <c r="G119" s="854"/>
      <c r="H119" s="854"/>
      <c r="I119" s="854" t="s">
        <v>245</v>
      </c>
      <c r="J119">
        <f t="shared" si="22"/>
        <v>0</v>
      </c>
      <c r="K119">
        <f t="shared" si="33"/>
        <v>0</v>
      </c>
      <c r="L119" s="251">
        <f t="shared" si="34"/>
        <v>2.2800000000000001E-2</v>
      </c>
      <c r="M119" s="557">
        <f t="shared" si="35"/>
        <v>0</v>
      </c>
      <c r="N119" s="557">
        <f t="shared" si="27"/>
        <v>0</v>
      </c>
      <c r="O119" s="557">
        <f t="shared" si="28"/>
        <v>0</v>
      </c>
      <c r="P119" s="557">
        <f t="shared" si="29"/>
        <v>0</v>
      </c>
      <c r="Q119" s="226" t="str">
        <f t="shared" si="36"/>
        <v>Y</v>
      </c>
      <c r="R119" s="226">
        <f t="shared" si="30"/>
        <v>0</v>
      </c>
      <c r="S119">
        <f t="shared" si="31"/>
        <v>0</v>
      </c>
      <c r="T119" s="141">
        <f t="shared" si="23"/>
        <v>0</v>
      </c>
      <c r="U119" s="710">
        <f t="shared" si="37"/>
        <v>0</v>
      </c>
      <c r="V119" s="710">
        <f t="shared" si="38"/>
        <v>0</v>
      </c>
      <c r="W119" s="710">
        <f t="shared" si="39"/>
        <v>0</v>
      </c>
      <c r="X119" s="710">
        <f t="shared" si="40"/>
        <v>0</v>
      </c>
      <c r="Y119" s="141">
        <f t="shared" si="32"/>
        <v>0</v>
      </c>
      <c r="AB119" s="777"/>
      <c r="AC119" s="777"/>
      <c r="AD119" t="e">
        <f t="shared" si="26"/>
        <v>#N/A</v>
      </c>
    </row>
    <row r="120" spans="1:30" x14ac:dyDescent="0.2">
      <c r="A120" s="916" t="s">
        <v>174</v>
      </c>
      <c r="B120" t="s">
        <v>2089</v>
      </c>
      <c r="C120" t="s">
        <v>1307</v>
      </c>
      <c r="D120">
        <v>3427001</v>
      </c>
      <c r="E120" t="s">
        <v>1122</v>
      </c>
      <c r="F120" s="854">
        <v>37196</v>
      </c>
      <c r="G120" s="854"/>
      <c r="H120" s="854"/>
      <c r="I120" s="854" t="s">
        <v>245</v>
      </c>
      <c r="J120">
        <f t="shared" si="22"/>
        <v>0</v>
      </c>
      <c r="K120">
        <f t="shared" si="33"/>
        <v>0</v>
      </c>
      <c r="L120" s="251">
        <f t="shared" si="34"/>
        <v>2.2800000000000001E-2</v>
      </c>
      <c r="M120" s="557">
        <f t="shared" si="35"/>
        <v>0</v>
      </c>
      <c r="N120" s="557">
        <f t="shared" si="27"/>
        <v>0</v>
      </c>
      <c r="O120" s="557">
        <f t="shared" si="28"/>
        <v>0</v>
      </c>
      <c r="P120" s="557">
        <f t="shared" si="29"/>
        <v>0</v>
      </c>
      <c r="Q120" s="226" t="str">
        <f t="shared" si="36"/>
        <v>Y</v>
      </c>
      <c r="R120" s="226">
        <f t="shared" si="30"/>
        <v>0</v>
      </c>
      <c r="S120">
        <f t="shared" si="31"/>
        <v>0</v>
      </c>
      <c r="T120" s="141">
        <f t="shared" si="23"/>
        <v>0</v>
      </c>
      <c r="U120" s="710">
        <f t="shared" si="37"/>
        <v>0</v>
      </c>
      <c r="V120" s="710">
        <f t="shared" si="38"/>
        <v>0</v>
      </c>
      <c r="W120" s="710">
        <f t="shared" si="39"/>
        <v>0</v>
      </c>
      <c r="X120" s="710">
        <f t="shared" si="40"/>
        <v>0</v>
      </c>
      <c r="Y120" s="141">
        <f t="shared" si="32"/>
        <v>0</v>
      </c>
      <c r="AB120" s="777"/>
      <c r="AC120" s="777"/>
      <c r="AD120" t="e">
        <f t="shared" si="26"/>
        <v>#N/A</v>
      </c>
    </row>
    <row r="121" spans="1:30" x14ac:dyDescent="0.2">
      <c r="A121" s="916" t="s">
        <v>174</v>
      </c>
      <c r="B121" t="s">
        <v>2089</v>
      </c>
      <c r="C121" t="s">
        <v>1330</v>
      </c>
      <c r="D121">
        <v>3427701</v>
      </c>
      <c r="E121" t="s">
        <v>1269</v>
      </c>
      <c r="F121" s="854">
        <v>37196</v>
      </c>
      <c r="G121" s="854"/>
      <c r="H121" s="854"/>
      <c r="I121" s="854" t="s">
        <v>245</v>
      </c>
      <c r="J121">
        <f t="shared" si="22"/>
        <v>0</v>
      </c>
      <c r="K121">
        <f t="shared" si="33"/>
        <v>0</v>
      </c>
      <c r="L121" s="251">
        <f t="shared" si="34"/>
        <v>2.2800000000000001E-2</v>
      </c>
      <c r="M121" s="557">
        <f t="shared" si="35"/>
        <v>0</v>
      </c>
      <c r="N121" s="557">
        <f t="shared" si="27"/>
        <v>0</v>
      </c>
      <c r="O121" s="557">
        <f t="shared" si="28"/>
        <v>0</v>
      </c>
      <c r="P121" s="557">
        <f t="shared" si="29"/>
        <v>0</v>
      </c>
      <c r="Q121" s="226" t="str">
        <f t="shared" si="36"/>
        <v>Y</v>
      </c>
      <c r="R121" s="226">
        <f t="shared" si="30"/>
        <v>0</v>
      </c>
      <c r="S121">
        <f t="shared" si="31"/>
        <v>0</v>
      </c>
      <c r="T121" s="141">
        <f t="shared" si="23"/>
        <v>0</v>
      </c>
      <c r="U121" s="710">
        <f t="shared" si="37"/>
        <v>0</v>
      </c>
      <c r="V121" s="710">
        <f t="shared" si="38"/>
        <v>0</v>
      </c>
      <c r="W121" s="710">
        <f t="shared" si="39"/>
        <v>0</v>
      </c>
      <c r="X121" s="710">
        <f t="shared" si="40"/>
        <v>0</v>
      </c>
      <c r="Y121" s="141">
        <f t="shared" si="32"/>
        <v>0</v>
      </c>
      <c r="AB121" s="777"/>
      <c r="AC121" s="777"/>
      <c r="AD121" t="e">
        <f t="shared" si="26"/>
        <v>#N/A</v>
      </c>
    </row>
    <row r="122" spans="1:30" x14ac:dyDescent="0.2">
      <c r="A122" s="916" t="s">
        <v>174</v>
      </c>
      <c r="B122" t="s">
        <v>2089</v>
      </c>
      <c r="C122" t="s">
        <v>1117</v>
      </c>
      <c r="D122">
        <v>3428401</v>
      </c>
      <c r="E122" t="s">
        <v>1113</v>
      </c>
      <c r="F122" s="854">
        <v>37196</v>
      </c>
      <c r="G122" s="854"/>
      <c r="H122" s="854"/>
      <c r="I122" s="854" t="s">
        <v>245</v>
      </c>
      <c r="J122">
        <f t="shared" si="22"/>
        <v>0</v>
      </c>
      <c r="K122">
        <f t="shared" si="33"/>
        <v>0</v>
      </c>
      <c r="L122" s="251">
        <f t="shared" si="34"/>
        <v>2.2800000000000001E-2</v>
      </c>
      <c r="M122" s="557">
        <f t="shared" si="35"/>
        <v>0</v>
      </c>
      <c r="N122" s="557">
        <f t="shared" si="27"/>
        <v>0</v>
      </c>
      <c r="O122" s="557">
        <f t="shared" si="28"/>
        <v>0</v>
      </c>
      <c r="P122" s="557">
        <f t="shared" si="29"/>
        <v>0</v>
      </c>
      <c r="Q122" s="226" t="str">
        <f t="shared" si="36"/>
        <v>Y</v>
      </c>
      <c r="R122" s="226">
        <f t="shared" si="30"/>
        <v>0</v>
      </c>
      <c r="S122">
        <f t="shared" si="31"/>
        <v>0</v>
      </c>
      <c r="T122" s="141">
        <f t="shared" si="23"/>
        <v>0</v>
      </c>
      <c r="U122" s="710">
        <f t="shared" si="37"/>
        <v>0</v>
      </c>
      <c r="V122" s="710">
        <f t="shared" si="38"/>
        <v>0</v>
      </c>
      <c r="W122" s="710">
        <f t="shared" si="39"/>
        <v>0</v>
      </c>
      <c r="X122" s="710">
        <f t="shared" si="40"/>
        <v>0</v>
      </c>
      <c r="Y122" s="141">
        <f t="shared" si="32"/>
        <v>0</v>
      </c>
      <c r="AB122" s="777"/>
      <c r="AC122" s="777"/>
      <c r="AD122" t="e">
        <f t="shared" si="26"/>
        <v>#N/A</v>
      </c>
    </row>
    <row r="123" spans="1:30" x14ac:dyDescent="0.2">
      <c r="A123" s="916" t="s">
        <v>174</v>
      </c>
      <c r="B123" t="s">
        <v>2089</v>
      </c>
      <c r="C123" t="s">
        <v>1118</v>
      </c>
      <c r="D123">
        <v>3429001</v>
      </c>
      <c r="E123" t="s">
        <v>1113</v>
      </c>
      <c r="F123" s="854">
        <v>37196</v>
      </c>
      <c r="G123" s="854"/>
      <c r="H123" s="854"/>
      <c r="I123" s="854" t="s">
        <v>245</v>
      </c>
      <c r="J123">
        <f t="shared" si="22"/>
        <v>0</v>
      </c>
      <c r="K123">
        <f t="shared" si="33"/>
        <v>0</v>
      </c>
      <c r="L123" s="251">
        <f t="shared" si="34"/>
        <v>2.2800000000000001E-2</v>
      </c>
      <c r="M123" s="557">
        <f t="shared" si="35"/>
        <v>0</v>
      </c>
      <c r="N123" s="557">
        <f t="shared" si="27"/>
        <v>0</v>
      </c>
      <c r="O123" s="557">
        <f t="shared" si="28"/>
        <v>0</v>
      </c>
      <c r="P123" s="557">
        <f t="shared" si="29"/>
        <v>0</v>
      </c>
      <c r="Q123" s="226" t="str">
        <f t="shared" si="36"/>
        <v>Y</v>
      </c>
      <c r="R123" s="226">
        <f t="shared" si="30"/>
        <v>0</v>
      </c>
      <c r="S123">
        <f t="shared" si="31"/>
        <v>0</v>
      </c>
      <c r="T123" s="141">
        <f t="shared" si="23"/>
        <v>0</v>
      </c>
      <c r="U123" s="710">
        <f t="shared" si="37"/>
        <v>0</v>
      </c>
      <c r="V123" s="710">
        <f t="shared" si="38"/>
        <v>0</v>
      </c>
      <c r="W123" s="710">
        <f t="shared" si="39"/>
        <v>0</v>
      </c>
      <c r="X123" s="710">
        <f t="shared" si="40"/>
        <v>0</v>
      </c>
      <c r="Y123" s="141">
        <f t="shared" si="32"/>
        <v>0</v>
      </c>
      <c r="AB123" s="777"/>
      <c r="AC123" s="777"/>
      <c r="AD123" t="e">
        <f t="shared" si="26"/>
        <v>#N/A</v>
      </c>
    </row>
    <row r="124" spans="1:30" x14ac:dyDescent="0.2">
      <c r="A124" s="916" t="s">
        <v>174</v>
      </c>
      <c r="B124" t="s">
        <v>2089</v>
      </c>
      <c r="C124" t="s">
        <v>1119</v>
      </c>
      <c r="D124">
        <v>3429601</v>
      </c>
      <c r="E124" t="s">
        <v>1113</v>
      </c>
      <c r="F124" s="854">
        <v>37196</v>
      </c>
      <c r="G124" s="854"/>
      <c r="H124" s="854"/>
      <c r="I124" s="854" t="s">
        <v>245</v>
      </c>
      <c r="J124">
        <f t="shared" si="22"/>
        <v>0</v>
      </c>
      <c r="K124">
        <f t="shared" si="33"/>
        <v>0</v>
      </c>
      <c r="L124" s="251">
        <f t="shared" si="34"/>
        <v>2.2800000000000001E-2</v>
      </c>
      <c r="M124" s="557">
        <f t="shared" si="35"/>
        <v>0</v>
      </c>
      <c r="N124" s="557">
        <f t="shared" si="27"/>
        <v>0</v>
      </c>
      <c r="O124" s="557">
        <f t="shared" si="28"/>
        <v>0</v>
      </c>
      <c r="P124" s="557">
        <f t="shared" si="29"/>
        <v>0</v>
      </c>
      <c r="Q124" s="226" t="str">
        <f t="shared" si="36"/>
        <v>Y</v>
      </c>
      <c r="R124" s="226">
        <f t="shared" si="30"/>
        <v>0</v>
      </c>
      <c r="S124">
        <f t="shared" si="31"/>
        <v>0</v>
      </c>
      <c r="T124" s="141">
        <f t="shared" si="23"/>
        <v>0</v>
      </c>
      <c r="U124" s="710">
        <f t="shared" si="37"/>
        <v>0</v>
      </c>
      <c r="V124" s="710">
        <f t="shared" si="38"/>
        <v>0</v>
      </c>
      <c r="W124" s="710">
        <f t="shared" si="39"/>
        <v>0</v>
      </c>
      <c r="X124" s="710">
        <f t="shared" si="40"/>
        <v>0</v>
      </c>
      <c r="Y124" s="141">
        <f t="shared" si="32"/>
        <v>0</v>
      </c>
      <c r="AB124" s="777"/>
      <c r="AC124" s="777"/>
      <c r="AD124" t="e">
        <f t="shared" si="26"/>
        <v>#N/A</v>
      </c>
    </row>
    <row r="125" spans="1:30" x14ac:dyDescent="0.2">
      <c r="A125" s="916" t="s">
        <v>174</v>
      </c>
      <c r="B125" t="s">
        <v>2089</v>
      </c>
      <c r="C125" t="s">
        <v>80</v>
      </c>
      <c r="D125">
        <v>3472501</v>
      </c>
      <c r="E125" t="s">
        <v>62</v>
      </c>
      <c r="F125" s="854">
        <v>37196</v>
      </c>
      <c r="G125" s="854"/>
      <c r="H125" s="854"/>
      <c r="I125" s="854" t="s">
        <v>245</v>
      </c>
      <c r="J125">
        <f t="shared" si="22"/>
        <v>0</v>
      </c>
      <c r="K125">
        <f t="shared" si="33"/>
        <v>0</v>
      </c>
      <c r="L125" s="251">
        <f t="shared" si="34"/>
        <v>2.2800000000000001E-2</v>
      </c>
      <c r="M125" s="557">
        <f t="shared" si="35"/>
        <v>0</v>
      </c>
      <c r="N125" s="557">
        <f t="shared" si="27"/>
        <v>0</v>
      </c>
      <c r="O125" s="557">
        <f t="shared" si="28"/>
        <v>0</v>
      </c>
      <c r="P125" s="557">
        <f t="shared" si="29"/>
        <v>0</v>
      </c>
      <c r="Q125" s="226" t="str">
        <f t="shared" si="36"/>
        <v>Y</v>
      </c>
      <c r="R125" s="226">
        <f t="shared" si="30"/>
        <v>0</v>
      </c>
      <c r="S125">
        <f t="shared" si="31"/>
        <v>0</v>
      </c>
      <c r="T125" s="141">
        <f t="shared" si="23"/>
        <v>0</v>
      </c>
      <c r="U125" s="710">
        <f t="shared" si="37"/>
        <v>0</v>
      </c>
      <c r="V125" s="710">
        <f t="shared" si="38"/>
        <v>0</v>
      </c>
      <c r="W125" s="710">
        <f t="shared" si="39"/>
        <v>0</v>
      </c>
      <c r="X125" s="710">
        <f t="shared" si="40"/>
        <v>0</v>
      </c>
      <c r="Y125" s="141">
        <f t="shared" si="32"/>
        <v>0</v>
      </c>
      <c r="AB125" s="777"/>
      <c r="AC125" s="777"/>
      <c r="AD125" t="e">
        <f t="shared" si="26"/>
        <v>#N/A</v>
      </c>
    </row>
    <row r="126" spans="1:30" x14ac:dyDescent="0.2">
      <c r="A126" s="916" t="s">
        <v>174</v>
      </c>
      <c r="B126" t="s">
        <v>2089</v>
      </c>
      <c r="C126" t="s">
        <v>1343</v>
      </c>
      <c r="D126">
        <v>3475001</v>
      </c>
      <c r="E126" t="s">
        <v>1128</v>
      </c>
      <c r="F126" s="854">
        <v>37196</v>
      </c>
      <c r="G126" s="854"/>
      <c r="H126" s="854"/>
      <c r="I126" s="854" t="s">
        <v>245</v>
      </c>
      <c r="J126">
        <f t="shared" si="22"/>
        <v>0</v>
      </c>
      <c r="K126">
        <f t="shared" si="33"/>
        <v>0</v>
      </c>
      <c r="L126" s="251">
        <f t="shared" si="34"/>
        <v>2.2800000000000001E-2</v>
      </c>
      <c r="M126" s="557">
        <f t="shared" si="35"/>
        <v>0</v>
      </c>
      <c r="N126" s="557">
        <f t="shared" si="27"/>
        <v>0</v>
      </c>
      <c r="O126" s="557">
        <f t="shared" si="28"/>
        <v>0</v>
      </c>
      <c r="P126" s="557">
        <f t="shared" si="29"/>
        <v>0</v>
      </c>
      <c r="Q126" s="226" t="str">
        <f t="shared" si="36"/>
        <v>Y</v>
      </c>
      <c r="R126" s="226">
        <f t="shared" si="30"/>
        <v>0</v>
      </c>
      <c r="S126">
        <f t="shared" si="31"/>
        <v>0</v>
      </c>
      <c r="T126" s="141">
        <f t="shared" si="23"/>
        <v>0</v>
      </c>
      <c r="U126" s="710">
        <f t="shared" si="37"/>
        <v>0</v>
      </c>
      <c r="V126" s="710">
        <f t="shared" si="38"/>
        <v>0</v>
      </c>
      <c r="W126" s="710">
        <f t="shared" si="39"/>
        <v>0</v>
      </c>
      <c r="X126" s="710">
        <f t="shared" si="40"/>
        <v>0</v>
      </c>
      <c r="Y126" s="141">
        <f t="shared" si="32"/>
        <v>0</v>
      </c>
      <c r="AB126" s="777"/>
      <c r="AC126" s="777"/>
      <c r="AD126" t="e">
        <f t="shared" si="26"/>
        <v>#N/A</v>
      </c>
    </row>
    <row r="127" spans="1:30" x14ac:dyDescent="0.2">
      <c r="A127" s="916" t="s">
        <v>174</v>
      </c>
      <c r="B127" t="s">
        <v>2090</v>
      </c>
      <c r="C127" t="s">
        <v>1366</v>
      </c>
      <c r="D127">
        <v>3478201</v>
      </c>
      <c r="E127" t="s">
        <v>1113</v>
      </c>
      <c r="F127" s="854">
        <v>37196</v>
      </c>
      <c r="G127" s="854"/>
      <c r="H127" s="854"/>
      <c r="I127" s="854" t="s">
        <v>252</v>
      </c>
      <c r="J127">
        <f t="shared" si="22"/>
        <v>0</v>
      </c>
      <c r="K127">
        <f t="shared" si="33"/>
        <v>0</v>
      </c>
      <c r="L127" s="251">
        <f t="shared" si="34"/>
        <v>0</v>
      </c>
      <c r="M127" s="557">
        <f t="shared" si="35"/>
        <v>0</v>
      </c>
      <c r="N127" s="557">
        <f t="shared" si="27"/>
        <v>0</v>
      </c>
      <c r="O127" s="557">
        <f t="shared" si="28"/>
        <v>0</v>
      </c>
      <c r="P127" s="557">
        <f t="shared" si="29"/>
        <v>0</v>
      </c>
      <c r="Q127" s="226" t="str">
        <f t="shared" si="36"/>
        <v>Y</v>
      </c>
      <c r="R127" s="226">
        <f t="shared" si="30"/>
        <v>0</v>
      </c>
      <c r="S127">
        <f t="shared" si="31"/>
        <v>0</v>
      </c>
      <c r="T127" s="141">
        <f t="shared" si="23"/>
        <v>0</v>
      </c>
      <c r="U127" s="710">
        <f t="shared" si="37"/>
        <v>0</v>
      </c>
      <c r="V127" s="710">
        <f t="shared" si="38"/>
        <v>0</v>
      </c>
      <c r="W127" s="710">
        <f t="shared" si="39"/>
        <v>0</v>
      </c>
      <c r="X127" s="710">
        <f t="shared" si="40"/>
        <v>0</v>
      </c>
      <c r="Y127" s="141">
        <f t="shared" si="32"/>
        <v>0</v>
      </c>
      <c r="AB127" s="777"/>
      <c r="AC127" s="777"/>
      <c r="AD127" t="e">
        <f t="shared" si="26"/>
        <v>#N/A</v>
      </c>
    </row>
    <row r="128" spans="1:30" x14ac:dyDescent="0.2">
      <c r="A128" s="916" t="s">
        <v>174</v>
      </c>
      <c r="B128" t="s">
        <v>2089</v>
      </c>
      <c r="C128" t="s">
        <v>1120</v>
      </c>
      <c r="D128">
        <v>3502801</v>
      </c>
      <c r="E128" t="s">
        <v>1113</v>
      </c>
      <c r="F128" s="854">
        <v>37196</v>
      </c>
      <c r="G128" s="854"/>
      <c r="H128" s="854"/>
      <c r="I128" s="854" t="s">
        <v>245</v>
      </c>
      <c r="J128">
        <f t="shared" si="22"/>
        <v>0</v>
      </c>
      <c r="K128">
        <f t="shared" si="33"/>
        <v>0</v>
      </c>
      <c r="L128" s="251">
        <f t="shared" si="34"/>
        <v>2.2800000000000001E-2</v>
      </c>
      <c r="M128" s="557">
        <f t="shared" si="35"/>
        <v>0</v>
      </c>
      <c r="N128" s="557">
        <f t="shared" si="27"/>
        <v>0</v>
      </c>
      <c r="O128" s="557">
        <f t="shared" si="28"/>
        <v>0</v>
      </c>
      <c r="P128" s="557">
        <f t="shared" si="29"/>
        <v>0</v>
      </c>
      <c r="Q128" s="226" t="str">
        <f t="shared" si="36"/>
        <v>Y</v>
      </c>
      <c r="R128" s="226">
        <f t="shared" si="30"/>
        <v>0</v>
      </c>
      <c r="S128">
        <f t="shared" si="31"/>
        <v>0</v>
      </c>
      <c r="T128" s="141">
        <f t="shared" si="23"/>
        <v>0</v>
      </c>
      <c r="U128" s="710">
        <f t="shared" si="37"/>
        <v>0</v>
      </c>
      <c r="V128" s="710">
        <f t="shared" si="38"/>
        <v>0</v>
      </c>
      <c r="W128" s="710">
        <f t="shared" si="39"/>
        <v>0</v>
      </c>
      <c r="X128" s="710">
        <f t="shared" si="40"/>
        <v>0</v>
      </c>
      <c r="Y128" s="141">
        <f t="shared" si="32"/>
        <v>0</v>
      </c>
      <c r="AB128" s="777"/>
      <c r="AC128" s="777"/>
      <c r="AD128" t="e">
        <f t="shared" si="26"/>
        <v>#N/A</v>
      </c>
    </row>
    <row r="129" spans="1:30" x14ac:dyDescent="0.2">
      <c r="A129" s="916" t="s">
        <v>174</v>
      </c>
      <c r="B129" t="s">
        <v>2089</v>
      </c>
      <c r="C129" t="s">
        <v>82</v>
      </c>
      <c r="D129">
        <v>3505301</v>
      </c>
      <c r="E129" t="s">
        <v>83</v>
      </c>
      <c r="F129" s="854">
        <v>37196</v>
      </c>
      <c r="G129" s="854"/>
      <c r="H129" s="854"/>
      <c r="I129" s="854" t="s">
        <v>245</v>
      </c>
      <c r="J129">
        <f t="shared" si="22"/>
        <v>0</v>
      </c>
      <c r="K129">
        <f t="shared" si="33"/>
        <v>0</v>
      </c>
      <c r="L129" s="251">
        <f t="shared" si="34"/>
        <v>2.2800000000000001E-2</v>
      </c>
      <c r="M129" s="557">
        <f t="shared" si="35"/>
        <v>0</v>
      </c>
      <c r="N129" s="557">
        <f t="shared" si="27"/>
        <v>0</v>
      </c>
      <c r="O129" s="557">
        <f t="shared" si="28"/>
        <v>0</v>
      </c>
      <c r="P129" s="557">
        <f t="shared" si="29"/>
        <v>0</v>
      </c>
      <c r="Q129" s="226" t="str">
        <f t="shared" si="36"/>
        <v>Y</v>
      </c>
      <c r="R129" s="226">
        <f t="shared" si="30"/>
        <v>0</v>
      </c>
      <c r="S129">
        <f t="shared" si="31"/>
        <v>0</v>
      </c>
      <c r="T129" s="141">
        <f t="shared" si="23"/>
        <v>0</v>
      </c>
      <c r="U129" s="710">
        <f t="shared" si="37"/>
        <v>0</v>
      </c>
      <c r="V129" s="710">
        <f t="shared" si="38"/>
        <v>0</v>
      </c>
      <c r="W129" s="710">
        <f t="shared" si="39"/>
        <v>0</v>
      </c>
      <c r="X129" s="710">
        <f t="shared" si="40"/>
        <v>0</v>
      </c>
      <c r="Y129" s="141">
        <f t="shared" si="32"/>
        <v>0</v>
      </c>
      <c r="AB129" s="777"/>
      <c r="AC129" s="777"/>
      <c r="AD129" t="e">
        <f t="shared" si="26"/>
        <v>#N/A</v>
      </c>
    </row>
    <row r="130" spans="1:30" x14ac:dyDescent="0.2">
      <c r="A130" s="916" t="s">
        <v>174</v>
      </c>
      <c r="B130" t="s">
        <v>2089</v>
      </c>
      <c r="C130" t="s">
        <v>1324</v>
      </c>
      <c r="D130">
        <v>3506201</v>
      </c>
      <c r="E130" t="s">
        <v>1128</v>
      </c>
      <c r="F130" s="854">
        <v>37196</v>
      </c>
      <c r="G130" s="854"/>
      <c r="H130" s="854"/>
      <c r="I130" s="854" t="s">
        <v>245</v>
      </c>
      <c r="J130">
        <f t="shared" si="22"/>
        <v>0</v>
      </c>
      <c r="K130">
        <f t="shared" si="33"/>
        <v>0</v>
      </c>
      <c r="L130" s="251">
        <f t="shared" si="34"/>
        <v>2.2800000000000001E-2</v>
      </c>
      <c r="M130" s="557">
        <f t="shared" si="35"/>
        <v>0</v>
      </c>
      <c r="N130" s="557">
        <f t="shared" si="27"/>
        <v>0</v>
      </c>
      <c r="O130" s="557">
        <f t="shared" si="28"/>
        <v>0</v>
      </c>
      <c r="P130" s="557">
        <f t="shared" si="29"/>
        <v>0</v>
      </c>
      <c r="Q130" s="226" t="str">
        <f t="shared" si="36"/>
        <v>Y</v>
      </c>
      <c r="R130" s="226">
        <f t="shared" si="30"/>
        <v>0</v>
      </c>
      <c r="S130">
        <f t="shared" si="31"/>
        <v>0</v>
      </c>
      <c r="T130" s="141">
        <f t="shared" si="23"/>
        <v>0</v>
      </c>
      <c r="U130" s="710">
        <f t="shared" si="37"/>
        <v>0</v>
      </c>
      <c r="V130" s="710">
        <f t="shared" si="38"/>
        <v>0</v>
      </c>
      <c r="W130" s="710">
        <f t="shared" si="39"/>
        <v>0</v>
      </c>
      <c r="X130" s="710">
        <f t="shared" si="40"/>
        <v>0</v>
      </c>
      <c r="Y130" s="141">
        <f t="shared" si="32"/>
        <v>0</v>
      </c>
      <c r="AB130" s="777"/>
      <c r="AC130" s="777"/>
      <c r="AD130" t="e">
        <f t="shared" si="26"/>
        <v>#N/A</v>
      </c>
    </row>
    <row r="131" spans="1:30" x14ac:dyDescent="0.2">
      <c r="A131" s="916" t="s">
        <v>174</v>
      </c>
      <c r="B131" t="s">
        <v>2089</v>
      </c>
      <c r="C131" t="s">
        <v>1121</v>
      </c>
      <c r="D131">
        <v>3507801</v>
      </c>
      <c r="E131" t="s">
        <v>1122</v>
      </c>
      <c r="F131" s="854">
        <v>37196</v>
      </c>
      <c r="G131" s="854"/>
      <c r="H131" s="854"/>
      <c r="I131" s="854" t="s">
        <v>245</v>
      </c>
      <c r="J131">
        <f t="shared" ref="J131:J194" si="41">IF(ISNA(VLOOKUP(C131,CNGx,2,FALSE)),"na",(VLOOKUP(C131,CNGx,2,FALSE)))</f>
        <v>0</v>
      </c>
      <c r="K131">
        <f t="shared" ref="K131:K194" si="42">IF(ISNA(VLOOKUP(C131,CNGx,3,0)),0,VLOOKUP(C131,CNGx,3,FALSE))</f>
        <v>0</v>
      </c>
      <c r="L131" s="251">
        <f t="shared" si="34"/>
        <v>2.2800000000000001E-2</v>
      </c>
      <c r="M131" s="557">
        <f t="shared" si="35"/>
        <v>0</v>
      </c>
      <c r="N131" s="557">
        <f t="shared" si="27"/>
        <v>0</v>
      </c>
      <c r="O131" s="557">
        <f t="shared" si="28"/>
        <v>0</v>
      </c>
      <c r="P131" s="557">
        <f t="shared" si="29"/>
        <v>0</v>
      </c>
      <c r="Q131" s="226" t="str">
        <f t="shared" si="36"/>
        <v>Y</v>
      </c>
      <c r="R131" s="226">
        <f t="shared" si="30"/>
        <v>0</v>
      </c>
      <c r="S131">
        <f t="shared" si="31"/>
        <v>0</v>
      </c>
      <c r="T131" s="141">
        <f t="shared" ref="T131:T194" si="43">+P131-R131</f>
        <v>0</v>
      </c>
      <c r="U131" s="710">
        <f t="shared" si="37"/>
        <v>0</v>
      </c>
      <c r="V131" s="710">
        <f t="shared" si="38"/>
        <v>0</v>
      </c>
      <c r="W131" s="710">
        <f t="shared" si="39"/>
        <v>0</v>
      </c>
      <c r="X131" s="710">
        <f t="shared" si="40"/>
        <v>0</v>
      </c>
      <c r="Y131" s="141">
        <f t="shared" si="32"/>
        <v>0</v>
      </c>
      <c r="AB131" s="777"/>
      <c r="AC131" s="777"/>
      <c r="AD131" t="e">
        <f t="shared" si="26"/>
        <v>#N/A</v>
      </c>
    </row>
    <row r="132" spans="1:30" x14ac:dyDescent="0.2">
      <c r="A132" s="916" t="s">
        <v>174</v>
      </c>
      <c r="B132" t="s">
        <v>2089</v>
      </c>
      <c r="C132" t="s">
        <v>1123</v>
      </c>
      <c r="D132">
        <v>3507901</v>
      </c>
      <c r="E132" t="s">
        <v>1122</v>
      </c>
      <c r="F132" s="854">
        <v>37196</v>
      </c>
      <c r="G132" s="854"/>
      <c r="H132" s="854"/>
      <c r="I132" s="854" t="s">
        <v>245</v>
      </c>
      <c r="J132">
        <f t="shared" si="41"/>
        <v>0</v>
      </c>
      <c r="K132">
        <f t="shared" si="42"/>
        <v>0</v>
      </c>
      <c r="L132" s="251">
        <f t="shared" si="34"/>
        <v>2.2800000000000001E-2</v>
      </c>
      <c r="M132" s="557">
        <f t="shared" si="35"/>
        <v>0</v>
      </c>
      <c r="N132" s="557">
        <f t="shared" si="27"/>
        <v>0</v>
      </c>
      <c r="O132" s="557">
        <f t="shared" si="28"/>
        <v>0</v>
      </c>
      <c r="P132" s="557">
        <f t="shared" si="29"/>
        <v>0</v>
      </c>
      <c r="Q132" s="226" t="str">
        <f t="shared" si="36"/>
        <v>Y</v>
      </c>
      <c r="R132" s="226">
        <f t="shared" si="30"/>
        <v>0</v>
      </c>
      <c r="S132">
        <f t="shared" si="31"/>
        <v>0</v>
      </c>
      <c r="T132" s="141">
        <f t="shared" si="43"/>
        <v>0</v>
      </c>
      <c r="U132" s="710">
        <f t="shared" si="37"/>
        <v>0</v>
      </c>
      <c r="V132" s="710">
        <f t="shared" si="38"/>
        <v>0</v>
      </c>
      <c r="W132" s="710">
        <f t="shared" si="39"/>
        <v>0</v>
      </c>
      <c r="X132" s="710">
        <f t="shared" si="40"/>
        <v>0</v>
      </c>
      <c r="Y132" s="141">
        <f t="shared" si="32"/>
        <v>0</v>
      </c>
      <c r="AB132" s="777"/>
      <c r="AC132" s="777"/>
      <c r="AD132" t="e">
        <f t="shared" si="26"/>
        <v>#N/A</v>
      </c>
    </row>
    <row r="133" spans="1:30" x14ac:dyDescent="0.2">
      <c r="A133" s="916" t="s">
        <v>174</v>
      </c>
      <c r="B133" t="s">
        <v>2089</v>
      </c>
      <c r="C133" t="s">
        <v>1124</v>
      </c>
      <c r="D133">
        <v>3508401</v>
      </c>
      <c r="E133" t="s">
        <v>1122</v>
      </c>
      <c r="F133" s="854">
        <v>37196</v>
      </c>
      <c r="G133" s="854"/>
      <c r="H133" s="854"/>
      <c r="I133" s="854" t="s">
        <v>245</v>
      </c>
      <c r="J133">
        <f t="shared" si="41"/>
        <v>0</v>
      </c>
      <c r="K133">
        <f t="shared" si="42"/>
        <v>0</v>
      </c>
      <c r="L133" s="251">
        <f t="shared" si="34"/>
        <v>2.2800000000000001E-2</v>
      </c>
      <c r="M133" s="557">
        <f t="shared" si="35"/>
        <v>0</v>
      </c>
      <c r="N133" s="557">
        <f t="shared" si="27"/>
        <v>0</v>
      </c>
      <c r="O133" s="557">
        <f t="shared" si="28"/>
        <v>0</v>
      </c>
      <c r="P133" s="557">
        <f t="shared" si="29"/>
        <v>0</v>
      </c>
      <c r="Q133" s="226" t="str">
        <f t="shared" si="36"/>
        <v>Y</v>
      </c>
      <c r="R133" s="226">
        <f t="shared" si="30"/>
        <v>0</v>
      </c>
      <c r="S133">
        <f t="shared" si="31"/>
        <v>0</v>
      </c>
      <c r="T133" s="141">
        <f t="shared" si="43"/>
        <v>0</v>
      </c>
      <c r="U133" s="710">
        <f t="shared" si="37"/>
        <v>0</v>
      </c>
      <c r="V133" s="710">
        <f t="shared" si="38"/>
        <v>0</v>
      </c>
      <c r="W133" s="710">
        <f t="shared" si="39"/>
        <v>0</v>
      </c>
      <c r="X133" s="710">
        <f t="shared" si="40"/>
        <v>0</v>
      </c>
      <c r="Y133" s="141">
        <f t="shared" si="32"/>
        <v>0</v>
      </c>
      <c r="AB133" s="777"/>
      <c r="AC133" s="777"/>
      <c r="AD133" t="e">
        <f t="shared" si="26"/>
        <v>#N/A</v>
      </c>
    </row>
    <row r="134" spans="1:30" x14ac:dyDescent="0.2">
      <c r="A134" s="916" t="s">
        <v>174</v>
      </c>
      <c r="B134" t="s">
        <v>2089</v>
      </c>
      <c r="C134" t="s">
        <v>1323</v>
      </c>
      <c r="D134">
        <v>3509101</v>
      </c>
      <c r="E134" t="s">
        <v>1128</v>
      </c>
      <c r="F134" s="854">
        <v>37196</v>
      </c>
      <c r="G134" s="854"/>
      <c r="H134" s="854"/>
      <c r="I134" s="854" t="s">
        <v>245</v>
      </c>
      <c r="J134">
        <f t="shared" si="41"/>
        <v>0</v>
      </c>
      <c r="K134">
        <f t="shared" si="42"/>
        <v>0</v>
      </c>
      <c r="L134" s="251">
        <f t="shared" si="34"/>
        <v>2.2800000000000001E-2</v>
      </c>
      <c r="M134" s="557">
        <f t="shared" si="35"/>
        <v>0</v>
      </c>
      <c r="N134" s="557">
        <f t="shared" si="27"/>
        <v>0</v>
      </c>
      <c r="O134" s="557">
        <f t="shared" si="28"/>
        <v>0</v>
      </c>
      <c r="P134" s="557">
        <f t="shared" si="29"/>
        <v>0</v>
      </c>
      <c r="Q134" s="226" t="str">
        <f t="shared" si="36"/>
        <v>Y</v>
      </c>
      <c r="R134" s="226">
        <f t="shared" si="30"/>
        <v>0</v>
      </c>
      <c r="S134">
        <f t="shared" si="31"/>
        <v>0</v>
      </c>
      <c r="T134" s="141">
        <f t="shared" si="43"/>
        <v>0</v>
      </c>
      <c r="U134" s="710">
        <f t="shared" si="37"/>
        <v>0</v>
      </c>
      <c r="V134" s="710">
        <f t="shared" si="38"/>
        <v>0</v>
      </c>
      <c r="W134" s="710">
        <f t="shared" si="39"/>
        <v>0</v>
      </c>
      <c r="X134" s="710">
        <f t="shared" si="40"/>
        <v>0</v>
      </c>
      <c r="Y134" s="141">
        <f t="shared" si="32"/>
        <v>0</v>
      </c>
      <c r="AB134" s="777"/>
      <c r="AC134" s="777"/>
      <c r="AD134" t="e">
        <f t="shared" si="26"/>
        <v>#N/A</v>
      </c>
    </row>
    <row r="135" spans="1:30" x14ac:dyDescent="0.2">
      <c r="A135" s="916" t="s">
        <v>174</v>
      </c>
      <c r="B135" t="s">
        <v>2089</v>
      </c>
      <c r="C135" t="s">
        <v>1339</v>
      </c>
      <c r="D135">
        <v>3510601</v>
      </c>
      <c r="E135" t="s">
        <v>1092</v>
      </c>
      <c r="F135" s="854">
        <v>37196</v>
      </c>
      <c r="G135" s="854"/>
      <c r="H135" s="854"/>
      <c r="I135" s="854" t="s">
        <v>245</v>
      </c>
      <c r="J135">
        <f t="shared" si="41"/>
        <v>0</v>
      </c>
      <c r="K135">
        <f t="shared" si="42"/>
        <v>0</v>
      </c>
      <c r="L135" s="251">
        <f t="shared" si="34"/>
        <v>2.2800000000000001E-2</v>
      </c>
      <c r="M135" s="557">
        <f t="shared" si="35"/>
        <v>0</v>
      </c>
      <c r="N135" s="557">
        <f t="shared" si="27"/>
        <v>0</v>
      </c>
      <c r="O135" s="557">
        <f t="shared" si="28"/>
        <v>0</v>
      </c>
      <c r="P135" s="557">
        <f t="shared" si="29"/>
        <v>0</v>
      </c>
      <c r="Q135" s="226" t="str">
        <f t="shared" si="36"/>
        <v>Y</v>
      </c>
      <c r="R135" s="226">
        <f t="shared" si="30"/>
        <v>0</v>
      </c>
      <c r="S135">
        <f t="shared" si="31"/>
        <v>0</v>
      </c>
      <c r="T135" s="141">
        <f t="shared" si="43"/>
        <v>0</v>
      </c>
      <c r="U135" s="710">
        <f t="shared" si="37"/>
        <v>0</v>
      </c>
      <c r="V135" s="710">
        <f t="shared" si="38"/>
        <v>0</v>
      </c>
      <c r="W135" s="710">
        <f t="shared" si="39"/>
        <v>0</v>
      </c>
      <c r="X135" s="710">
        <f t="shared" si="40"/>
        <v>0</v>
      </c>
      <c r="Y135" s="141">
        <f t="shared" si="32"/>
        <v>0</v>
      </c>
      <c r="AB135" s="777"/>
      <c r="AC135" s="777"/>
      <c r="AD135" t="e">
        <f t="shared" si="26"/>
        <v>#N/A</v>
      </c>
    </row>
    <row r="136" spans="1:30" x14ac:dyDescent="0.2">
      <c r="A136" s="916" t="s">
        <v>174</v>
      </c>
      <c r="B136" t="s">
        <v>2089</v>
      </c>
      <c r="C136" t="s">
        <v>1341</v>
      </c>
      <c r="D136">
        <v>3510801</v>
      </c>
      <c r="E136" t="s">
        <v>1092</v>
      </c>
      <c r="F136" s="854">
        <v>37196</v>
      </c>
      <c r="G136" s="854"/>
      <c r="H136" s="854"/>
      <c r="I136" s="854" t="s">
        <v>245</v>
      </c>
      <c r="J136">
        <f t="shared" si="41"/>
        <v>0</v>
      </c>
      <c r="K136">
        <f t="shared" si="42"/>
        <v>0</v>
      </c>
      <c r="L136" s="251">
        <f t="shared" si="34"/>
        <v>2.2800000000000001E-2</v>
      </c>
      <c r="M136" s="557">
        <f t="shared" si="35"/>
        <v>0</v>
      </c>
      <c r="N136" s="557">
        <f t="shared" si="27"/>
        <v>0</v>
      </c>
      <c r="O136" s="557">
        <f t="shared" si="28"/>
        <v>0</v>
      </c>
      <c r="P136" s="557">
        <f t="shared" si="29"/>
        <v>0</v>
      </c>
      <c r="Q136" s="226" t="str">
        <f t="shared" si="36"/>
        <v>Y</v>
      </c>
      <c r="R136" s="226">
        <f t="shared" si="30"/>
        <v>0</v>
      </c>
      <c r="S136">
        <f t="shared" si="31"/>
        <v>0</v>
      </c>
      <c r="T136" s="141">
        <f t="shared" si="43"/>
        <v>0</v>
      </c>
      <c r="U136" s="710">
        <f t="shared" si="37"/>
        <v>0</v>
      </c>
      <c r="V136" s="710">
        <f t="shared" si="38"/>
        <v>0</v>
      </c>
      <c r="W136" s="710">
        <f t="shared" si="39"/>
        <v>0</v>
      </c>
      <c r="X136" s="710">
        <f t="shared" si="40"/>
        <v>0</v>
      </c>
      <c r="Y136" s="141">
        <f t="shared" si="32"/>
        <v>0</v>
      </c>
      <c r="AB136" s="777"/>
      <c r="AC136" s="777"/>
      <c r="AD136" t="e">
        <f t="shared" si="26"/>
        <v>#N/A</v>
      </c>
    </row>
    <row r="137" spans="1:30" x14ac:dyDescent="0.2">
      <c r="A137" s="916" t="s">
        <v>174</v>
      </c>
      <c r="B137" t="s">
        <v>2089</v>
      </c>
      <c r="C137" t="s">
        <v>88</v>
      </c>
      <c r="D137">
        <v>3511801</v>
      </c>
      <c r="E137" t="s">
        <v>83</v>
      </c>
      <c r="F137" s="854">
        <v>37196</v>
      </c>
      <c r="G137" s="854"/>
      <c r="H137" s="854"/>
      <c r="I137" s="854" t="s">
        <v>245</v>
      </c>
      <c r="J137">
        <f t="shared" si="41"/>
        <v>0</v>
      </c>
      <c r="K137">
        <f t="shared" si="42"/>
        <v>0</v>
      </c>
      <c r="L137" s="251">
        <f t="shared" si="34"/>
        <v>2.2800000000000001E-2</v>
      </c>
      <c r="M137" s="557">
        <f t="shared" si="35"/>
        <v>0</v>
      </c>
      <c r="N137" s="557">
        <f t="shared" si="27"/>
        <v>0</v>
      </c>
      <c r="O137" s="557">
        <f t="shared" si="28"/>
        <v>0</v>
      </c>
      <c r="P137" s="557">
        <f t="shared" si="29"/>
        <v>0</v>
      </c>
      <c r="Q137" s="226" t="str">
        <f t="shared" si="36"/>
        <v>Y</v>
      </c>
      <c r="R137" s="226">
        <f t="shared" si="30"/>
        <v>0</v>
      </c>
      <c r="S137">
        <f t="shared" si="31"/>
        <v>0</v>
      </c>
      <c r="T137" s="141">
        <f t="shared" si="43"/>
        <v>0</v>
      </c>
      <c r="U137" s="710">
        <f t="shared" si="37"/>
        <v>0</v>
      </c>
      <c r="V137" s="710">
        <f t="shared" si="38"/>
        <v>0</v>
      </c>
      <c r="W137" s="710">
        <f t="shared" si="39"/>
        <v>0</v>
      </c>
      <c r="X137" s="710">
        <f t="shared" si="40"/>
        <v>0</v>
      </c>
      <c r="Y137" s="141">
        <f t="shared" si="32"/>
        <v>0</v>
      </c>
      <c r="AB137" s="777"/>
      <c r="AC137" s="777"/>
      <c r="AD137" t="e">
        <f t="shared" si="26"/>
        <v>#N/A</v>
      </c>
    </row>
    <row r="138" spans="1:30" x14ac:dyDescent="0.2">
      <c r="A138" s="916" t="s">
        <v>174</v>
      </c>
      <c r="B138" t="s">
        <v>2089</v>
      </c>
      <c r="C138" t="s">
        <v>1325</v>
      </c>
      <c r="D138">
        <v>3512101</v>
      </c>
      <c r="E138" t="s">
        <v>1092</v>
      </c>
      <c r="F138" s="854">
        <v>37196</v>
      </c>
      <c r="G138" s="854"/>
      <c r="H138" s="854"/>
      <c r="I138" s="854" t="s">
        <v>245</v>
      </c>
      <c r="J138">
        <f t="shared" si="41"/>
        <v>0</v>
      </c>
      <c r="K138">
        <f t="shared" si="42"/>
        <v>0</v>
      </c>
      <c r="L138" s="251">
        <f t="shared" si="34"/>
        <v>2.2800000000000001E-2</v>
      </c>
      <c r="M138" s="557">
        <f t="shared" si="35"/>
        <v>0</v>
      </c>
      <c r="N138" s="557">
        <f t="shared" si="27"/>
        <v>0</v>
      </c>
      <c r="O138" s="557">
        <f t="shared" si="28"/>
        <v>0</v>
      </c>
      <c r="P138" s="557">
        <f t="shared" si="29"/>
        <v>0</v>
      </c>
      <c r="Q138" s="226" t="str">
        <f t="shared" si="36"/>
        <v>Y</v>
      </c>
      <c r="R138" s="226">
        <f t="shared" si="30"/>
        <v>0</v>
      </c>
      <c r="S138">
        <f t="shared" si="31"/>
        <v>0</v>
      </c>
      <c r="T138" s="141">
        <f t="shared" si="43"/>
        <v>0</v>
      </c>
      <c r="U138" s="710">
        <f t="shared" si="37"/>
        <v>0</v>
      </c>
      <c r="V138" s="710">
        <f t="shared" si="38"/>
        <v>0</v>
      </c>
      <c r="W138" s="710">
        <f t="shared" si="39"/>
        <v>0</v>
      </c>
      <c r="X138" s="710">
        <f t="shared" si="40"/>
        <v>0</v>
      </c>
      <c r="Y138" s="141">
        <f t="shared" si="32"/>
        <v>0</v>
      </c>
      <c r="AB138" s="777"/>
      <c r="AC138" s="777"/>
      <c r="AD138" t="e">
        <f t="shared" si="26"/>
        <v>#N/A</v>
      </c>
    </row>
    <row r="139" spans="1:30" x14ac:dyDescent="0.2">
      <c r="A139" s="916" t="s">
        <v>174</v>
      </c>
      <c r="B139" t="s">
        <v>2089</v>
      </c>
      <c r="C139" t="s">
        <v>1340</v>
      </c>
      <c r="D139">
        <v>3513301</v>
      </c>
      <c r="E139" t="s">
        <v>1092</v>
      </c>
      <c r="F139" s="854">
        <v>37196</v>
      </c>
      <c r="G139" s="854"/>
      <c r="H139" s="854"/>
      <c r="I139" s="854" t="s">
        <v>245</v>
      </c>
      <c r="J139">
        <f t="shared" si="41"/>
        <v>0</v>
      </c>
      <c r="K139">
        <f t="shared" si="42"/>
        <v>0</v>
      </c>
      <c r="L139" s="251">
        <f t="shared" si="34"/>
        <v>2.2800000000000001E-2</v>
      </c>
      <c r="M139" s="557">
        <f t="shared" si="35"/>
        <v>0</v>
      </c>
      <c r="N139" s="557">
        <f t="shared" si="27"/>
        <v>0</v>
      </c>
      <c r="O139" s="557">
        <f t="shared" si="28"/>
        <v>0</v>
      </c>
      <c r="P139" s="557">
        <f t="shared" si="29"/>
        <v>0</v>
      </c>
      <c r="Q139" s="226" t="str">
        <f t="shared" si="36"/>
        <v>Y</v>
      </c>
      <c r="R139" s="226">
        <f t="shared" si="30"/>
        <v>0</v>
      </c>
      <c r="S139">
        <f t="shared" si="31"/>
        <v>0</v>
      </c>
      <c r="T139" s="141">
        <f t="shared" si="43"/>
        <v>0</v>
      </c>
      <c r="U139" s="710">
        <f t="shared" si="37"/>
        <v>0</v>
      </c>
      <c r="V139" s="710">
        <f t="shared" si="38"/>
        <v>0</v>
      </c>
      <c r="W139" s="710">
        <f t="shared" si="39"/>
        <v>0</v>
      </c>
      <c r="X139" s="710">
        <f t="shared" si="40"/>
        <v>0</v>
      </c>
      <c r="Y139" s="141">
        <f t="shared" si="32"/>
        <v>0</v>
      </c>
      <c r="AB139" s="777"/>
      <c r="AC139" s="777"/>
      <c r="AD139" t="e">
        <f t="shared" si="26"/>
        <v>#N/A</v>
      </c>
    </row>
    <row r="140" spans="1:30" x14ac:dyDescent="0.2">
      <c r="A140" s="916" t="s">
        <v>174</v>
      </c>
      <c r="B140" t="s">
        <v>2090</v>
      </c>
      <c r="C140" t="s">
        <v>1368</v>
      </c>
      <c r="D140">
        <v>3514402</v>
      </c>
      <c r="E140" t="s">
        <v>1269</v>
      </c>
      <c r="F140" s="854">
        <v>37196</v>
      </c>
      <c r="G140" s="854"/>
      <c r="H140" s="854"/>
      <c r="I140" s="854" t="s">
        <v>252</v>
      </c>
      <c r="J140">
        <f t="shared" si="41"/>
        <v>0</v>
      </c>
      <c r="K140">
        <f t="shared" si="42"/>
        <v>0</v>
      </c>
      <c r="L140" s="251">
        <f t="shared" si="34"/>
        <v>0</v>
      </c>
      <c r="M140" s="557">
        <f t="shared" si="35"/>
        <v>0</v>
      </c>
      <c r="N140" s="557">
        <f t="shared" si="27"/>
        <v>0</v>
      </c>
      <c r="O140" s="557">
        <f t="shared" si="28"/>
        <v>0</v>
      </c>
      <c r="P140" s="557">
        <f t="shared" si="29"/>
        <v>0</v>
      </c>
      <c r="Q140" s="226" t="str">
        <f t="shared" si="36"/>
        <v>Y</v>
      </c>
      <c r="R140" s="226">
        <f t="shared" si="30"/>
        <v>0</v>
      </c>
      <c r="S140">
        <f t="shared" si="31"/>
        <v>0</v>
      </c>
      <c r="T140" s="141">
        <f t="shared" si="43"/>
        <v>0</v>
      </c>
      <c r="U140" s="710">
        <f t="shared" si="37"/>
        <v>0</v>
      </c>
      <c r="V140" s="710">
        <f t="shared" si="38"/>
        <v>0</v>
      </c>
      <c r="W140" s="710">
        <f t="shared" si="39"/>
        <v>0</v>
      </c>
      <c r="X140" s="710">
        <f t="shared" si="40"/>
        <v>0</v>
      </c>
      <c r="Y140" s="141">
        <f t="shared" si="32"/>
        <v>0</v>
      </c>
      <c r="AB140" s="777"/>
      <c r="AC140" s="777"/>
      <c r="AD140" t="e">
        <f t="shared" si="26"/>
        <v>#N/A</v>
      </c>
    </row>
    <row r="141" spans="1:30" x14ac:dyDescent="0.2">
      <c r="A141" s="916" t="s">
        <v>174</v>
      </c>
      <c r="B141" t="s">
        <v>2089</v>
      </c>
      <c r="C141" t="s">
        <v>89</v>
      </c>
      <c r="D141">
        <v>3516301</v>
      </c>
      <c r="E141" t="s">
        <v>83</v>
      </c>
      <c r="F141" s="854">
        <v>37196</v>
      </c>
      <c r="G141" s="854"/>
      <c r="H141" s="854"/>
      <c r="I141" s="854" t="s">
        <v>245</v>
      </c>
      <c r="J141">
        <f t="shared" si="41"/>
        <v>0</v>
      </c>
      <c r="K141">
        <f t="shared" si="42"/>
        <v>0</v>
      </c>
      <c r="L141" s="251">
        <f t="shared" si="34"/>
        <v>2.2800000000000001E-2</v>
      </c>
      <c r="M141" s="557">
        <f t="shared" si="35"/>
        <v>0</v>
      </c>
      <c r="N141" s="557">
        <f t="shared" si="27"/>
        <v>0</v>
      </c>
      <c r="O141" s="557">
        <f t="shared" si="28"/>
        <v>0</v>
      </c>
      <c r="P141" s="557">
        <f t="shared" si="29"/>
        <v>0</v>
      </c>
      <c r="Q141" s="226" t="str">
        <f t="shared" si="36"/>
        <v>Y</v>
      </c>
      <c r="R141" s="226">
        <f t="shared" si="30"/>
        <v>0</v>
      </c>
      <c r="S141">
        <f t="shared" si="31"/>
        <v>0</v>
      </c>
      <c r="T141" s="141">
        <f t="shared" si="43"/>
        <v>0</v>
      </c>
      <c r="U141" s="710">
        <f t="shared" si="37"/>
        <v>0</v>
      </c>
      <c r="V141" s="710">
        <f t="shared" si="38"/>
        <v>0</v>
      </c>
      <c r="W141" s="710">
        <f t="shared" si="39"/>
        <v>0</v>
      </c>
      <c r="X141" s="710">
        <f t="shared" si="40"/>
        <v>0</v>
      </c>
      <c r="Y141" s="141">
        <f t="shared" si="32"/>
        <v>0</v>
      </c>
      <c r="AB141" s="777"/>
      <c r="AC141" s="777"/>
      <c r="AD141" t="e">
        <f t="shared" si="26"/>
        <v>#N/A</v>
      </c>
    </row>
    <row r="142" spans="1:30" x14ac:dyDescent="0.2">
      <c r="A142" s="916" t="s">
        <v>174</v>
      </c>
      <c r="B142" t="s">
        <v>2089</v>
      </c>
      <c r="C142" t="s">
        <v>90</v>
      </c>
      <c r="D142">
        <v>3517001</v>
      </c>
      <c r="E142" t="s">
        <v>83</v>
      </c>
      <c r="F142" s="854">
        <v>37196</v>
      </c>
      <c r="G142" s="854"/>
      <c r="H142" s="854"/>
      <c r="I142" s="854" t="s">
        <v>245</v>
      </c>
      <c r="J142">
        <f t="shared" si="41"/>
        <v>0</v>
      </c>
      <c r="K142">
        <f t="shared" si="42"/>
        <v>0</v>
      </c>
      <c r="L142" s="251">
        <f t="shared" si="34"/>
        <v>2.2800000000000001E-2</v>
      </c>
      <c r="M142" s="557">
        <f t="shared" si="35"/>
        <v>0</v>
      </c>
      <c r="N142" s="557">
        <f t="shared" si="27"/>
        <v>0</v>
      </c>
      <c r="O142" s="557">
        <f t="shared" si="28"/>
        <v>0</v>
      </c>
      <c r="P142" s="557">
        <f t="shared" si="29"/>
        <v>0</v>
      </c>
      <c r="Q142" s="226" t="str">
        <f t="shared" si="36"/>
        <v>Y</v>
      </c>
      <c r="R142" s="226">
        <f t="shared" si="30"/>
        <v>0</v>
      </c>
      <c r="S142">
        <f t="shared" si="31"/>
        <v>0</v>
      </c>
      <c r="T142" s="141">
        <f t="shared" si="43"/>
        <v>0</v>
      </c>
      <c r="U142" s="710">
        <f t="shared" si="37"/>
        <v>0</v>
      </c>
      <c r="V142" s="710">
        <f t="shared" si="38"/>
        <v>0</v>
      </c>
      <c r="W142" s="710">
        <f t="shared" si="39"/>
        <v>0</v>
      </c>
      <c r="X142" s="710">
        <f t="shared" si="40"/>
        <v>0</v>
      </c>
      <c r="Y142" s="141">
        <f t="shared" si="32"/>
        <v>0</v>
      </c>
      <c r="AB142" s="777"/>
      <c r="AC142" s="777"/>
      <c r="AD142" t="e">
        <f t="shared" si="26"/>
        <v>#N/A</v>
      </c>
    </row>
    <row r="143" spans="1:30" x14ac:dyDescent="0.2">
      <c r="A143" s="916" t="s">
        <v>174</v>
      </c>
      <c r="B143" t="s">
        <v>2089</v>
      </c>
      <c r="C143" t="s">
        <v>91</v>
      </c>
      <c r="D143">
        <v>3522201</v>
      </c>
      <c r="E143" t="s">
        <v>83</v>
      </c>
      <c r="F143" s="854">
        <v>37196</v>
      </c>
      <c r="G143" s="854"/>
      <c r="H143" s="854"/>
      <c r="I143" s="854" t="s">
        <v>245</v>
      </c>
      <c r="J143">
        <f t="shared" si="41"/>
        <v>0</v>
      </c>
      <c r="K143">
        <f t="shared" si="42"/>
        <v>0</v>
      </c>
      <c r="L143" s="251">
        <f t="shared" si="34"/>
        <v>2.2800000000000001E-2</v>
      </c>
      <c r="M143" s="557">
        <f t="shared" si="35"/>
        <v>0</v>
      </c>
      <c r="N143" s="557">
        <f t="shared" si="27"/>
        <v>0</v>
      </c>
      <c r="O143" s="557">
        <f t="shared" si="28"/>
        <v>0</v>
      </c>
      <c r="P143" s="557">
        <f t="shared" si="29"/>
        <v>0</v>
      </c>
      <c r="Q143" s="226" t="str">
        <f t="shared" si="36"/>
        <v>Y</v>
      </c>
      <c r="R143" s="226">
        <f t="shared" si="30"/>
        <v>0</v>
      </c>
      <c r="S143">
        <f t="shared" si="31"/>
        <v>0</v>
      </c>
      <c r="T143" s="141">
        <f t="shared" si="43"/>
        <v>0</v>
      </c>
      <c r="U143" s="710">
        <f t="shared" si="37"/>
        <v>0</v>
      </c>
      <c r="V143" s="710">
        <f t="shared" si="38"/>
        <v>0</v>
      </c>
      <c r="W143" s="710">
        <f t="shared" si="39"/>
        <v>0</v>
      </c>
      <c r="X143" s="710">
        <f t="shared" si="40"/>
        <v>0</v>
      </c>
      <c r="Y143" s="141">
        <f t="shared" si="32"/>
        <v>0</v>
      </c>
      <c r="AB143" s="777"/>
      <c r="AC143" s="777"/>
      <c r="AD143" t="e">
        <f t="shared" si="26"/>
        <v>#N/A</v>
      </c>
    </row>
    <row r="144" spans="1:30" x14ac:dyDescent="0.2">
      <c r="A144" s="916" t="s">
        <v>174</v>
      </c>
      <c r="B144" t="s">
        <v>2089</v>
      </c>
      <c r="C144" t="s">
        <v>92</v>
      </c>
      <c r="D144">
        <v>3522901</v>
      </c>
      <c r="E144" t="s">
        <v>83</v>
      </c>
      <c r="F144" s="854">
        <v>37196</v>
      </c>
      <c r="G144" s="854"/>
      <c r="H144" s="854"/>
      <c r="I144" s="854" t="s">
        <v>245</v>
      </c>
      <c r="J144">
        <f t="shared" si="41"/>
        <v>0</v>
      </c>
      <c r="K144">
        <f t="shared" si="42"/>
        <v>0</v>
      </c>
      <c r="L144" s="251">
        <f t="shared" si="34"/>
        <v>2.2800000000000001E-2</v>
      </c>
      <c r="M144" s="557">
        <f t="shared" si="35"/>
        <v>0</v>
      </c>
      <c r="N144" s="557">
        <f t="shared" si="27"/>
        <v>0</v>
      </c>
      <c r="O144" s="557">
        <f t="shared" si="28"/>
        <v>0</v>
      </c>
      <c r="P144" s="557">
        <f t="shared" si="29"/>
        <v>0</v>
      </c>
      <c r="Q144" s="226" t="str">
        <f t="shared" si="36"/>
        <v>Y</v>
      </c>
      <c r="R144" s="226">
        <f t="shared" si="30"/>
        <v>0</v>
      </c>
      <c r="S144">
        <f t="shared" si="31"/>
        <v>0</v>
      </c>
      <c r="T144" s="141">
        <f t="shared" si="43"/>
        <v>0</v>
      </c>
      <c r="U144" s="710">
        <f t="shared" si="37"/>
        <v>0</v>
      </c>
      <c r="V144" s="710">
        <f t="shared" si="38"/>
        <v>0</v>
      </c>
      <c r="W144" s="710">
        <f t="shared" si="39"/>
        <v>0</v>
      </c>
      <c r="X144" s="710">
        <f t="shared" si="40"/>
        <v>0</v>
      </c>
      <c r="Y144" s="141">
        <f t="shared" si="32"/>
        <v>0</v>
      </c>
      <c r="AB144" s="777"/>
      <c r="AC144" s="777"/>
      <c r="AD144" t="e">
        <f t="shared" si="26"/>
        <v>#N/A</v>
      </c>
    </row>
    <row r="145" spans="1:30" x14ac:dyDescent="0.2">
      <c r="A145" s="916" t="s">
        <v>174</v>
      </c>
      <c r="B145" t="s">
        <v>2089</v>
      </c>
      <c r="C145" t="s">
        <v>1326</v>
      </c>
      <c r="D145">
        <v>3524201</v>
      </c>
      <c r="E145" t="s">
        <v>1092</v>
      </c>
      <c r="F145" s="854">
        <v>37196</v>
      </c>
      <c r="G145" s="854"/>
      <c r="H145" s="854"/>
      <c r="I145" s="854" t="s">
        <v>245</v>
      </c>
      <c r="J145">
        <f t="shared" si="41"/>
        <v>0</v>
      </c>
      <c r="K145">
        <f t="shared" si="42"/>
        <v>0</v>
      </c>
      <c r="L145" s="251">
        <f t="shared" si="34"/>
        <v>2.2800000000000001E-2</v>
      </c>
      <c r="M145" s="557">
        <f t="shared" si="35"/>
        <v>0</v>
      </c>
      <c r="N145" s="557">
        <f t="shared" si="27"/>
        <v>0</v>
      </c>
      <c r="O145" s="557">
        <f t="shared" si="28"/>
        <v>0</v>
      </c>
      <c r="P145" s="557">
        <f t="shared" si="29"/>
        <v>0</v>
      </c>
      <c r="Q145" s="226" t="str">
        <f t="shared" si="36"/>
        <v>Y</v>
      </c>
      <c r="R145" s="226">
        <f t="shared" si="30"/>
        <v>0</v>
      </c>
      <c r="S145">
        <f t="shared" si="31"/>
        <v>0</v>
      </c>
      <c r="T145" s="141">
        <f t="shared" si="43"/>
        <v>0</v>
      </c>
      <c r="U145" s="710">
        <f t="shared" si="37"/>
        <v>0</v>
      </c>
      <c r="V145" s="710">
        <f t="shared" si="38"/>
        <v>0</v>
      </c>
      <c r="W145" s="710">
        <f t="shared" si="39"/>
        <v>0</v>
      </c>
      <c r="X145" s="710">
        <f t="shared" si="40"/>
        <v>0</v>
      </c>
      <c r="Y145" s="141">
        <f t="shared" si="32"/>
        <v>0</v>
      </c>
      <c r="AB145" s="777"/>
      <c r="AC145" s="777"/>
      <c r="AD145" t="e">
        <f t="shared" si="26"/>
        <v>#N/A</v>
      </c>
    </row>
    <row r="146" spans="1:30" x14ac:dyDescent="0.2">
      <c r="A146" s="916" t="s">
        <v>174</v>
      </c>
      <c r="B146" t="s">
        <v>2091</v>
      </c>
      <c r="C146" t="s">
        <v>1376</v>
      </c>
      <c r="D146">
        <v>3525501</v>
      </c>
      <c r="E146" t="s">
        <v>1092</v>
      </c>
      <c r="F146" s="854">
        <v>37196</v>
      </c>
      <c r="G146" s="854"/>
      <c r="H146" s="854"/>
      <c r="I146" s="854" t="s">
        <v>244</v>
      </c>
      <c r="J146">
        <f t="shared" si="41"/>
        <v>0</v>
      </c>
      <c r="K146">
        <f t="shared" si="42"/>
        <v>0</v>
      </c>
      <c r="L146" s="251">
        <f t="shared" si="34"/>
        <v>2.2800000000000001E-2</v>
      </c>
      <c r="M146" s="557">
        <f t="shared" si="35"/>
        <v>0</v>
      </c>
      <c r="N146" s="557">
        <f t="shared" si="27"/>
        <v>0</v>
      </c>
      <c r="O146" s="557">
        <f t="shared" si="28"/>
        <v>0</v>
      </c>
      <c r="P146" s="557">
        <f t="shared" si="29"/>
        <v>0</v>
      </c>
      <c r="Q146" s="226" t="str">
        <f t="shared" si="36"/>
        <v>Y</v>
      </c>
      <c r="R146" s="226">
        <f t="shared" si="30"/>
        <v>0</v>
      </c>
      <c r="S146">
        <f t="shared" si="31"/>
        <v>0</v>
      </c>
      <c r="T146" s="141">
        <f t="shared" si="43"/>
        <v>0</v>
      </c>
      <c r="U146" s="710">
        <f t="shared" si="37"/>
        <v>0</v>
      </c>
      <c r="V146" s="710">
        <f t="shared" si="38"/>
        <v>0</v>
      </c>
      <c r="W146" s="710">
        <f t="shared" si="39"/>
        <v>0</v>
      </c>
      <c r="X146" s="710">
        <f t="shared" si="40"/>
        <v>0</v>
      </c>
      <c r="Y146" s="141">
        <f t="shared" si="32"/>
        <v>0</v>
      </c>
      <c r="AB146" s="777"/>
      <c r="AC146" s="777"/>
      <c r="AD146" t="e">
        <f t="shared" si="26"/>
        <v>#N/A</v>
      </c>
    </row>
    <row r="147" spans="1:30" x14ac:dyDescent="0.2">
      <c r="A147" s="916" t="s">
        <v>174</v>
      </c>
      <c r="B147" t="s">
        <v>2089</v>
      </c>
      <c r="C147" t="s">
        <v>1342</v>
      </c>
      <c r="D147">
        <v>3526101</v>
      </c>
      <c r="E147" t="s">
        <v>1092</v>
      </c>
      <c r="F147" s="854">
        <v>37196</v>
      </c>
      <c r="G147" s="854"/>
      <c r="H147" s="854"/>
      <c r="I147" s="854" t="s">
        <v>245</v>
      </c>
      <c r="J147">
        <f t="shared" si="41"/>
        <v>0</v>
      </c>
      <c r="K147">
        <f t="shared" si="42"/>
        <v>0</v>
      </c>
      <c r="L147" s="251">
        <f t="shared" si="34"/>
        <v>2.2800000000000001E-2</v>
      </c>
      <c r="M147" s="557">
        <f t="shared" si="35"/>
        <v>0</v>
      </c>
      <c r="N147" s="557">
        <f t="shared" si="27"/>
        <v>0</v>
      </c>
      <c r="O147" s="557">
        <f t="shared" si="28"/>
        <v>0</v>
      </c>
      <c r="P147" s="557">
        <f t="shared" si="29"/>
        <v>0</v>
      </c>
      <c r="Q147" s="226" t="str">
        <f t="shared" si="36"/>
        <v>Y</v>
      </c>
      <c r="R147" s="226">
        <f t="shared" si="30"/>
        <v>0</v>
      </c>
      <c r="S147">
        <f t="shared" si="31"/>
        <v>0</v>
      </c>
      <c r="T147" s="141">
        <f t="shared" si="43"/>
        <v>0</v>
      </c>
      <c r="U147" s="710">
        <f t="shared" si="37"/>
        <v>0</v>
      </c>
      <c r="V147" s="710">
        <f t="shared" si="38"/>
        <v>0</v>
      </c>
      <c r="W147" s="710">
        <f t="shared" si="39"/>
        <v>0</v>
      </c>
      <c r="X147" s="710">
        <f t="shared" si="40"/>
        <v>0</v>
      </c>
      <c r="Y147" s="141">
        <f t="shared" si="32"/>
        <v>0</v>
      </c>
      <c r="AB147" s="777"/>
      <c r="AC147" s="777"/>
      <c r="AD147" t="e">
        <f t="shared" si="26"/>
        <v>#N/A</v>
      </c>
    </row>
    <row r="148" spans="1:30" x14ac:dyDescent="0.2">
      <c r="A148" s="916" t="s">
        <v>174</v>
      </c>
      <c r="B148" t="s">
        <v>2089</v>
      </c>
      <c r="C148" t="s">
        <v>93</v>
      </c>
      <c r="D148">
        <v>3528901</v>
      </c>
      <c r="E148" t="s">
        <v>83</v>
      </c>
      <c r="F148" s="854">
        <v>37196</v>
      </c>
      <c r="G148" s="854"/>
      <c r="H148" s="854"/>
      <c r="I148" s="854" t="s">
        <v>245</v>
      </c>
      <c r="J148">
        <f t="shared" si="41"/>
        <v>0</v>
      </c>
      <c r="K148">
        <f t="shared" si="42"/>
        <v>0</v>
      </c>
      <c r="L148" s="251">
        <f t="shared" si="34"/>
        <v>2.2800000000000001E-2</v>
      </c>
      <c r="M148" s="557">
        <f t="shared" si="35"/>
        <v>0</v>
      </c>
      <c r="N148" s="557">
        <f t="shared" si="27"/>
        <v>0</v>
      </c>
      <c r="O148" s="557">
        <f t="shared" si="28"/>
        <v>0</v>
      </c>
      <c r="P148" s="557">
        <f t="shared" si="29"/>
        <v>0</v>
      </c>
      <c r="Q148" s="226" t="str">
        <f t="shared" si="36"/>
        <v>Y</v>
      </c>
      <c r="R148" s="226">
        <f t="shared" si="30"/>
        <v>0</v>
      </c>
      <c r="S148">
        <f t="shared" si="31"/>
        <v>0</v>
      </c>
      <c r="T148" s="141">
        <f t="shared" si="43"/>
        <v>0</v>
      </c>
      <c r="U148" s="710">
        <f t="shared" si="37"/>
        <v>0</v>
      </c>
      <c r="V148" s="710">
        <f t="shared" si="38"/>
        <v>0</v>
      </c>
      <c r="W148" s="710">
        <f t="shared" si="39"/>
        <v>0</v>
      </c>
      <c r="X148" s="710">
        <f t="shared" si="40"/>
        <v>0</v>
      </c>
      <c r="Y148" s="141">
        <f t="shared" si="32"/>
        <v>0</v>
      </c>
      <c r="AB148" s="777"/>
      <c r="AC148" s="777"/>
      <c r="AD148" t="e">
        <f t="shared" si="26"/>
        <v>#N/A</v>
      </c>
    </row>
    <row r="149" spans="1:30" x14ac:dyDescent="0.2">
      <c r="A149" s="916" t="s">
        <v>174</v>
      </c>
      <c r="B149" t="s">
        <v>2089</v>
      </c>
      <c r="C149" t="s">
        <v>94</v>
      </c>
      <c r="D149">
        <v>3529001</v>
      </c>
      <c r="E149" t="s">
        <v>83</v>
      </c>
      <c r="F149" s="854">
        <v>37196</v>
      </c>
      <c r="G149" s="854"/>
      <c r="H149" s="854"/>
      <c r="I149" s="854" t="s">
        <v>245</v>
      </c>
      <c r="J149">
        <f t="shared" si="41"/>
        <v>0</v>
      </c>
      <c r="K149">
        <f t="shared" si="42"/>
        <v>0</v>
      </c>
      <c r="L149" s="251">
        <f t="shared" si="34"/>
        <v>2.2800000000000001E-2</v>
      </c>
      <c r="M149" s="557">
        <f t="shared" si="35"/>
        <v>0</v>
      </c>
      <c r="N149" s="557">
        <f t="shared" si="27"/>
        <v>0</v>
      </c>
      <c r="O149" s="557">
        <f t="shared" si="28"/>
        <v>0</v>
      </c>
      <c r="P149" s="557">
        <f t="shared" si="29"/>
        <v>0</v>
      </c>
      <c r="Q149" s="226" t="str">
        <f t="shared" si="36"/>
        <v>Y</v>
      </c>
      <c r="R149" s="226">
        <f t="shared" si="30"/>
        <v>0</v>
      </c>
      <c r="S149">
        <f t="shared" si="31"/>
        <v>0</v>
      </c>
      <c r="T149" s="141">
        <f t="shared" si="43"/>
        <v>0</v>
      </c>
      <c r="U149" s="710">
        <f t="shared" si="37"/>
        <v>0</v>
      </c>
      <c r="V149" s="710">
        <f t="shared" si="38"/>
        <v>0</v>
      </c>
      <c r="W149" s="710">
        <f t="shared" si="39"/>
        <v>0</v>
      </c>
      <c r="X149" s="710">
        <f t="shared" si="40"/>
        <v>0</v>
      </c>
      <c r="Y149" s="141">
        <f t="shared" si="32"/>
        <v>0</v>
      </c>
      <c r="AB149" s="777"/>
      <c r="AC149" s="777"/>
      <c r="AD149" t="e">
        <f t="shared" si="26"/>
        <v>#N/A</v>
      </c>
    </row>
    <row r="150" spans="1:30" x14ac:dyDescent="0.2">
      <c r="A150" s="916" t="s">
        <v>174</v>
      </c>
      <c r="B150" t="s">
        <v>2089</v>
      </c>
      <c r="C150" t="s">
        <v>95</v>
      </c>
      <c r="D150">
        <v>3529101</v>
      </c>
      <c r="E150" t="s">
        <v>83</v>
      </c>
      <c r="F150" s="854">
        <v>37196</v>
      </c>
      <c r="G150" s="854"/>
      <c r="H150" s="854"/>
      <c r="I150" s="854" t="s">
        <v>245</v>
      </c>
      <c r="J150">
        <f t="shared" si="41"/>
        <v>0</v>
      </c>
      <c r="K150">
        <f t="shared" si="42"/>
        <v>0</v>
      </c>
      <c r="L150" s="251">
        <f t="shared" si="34"/>
        <v>2.2800000000000001E-2</v>
      </c>
      <c r="M150" s="557">
        <f t="shared" si="35"/>
        <v>0</v>
      </c>
      <c r="N150" s="557">
        <f t="shared" si="27"/>
        <v>0</v>
      </c>
      <c r="O150" s="557">
        <f t="shared" si="28"/>
        <v>0</v>
      </c>
      <c r="P150" s="557">
        <f t="shared" si="29"/>
        <v>0</v>
      </c>
      <c r="Q150" s="226" t="str">
        <f t="shared" si="36"/>
        <v>Y</v>
      </c>
      <c r="R150" s="226">
        <f t="shared" si="30"/>
        <v>0</v>
      </c>
      <c r="S150">
        <f t="shared" si="31"/>
        <v>0</v>
      </c>
      <c r="T150" s="141">
        <f t="shared" si="43"/>
        <v>0</v>
      </c>
      <c r="U150" s="710">
        <f t="shared" si="37"/>
        <v>0</v>
      </c>
      <c r="V150" s="710">
        <f t="shared" si="38"/>
        <v>0</v>
      </c>
      <c r="W150" s="710">
        <f t="shared" si="39"/>
        <v>0</v>
      </c>
      <c r="X150" s="710">
        <f t="shared" si="40"/>
        <v>0</v>
      </c>
      <c r="Y150" s="141">
        <f t="shared" si="32"/>
        <v>0</v>
      </c>
      <c r="AB150" s="777"/>
      <c r="AC150" s="777"/>
      <c r="AD150" t="e">
        <f t="shared" si="26"/>
        <v>#N/A</v>
      </c>
    </row>
    <row r="151" spans="1:30" x14ac:dyDescent="0.2">
      <c r="A151" s="916" t="s">
        <v>174</v>
      </c>
      <c r="B151" t="s">
        <v>2089</v>
      </c>
      <c r="C151" t="s">
        <v>96</v>
      </c>
      <c r="D151">
        <v>3532301</v>
      </c>
      <c r="E151" t="s">
        <v>83</v>
      </c>
      <c r="F151" s="854">
        <v>37196</v>
      </c>
      <c r="G151" s="854"/>
      <c r="H151" s="854"/>
      <c r="I151" s="854" t="s">
        <v>245</v>
      </c>
      <c r="J151">
        <f t="shared" si="41"/>
        <v>0</v>
      </c>
      <c r="K151">
        <f t="shared" si="42"/>
        <v>0</v>
      </c>
      <c r="L151" s="251">
        <f t="shared" si="34"/>
        <v>2.2800000000000001E-2</v>
      </c>
      <c r="M151" s="557">
        <f t="shared" si="35"/>
        <v>0</v>
      </c>
      <c r="N151" s="557">
        <f t="shared" si="27"/>
        <v>0</v>
      </c>
      <c r="O151" s="557">
        <f t="shared" si="28"/>
        <v>0</v>
      </c>
      <c r="P151" s="557">
        <f t="shared" si="29"/>
        <v>0</v>
      </c>
      <c r="Q151" s="226" t="str">
        <f t="shared" si="36"/>
        <v>Y</v>
      </c>
      <c r="R151" s="226">
        <f t="shared" si="30"/>
        <v>0</v>
      </c>
      <c r="S151">
        <f t="shared" si="31"/>
        <v>0</v>
      </c>
      <c r="T151" s="141">
        <f t="shared" si="43"/>
        <v>0</v>
      </c>
      <c r="U151" s="710">
        <f t="shared" si="37"/>
        <v>0</v>
      </c>
      <c r="V151" s="710">
        <f t="shared" si="38"/>
        <v>0</v>
      </c>
      <c r="W151" s="710">
        <f t="shared" si="39"/>
        <v>0</v>
      </c>
      <c r="X151" s="710">
        <f t="shared" si="40"/>
        <v>0</v>
      </c>
      <c r="Y151" s="141">
        <f t="shared" si="32"/>
        <v>0</v>
      </c>
      <c r="AB151" s="777"/>
      <c r="AC151" s="777"/>
      <c r="AD151" t="e">
        <f t="shared" si="26"/>
        <v>#N/A</v>
      </c>
    </row>
    <row r="152" spans="1:30" x14ac:dyDescent="0.2">
      <c r="A152" s="916" t="s">
        <v>174</v>
      </c>
      <c r="B152" t="s">
        <v>2089</v>
      </c>
      <c r="C152" t="s">
        <v>2103</v>
      </c>
      <c r="D152">
        <v>3533901</v>
      </c>
      <c r="E152" t="s">
        <v>1083</v>
      </c>
      <c r="F152" s="854">
        <v>37196</v>
      </c>
      <c r="G152" s="854"/>
      <c r="H152" s="854"/>
      <c r="I152" s="854" t="s">
        <v>245</v>
      </c>
      <c r="J152">
        <f t="shared" si="41"/>
        <v>0</v>
      </c>
      <c r="K152">
        <f t="shared" si="42"/>
        <v>0</v>
      </c>
      <c r="L152" s="251">
        <f t="shared" si="34"/>
        <v>2.2800000000000001E-2</v>
      </c>
      <c r="M152" s="557">
        <f t="shared" si="35"/>
        <v>0</v>
      </c>
      <c r="N152" s="557">
        <f t="shared" si="27"/>
        <v>0</v>
      </c>
      <c r="O152" s="557">
        <f t="shared" si="28"/>
        <v>0</v>
      </c>
      <c r="P152" s="557">
        <f t="shared" si="29"/>
        <v>0</v>
      </c>
      <c r="Q152" s="226" t="str">
        <f t="shared" si="36"/>
        <v>Y</v>
      </c>
      <c r="R152" s="226">
        <f t="shared" si="30"/>
        <v>0</v>
      </c>
      <c r="S152">
        <f t="shared" si="31"/>
        <v>0</v>
      </c>
      <c r="T152" s="141">
        <f t="shared" si="43"/>
        <v>0</v>
      </c>
      <c r="U152" s="710">
        <f t="shared" si="37"/>
        <v>0</v>
      </c>
      <c r="V152" s="710">
        <f t="shared" si="38"/>
        <v>0</v>
      </c>
      <c r="W152" s="710">
        <f t="shared" si="39"/>
        <v>0</v>
      </c>
      <c r="X152" s="710">
        <f t="shared" si="40"/>
        <v>0</v>
      </c>
      <c r="Y152" s="141">
        <f t="shared" si="32"/>
        <v>0</v>
      </c>
      <c r="AB152" s="777"/>
      <c r="AC152" s="777"/>
      <c r="AD152" t="e">
        <f t="shared" si="26"/>
        <v>#N/A</v>
      </c>
    </row>
    <row r="153" spans="1:30" x14ac:dyDescent="0.2">
      <c r="A153" s="916" t="s">
        <v>174</v>
      </c>
      <c r="B153" t="s">
        <v>2089</v>
      </c>
      <c r="C153" t="s">
        <v>97</v>
      </c>
      <c r="D153">
        <v>3539901</v>
      </c>
      <c r="E153" t="s">
        <v>62</v>
      </c>
      <c r="F153" s="854">
        <v>37196</v>
      </c>
      <c r="G153" s="854"/>
      <c r="H153" s="854"/>
      <c r="I153" s="854" t="s">
        <v>245</v>
      </c>
      <c r="J153">
        <f t="shared" si="41"/>
        <v>0</v>
      </c>
      <c r="K153">
        <f t="shared" si="42"/>
        <v>0</v>
      </c>
      <c r="L153" s="251">
        <f t="shared" si="34"/>
        <v>2.2800000000000001E-2</v>
      </c>
      <c r="M153" s="557">
        <f t="shared" si="35"/>
        <v>0</v>
      </c>
      <c r="N153" s="557">
        <f t="shared" si="27"/>
        <v>0</v>
      </c>
      <c r="O153" s="557">
        <f t="shared" si="28"/>
        <v>0</v>
      </c>
      <c r="P153" s="557">
        <f t="shared" si="29"/>
        <v>0</v>
      </c>
      <c r="Q153" s="226" t="str">
        <f t="shared" si="36"/>
        <v>Y</v>
      </c>
      <c r="R153" s="226">
        <f t="shared" si="30"/>
        <v>0</v>
      </c>
      <c r="S153">
        <f t="shared" si="31"/>
        <v>0</v>
      </c>
      <c r="T153" s="141">
        <f t="shared" si="43"/>
        <v>0</v>
      </c>
      <c r="U153" s="710">
        <f t="shared" si="37"/>
        <v>0</v>
      </c>
      <c r="V153" s="710">
        <f t="shared" si="38"/>
        <v>0</v>
      </c>
      <c r="W153" s="710">
        <f t="shared" si="39"/>
        <v>0</v>
      </c>
      <c r="X153" s="710">
        <f t="shared" si="40"/>
        <v>0</v>
      </c>
      <c r="Y153" s="141">
        <f t="shared" si="32"/>
        <v>0</v>
      </c>
      <c r="AB153" s="777"/>
      <c r="AC153" s="777"/>
      <c r="AD153" t="e">
        <f t="shared" si="26"/>
        <v>#N/A</v>
      </c>
    </row>
    <row r="154" spans="1:30" x14ac:dyDescent="0.2">
      <c r="A154" s="916" t="s">
        <v>174</v>
      </c>
      <c r="B154" t="s">
        <v>2089</v>
      </c>
      <c r="C154" t="s">
        <v>98</v>
      </c>
      <c r="D154">
        <v>3540501</v>
      </c>
      <c r="E154" t="s">
        <v>83</v>
      </c>
      <c r="F154" s="854">
        <v>37196</v>
      </c>
      <c r="G154" s="854"/>
      <c r="H154" s="854"/>
      <c r="I154" s="854" t="s">
        <v>245</v>
      </c>
      <c r="J154">
        <f t="shared" si="41"/>
        <v>0</v>
      </c>
      <c r="K154">
        <f t="shared" si="42"/>
        <v>0</v>
      </c>
      <c r="L154" s="251">
        <f t="shared" si="34"/>
        <v>2.2800000000000001E-2</v>
      </c>
      <c r="M154" s="557">
        <f t="shared" si="35"/>
        <v>0</v>
      </c>
      <c r="N154" s="557">
        <f t="shared" si="27"/>
        <v>0</v>
      </c>
      <c r="O154" s="557">
        <f t="shared" si="28"/>
        <v>0</v>
      </c>
      <c r="P154" s="557">
        <f t="shared" si="29"/>
        <v>0</v>
      </c>
      <c r="Q154" s="226" t="str">
        <f t="shared" si="36"/>
        <v>Y</v>
      </c>
      <c r="R154" s="226">
        <f t="shared" si="30"/>
        <v>0</v>
      </c>
      <c r="S154">
        <f t="shared" si="31"/>
        <v>0</v>
      </c>
      <c r="T154" s="141">
        <f t="shared" si="43"/>
        <v>0</v>
      </c>
      <c r="U154" s="710">
        <f t="shared" si="37"/>
        <v>0</v>
      </c>
      <c r="V154" s="710">
        <f t="shared" si="38"/>
        <v>0</v>
      </c>
      <c r="W154" s="710">
        <f t="shared" si="39"/>
        <v>0</v>
      </c>
      <c r="X154" s="710">
        <f t="shared" si="40"/>
        <v>0</v>
      </c>
      <c r="Y154" s="141">
        <f t="shared" si="32"/>
        <v>0</v>
      </c>
      <c r="AB154" s="777"/>
      <c r="AC154" s="777"/>
      <c r="AD154" t="e">
        <f t="shared" si="26"/>
        <v>#N/A</v>
      </c>
    </row>
    <row r="155" spans="1:30" x14ac:dyDescent="0.2">
      <c r="A155" s="916" t="s">
        <v>174</v>
      </c>
      <c r="B155" t="s">
        <v>2089</v>
      </c>
      <c r="C155" t="s">
        <v>1327</v>
      </c>
      <c r="D155">
        <v>3541601</v>
      </c>
      <c r="E155" t="s">
        <v>1092</v>
      </c>
      <c r="F155" s="854">
        <v>37196</v>
      </c>
      <c r="G155" s="854"/>
      <c r="H155" s="854"/>
      <c r="I155" s="854" t="s">
        <v>245</v>
      </c>
      <c r="J155">
        <f t="shared" si="41"/>
        <v>0</v>
      </c>
      <c r="K155">
        <f t="shared" si="42"/>
        <v>0</v>
      </c>
      <c r="L155" s="251">
        <f t="shared" si="34"/>
        <v>2.2800000000000001E-2</v>
      </c>
      <c r="M155" s="557">
        <f t="shared" si="35"/>
        <v>0</v>
      </c>
      <c r="N155" s="557">
        <f t="shared" si="27"/>
        <v>0</v>
      </c>
      <c r="O155" s="557">
        <f t="shared" si="28"/>
        <v>0</v>
      </c>
      <c r="P155" s="557">
        <f t="shared" si="29"/>
        <v>0</v>
      </c>
      <c r="Q155" s="226" t="str">
        <f t="shared" si="36"/>
        <v>Y</v>
      </c>
      <c r="R155" s="226">
        <f t="shared" si="30"/>
        <v>0</v>
      </c>
      <c r="S155">
        <f t="shared" si="31"/>
        <v>0</v>
      </c>
      <c r="T155" s="141">
        <f t="shared" si="43"/>
        <v>0</v>
      </c>
      <c r="U155" s="710">
        <f t="shared" si="37"/>
        <v>0</v>
      </c>
      <c r="V155" s="710">
        <f t="shared" si="38"/>
        <v>0</v>
      </c>
      <c r="W155" s="710">
        <f t="shared" si="39"/>
        <v>0</v>
      </c>
      <c r="X155" s="710">
        <f t="shared" si="40"/>
        <v>0</v>
      </c>
      <c r="Y155" s="141">
        <f t="shared" si="32"/>
        <v>0</v>
      </c>
      <c r="AB155" s="777"/>
      <c r="AC155" s="777"/>
      <c r="AD155" t="e">
        <f t="shared" si="26"/>
        <v>#N/A</v>
      </c>
    </row>
    <row r="156" spans="1:30" x14ac:dyDescent="0.2">
      <c r="A156" s="916" t="s">
        <v>174</v>
      </c>
      <c r="B156" t="s">
        <v>2089</v>
      </c>
      <c r="C156" t="s">
        <v>99</v>
      </c>
      <c r="D156">
        <v>3542401</v>
      </c>
      <c r="E156" t="s">
        <v>83</v>
      </c>
      <c r="F156" s="854">
        <v>37196</v>
      </c>
      <c r="G156" s="854"/>
      <c r="H156" s="854"/>
      <c r="I156" s="854" t="s">
        <v>245</v>
      </c>
      <c r="J156">
        <f t="shared" si="41"/>
        <v>0</v>
      </c>
      <c r="K156">
        <f t="shared" si="42"/>
        <v>0</v>
      </c>
      <c r="L156" s="251">
        <f t="shared" si="34"/>
        <v>2.2800000000000001E-2</v>
      </c>
      <c r="M156" s="557">
        <f t="shared" si="35"/>
        <v>0</v>
      </c>
      <c r="N156" s="557">
        <f t="shared" si="27"/>
        <v>0</v>
      </c>
      <c r="O156" s="557">
        <f t="shared" si="28"/>
        <v>0</v>
      </c>
      <c r="P156" s="557">
        <f t="shared" si="29"/>
        <v>0</v>
      </c>
      <c r="Q156" s="226" t="str">
        <f t="shared" si="36"/>
        <v>Y</v>
      </c>
      <c r="R156" s="226">
        <f t="shared" si="30"/>
        <v>0</v>
      </c>
      <c r="S156">
        <f t="shared" si="31"/>
        <v>0</v>
      </c>
      <c r="T156" s="141">
        <f t="shared" si="43"/>
        <v>0</v>
      </c>
      <c r="U156" s="710">
        <f t="shared" si="37"/>
        <v>0</v>
      </c>
      <c r="V156" s="710">
        <f t="shared" si="38"/>
        <v>0</v>
      </c>
      <c r="W156" s="710">
        <f t="shared" si="39"/>
        <v>0</v>
      </c>
      <c r="X156" s="710">
        <f t="shared" si="40"/>
        <v>0</v>
      </c>
      <c r="Y156" s="141">
        <f t="shared" si="32"/>
        <v>0</v>
      </c>
      <c r="AB156" s="777"/>
      <c r="AC156" s="777"/>
      <c r="AD156" t="e">
        <f t="shared" si="26"/>
        <v>#N/A</v>
      </c>
    </row>
    <row r="157" spans="1:30" x14ac:dyDescent="0.2">
      <c r="A157" s="916" t="s">
        <v>174</v>
      </c>
      <c r="B157" t="s">
        <v>2089</v>
      </c>
      <c r="C157" t="s">
        <v>100</v>
      </c>
      <c r="D157">
        <v>3543801</v>
      </c>
      <c r="E157" t="s">
        <v>101</v>
      </c>
      <c r="F157" s="854">
        <v>37196</v>
      </c>
      <c r="G157" s="854"/>
      <c r="H157" s="854"/>
      <c r="I157" s="854" t="s">
        <v>245</v>
      </c>
      <c r="J157">
        <f t="shared" si="41"/>
        <v>0</v>
      </c>
      <c r="K157">
        <f t="shared" si="42"/>
        <v>0</v>
      </c>
      <c r="L157" s="251">
        <f t="shared" si="34"/>
        <v>2.2800000000000001E-2</v>
      </c>
      <c r="M157" s="557">
        <f t="shared" si="35"/>
        <v>0</v>
      </c>
      <c r="N157" s="557">
        <f t="shared" si="27"/>
        <v>0</v>
      </c>
      <c r="O157" s="557">
        <f t="shared" si="28"/>
        <v>0</v>
      </c>
      <c r="P157" s="557">
        <f t="shared" si="29"/>
        <v>0</v>
      </c>
      <c r="Q157" s="226" t="str">
        <f t="shared" si="36"/>
        <v>Y</v>
      </c>
      <c r="R157" s="226">
        <f t="shared" si="30"/>
        <v>0</v>
      </c>
      <c r="S157">
        <f t="shared" si="31"/>
        <v>0</v>
      </c>
      <c r="T157" s="141">
        <f t="shared" si="43"/>
        <v>0</v>
      </c>
      <c r="U157" s="710">
        <f t="shared" si="37"/>
        <v>0</v>
      </c>
      <c r="V157" s="710">
        <f t="shared" si="38"/>
        <v>0</v>
      </c>
      <c r="W157" s="710">
        <f t="shared" si="39"/>
        <v>0</v>
      </c>
      <c r="X157" s="710">
        <f t="shared" si="40"/>
        <v>0</v>
      </c>
      <c r="Y157" s="141">
        <f t="shared" si="32"/>
        <v>0</v>
      </c>
      <c r="AB157" s="777"/>
      <c r="AC157" s="777"/>
      <c r="AD157" t="e">
        <f t="shared" si="26"/>
        <v>#N/A</v>
      </c>
    </row>
    <row r="158" spans="1:30" x14ac:dyDescent="0.2">
      <c r="A158" s="916" t="s">
        <v>174</v>
      </c>
      <c r="B158" t="s">
        <v>2089</v>
      </c>
      <c r="C158" t="s">
        <v>1127</v>
      </c>
      <c r="D158">
        <v>3549301</v>
      </c>
      <c r="E158" t="s">
        <v>1128</v>
      </c>
      <c r="F158" s="854">
        <v>37196</v>
      </c>
      <c r="G158" s="854"/>
      <c r="H158" s="854"/>
      <c r="I158" s="854" t="s">
        <v>245</v>
      </c>
      <c r="J158">
        <f t="shared" si="41"/>
        <v>0</v>
      </c>
      <c r="K158">
        <f t="shared" si="42"/>
        <v>0</v>
      </c>
      <c r="L158" s="251">
        <f t="shared" si="34"/>
        <v>2.2800000000000001E-2</v>
      </c>
      <c r="M158" s="557">
        <f t="shared" si="35"/>
        <v>0</v>
      </c>
      <c r="N158" s="557">
        <f t="shared" si="27"/>
        <v>0</v>
      </c>
      <c r="O158" s="557">
        <f t="shared" si="28"/>
        <v>0</v>
      </c>
      <c r="P158" s="557">
        <f t="shared" si="29"/>
        <v>0</v>
      </c>
      <c r="Q158" s="226" t="str">
        <f t="shared" si="36"/>
        <v>Y</v>
      </c>
      <c r="R158" s="226">
        <f t="shared" si="30"/>
        <v>0</v>
      </c>
      <c r="S158">
        <f t="shared" si="31"/>
        <v>0</v>
      </c>
      <c r="T158" s="141">
        <f t="shared" si="43"/>
        <v>0</v>
      </c>
      <c r="U158" s="710">
        <f t="shared" si="37"/>
        <v>0</v>
      </c>
      <c r="V158" s="710">
        <f t="shared" si="38"/>
        <v>0</v>
      </c>
      <c r="W158" s="710">
        <f t="shared" si="39"/>
        <v>0</v>
      </c>
      <c r="X158" s="710">
        <f t="shared" si="40"/>
        <v>0</v>
      </c>
      <c r="Y158" s="141">
        <f t="shared" si="32"/>
        <v>0</v>
      </c>
      <c r="AB158" s="777"/>
      <c r="AC158" s="777"/>
      <c r="AD158" t="e">
        <f t="shared" si="26"/>
        <v>#N/A</v>
      </c>
    </row>
    <row r="159" spans="1:30" x14ac:dyDescent="0.2">
      <c r="A159" s="916" t="s">
        <v>174</v>
      </c>
      <c r="B159" t="s">
        <v>2089</v>
      </c>
      <c r="C159" t="s">
        <v>102</v>
      </c>
      <c r="D159">
        <v>3549701</v>
      </c>
      <c r="E159" t="s">
        <v>25</v>
      </c>
      <c r="F159" s="854">
        <v>37196</v>
      </c>
      <c r="G159" s="854"/>
      <c r="H159" s="854"/>
      <c r="I159" s="854" t="s">
        <v>245</v>
      </c>
      <c r="J159">
        <f t="shared" si="41"/>
        <v>0</v>
      </c>
      <c r="K159">
        <f t="shared" si="42"/>
        <v>0</v>
      </c>
      <c r="L159" s="251">
        <f t="shared" si="34"/>
        <v>2.2800000000000001E-2</v>
      </c>
      <c r="M159" s="557">
        <f t="shared" si="35"/>
        <v>0</v>
      </c>
      <c r="N159" s="557">
        <f t="shared" si="27"/>
        <v>0</v>
      </c>
      <c r="O159" s="557">
        <f t="shared" si="28"/>
        <v>0</v>
      </c>
      <c r="P159" s="557">
        <f t="shared" si="29"/>
        <v>0</v>
      </c>
      <c r="Q159" s="226" t="str">
        <f t="shared" si="36"/>
        <v>Y</v>
      </c>
      <c r="R159" s="226">
        <f t="shared" si="30"/>
        <v>0</v>
      </c>
      <c r="S159">
        <f t="shared" si="31"/>
        <v>0</v>
      </c>
      <c r="T159" s="141">
        <f t="shared" si="43"/>
        <v>0</v>
      </c>
      <c r="U159" s="710">
        <f t="shared" si="37"/>
        <v>0</v>
      </c>
      <c r="V159" s="710">
        <f t="shared" si="38"/>
        <v>0</v>
      </c>
      <c r="W159" s="710">
        <f t="shared" si="39"/>
        <v>0</v>
      </c>
      <c r="X159" s="710">
        <f t="shared" si="40"/>
        <v>0</v>
      </c>
      <c r="Y159" s="141">
        <f t="shared" si="32"/>
        <v>0</v>
      </c>
      <c r="AB159" s="777"/>
      <c r="AC159" s="777"/>
      <c r="AD159" t="e">
        <f t="shared" si="26"/>
        <v>#N/A</v>
      </c>
    </row>
    <row r="160" spans="1:30" x14ac:dyDescent="0.2">
      <c r="A160" s="916" t="s">
        <v>174</v>
      </c>
      <c r="B160" t="s">
        <v>2089</v>
      </c>
      <c r="C160" t="s">
        <v>1291</v>
      </c>
      <c r="D160">
        <v>3551401</v>
      </c>
      <c r="E160" t="s">
        <v>1150</v>
      </c>
      <c r="F160" s="854">
        <v>37196</v>
      </c>
      <c r="G160" s="854"/>
      <c r="H160" s="854"/>
      <c r="I160" s="854" t="s">
        <v>245</v>
      </c>
      <c r="J160">
        <f t="shared" si="41"/>
        <v>0</v>
      </c>
      <c r="K160">
        <f t="shared" si="42"/>
        <v>0</v>
      </c>
      <c r="L160" s="251">
        <f t="shared" si="34"/>
        <v>2.2800000000000001E-2</v>
      </c>
      <c r="M160" s="557">
        <f t="shared" si="35"/>
        <v>0</v>
      </c>
      <c r="N160" s="557">
        <f t="shared" si="27"/>
        <v>0</v>
      </c>
      <c r="O160" s="557">
        <f t="shared" si="28"/>
        <v>0</v>
      </c>
      <c r="P160" s="557">
        <f t="shared" si="29"/>
        <v>0</v>
      </c>
      <c r="Q160" s="226" t="str">
        <f t="shared" si="36"/>
        <v>Y</v>
      </c>
      <c r="R160" s="226">
        <f t="shared" si="30"/>
        <v>0</v>
      </c>
      <c r="S160">
        <f t="shared" si="31"/>
        <v>0</v>
      </c>
      <c r="T160" s="141">
        <f t="shared" si="43"/>
        <v>0</v>
      </c>
      <c r="U160" s="710">
        <f t="shared" si="37"/>
        <v>0</v>
      </c>
      <c r="V160" s="710">
        <f t="shared" si="38"/>
        <v>0</v>
      </c>
      <c r="W160" s="710">
        <f t="shared" si="39"/>
        <v>0</v>
      </c>
      <c r="X160" s="710">
        <f t="shared" si="40"/>
        <v>0</v>
      </c>
      <c r="Y160" s="141">
        <f t="shared" si="32"/>
        <v>0</v>
      </c>
      <c r="AB160" s="777"/>
      <c r="AC160" s="777"/>
      <c r="AD160" t="e">
        <f t="shared" si="26"/>
        <v>#N/A</v>
      </c>
    </row>
    <row r="161" spans="1:30" s="145" customFormat="1" x14ac:dyDescent="0.2">
      <c r="A161" s="916" t="s">
        <v>174</v>
      </c>
      <c r="B161" t="s">
        <v>2089</v>
      </c>
      <c r="C161" t="s">
        <v>103</v>
      </c>
      <c r="D161">
        <v>3552201</v>
      </c>
      <c r="E161" t="s">
        <v>25</v>
      </c>
      <c r="F161" s="854">
        <v>37196</v>
      </c>
      <c r="G161" s="854"/>
      <c r="H161" s="854"/>
      <c r="I161" s="854" t="s">
        <v>245</v>
      </c>
      <c r="J161">
        <f t="shared" si="41"/>
        <v>0</v>
      </c>
      <c r="K161">
        <f t="shared" si="42"/>
        <v>0</v>
      </c>
      <c r="L161" s="244">
        <f t="shared" si="34"/>
        <v>2.2800000000000001E-2</v>
      </c>
      <c r="M161" s="855">
        <f t="shared" si="35"/>
        <v>0</v>
      </c>
      <c r="N161" s="855">
        <f t="shared" si="27"/>
        <v>0</v>
      </c>
      <c r="O161" s="855">
        <f t="shared" si="28"/>
        <v>0</v>
      </c>
      <c r="P161" s="557">
        <f t="shared" si="29"/>
        <v>0</v>
      </c>
      <c r="Q161" s="682" t="str">
        <f t="shared" si="36"/>
        <v>Y</v>
      </c>
      <c r="R161" s="682">
        <f t="shared" si="30"/>
        <v>0</v>
      </c>
      <c r="S161" s="145">
        <f t="shared" si="31"/>
        <v>0</v>
      </c>
      <c r="T161" s="141">
        <f t="shared" si="43"/>
        <v>0</v>
      </c>
      <c r="U161" s="855">
        <f t="shared" si="37"/>
        <v>0</v>
      </c>
      <c r="V161" s="855">
        <f t="shared" si="38"/>
        <v>0</v>
      </c>
      <c r="W161" s="855">
        <f t="shared" si="39"/>
        <v>0</v>
      </c>
      <c r="X161" s="855">
        <f t="shared" si="40"/>
        <v>0</v>
      </c>
      <c r="Y161" s="856">
        <f t="shared" si="32"/>
        <v>0</v>
      </c>
      <c r="AB161" s="857"/>
      <c r="AC161" s="857"/>
      <c r="AD161" s="145" t="e">
        <f t="shared" si="26"/>
        <v>#N/A</v>
      </c>
    </row>
    <row r="162" spans="1:30" x14ac:dyDescent="0.2">
      <c r="A162" s="916" t="s">
        <v>174</v>
      </c>
      <c r="B162" t="s">
        <v>2089</v>
      </c>
      <c r="C162" t="s">
        <v>1129</v>
      </c>
      <c r="D162">
        <v>3552801</v>
      </c>
      <c r="E162" t="s">
        <v>1143</v>
      </c>
      <c r="F162" s="854">
        <v>37196</v>
      </c>
      <c r="G162" s="854"/>
      <c r="H162" s="854"/>
      <c r="I162" s="854" t="s">
        <v>245</v>
      </c>
      <c r="J162">
        <f t="shared" si="41"/>
        <v>0</v>
      </c>
      <c r="K162">
        <f t="shared" si="42"/>
        <v>0</v>
      </c>
      <c r="L162" s="251">
        <f t="shared" si="34"/>
        <v>2.2800000000000001E-2</v>
      </c>
      <c r="M162" s="557">
        <f t="shared" si="35"/>
        <v>0</v>
      </c>
      <c r="N162" s="557">
        <f t="shared" si="27"/>
        <v>0</v>
      </c>
      <c r="O162" s="557">
        <f t="shared" si="28"/>
        <v>0</v>
      </c>
      <c r="P162" s="557">
        <f t="shared" si="29"/>
        <v>0</v>
      </c>
      <c r="Q162" s="226" t="str">
        <f t="shared" si="36"/>
        <v>Y</v>
      </c>
      <c r="R162" s="226">
        <f t="shared" si="30"/>
        <v>0</v>
      </c>
      <c r="S162">
        <f t="shared" si="31"/>
        <v>0</v>
      </c>
      <c r="T162" s="141">
        <f t="shared" si="43"/>
        <v>0</v>
      </c>
      <c r="U162" s="710">
        <f t="shared" si="37"/>
        <v>0</v>
      </c>
      <c r="V162" s="710">
        <f t="shared" si="38"/>
        <v>0</v>
      </c>
      <c r="W162" s="710">
        <f t="shared" si="39"/>
        <v>0</v>
      </c>
      <c r="X162" s="710">
        <f t="shared" si="40"/>
        <v>0</v>
      </c>
      <c r="Y162" s="141">
        <f>SUM(U162:X162)</f>
        <v>0</v>
      </c>
      <c r="AB162" s="777"/>
      <c r="AC162" s="777"/>
      <c r="AD162" t="e">
        <f t="shared" ref="AD162:AD224" si="44">VLOOKUP(AB162,INCNG,3,FALSE)</f>
        <v>#N/A</v>
      </c>
    </row>
    <row r="163" spans="1:30" x14ac:dyDescent="0.2">
      <c r="A163" s="916" t="s">
        <v>174</v>
      </c>
      <c r="B163" t="s">
        <v>2089</v>
      </c>
      <c r="C163" t="s">
        <v>1144</v>
      </c>
      <c r="D163">
        <v>3553701</v>
      </c>
      <c r="E163" t="s">
        <v>1126</v>
      </c>
      <c r="F163" s="854">
        <v>37196</v>
      </c>
      <c r="G163" s="854"/>
      <c r="H163" s="854"/>
      <c r="I163" s="854" t="s">
        <v>245</v>
      </c>
      <c r="J163">
        <f t="shared" si="41"/>
        <v>0</v>
      </c>
      <c r="K163">
        <f t="shared" si="42"/>
        <v>0</v>
      </c>
      <c r="L163" s="251">
        <f t="shared" si="34"/>
        <v>2.2800000000000001E-2</v>
      </c>
      <c r="M163" s="557">
        <f t="shared" si="35"/>
        <v>0</v>
      </c>
      <c r="N163" s="557">
        <f t="shared" si="27"/>
        <v>0</v>
      </c>
      <c r="O163" s="557">
        <f t="shared" si="28"/>
        <v>0</v>
      </c>
      <c r="P163" s="557">
        <f t="shared" si="29"/>
        <v>0</v>
      </c>
      <c r="Q163" s="226" t="str">
        <f t="shared" si="36"/>
        <v>Y</v>
      </c>
      <c r="R163" s="226">
        <f t="shared" si="30"/>
        <v>0</v>
      </c>
      <c r="S163">
        <f t="shared" si="31"/>
        <v>0</v>
      </c>
      <c r="T163" s="141">
        <f t="shared" si="43"/>
        <v>0</v>
      </c>
      <c r="U163" s="710">
        <f t="shared" si="37"/>
        <v>0</v>
      </c>
      <c r="V163" s="710">
        <f t="shared" si="38"/>
        <v>0</v>
      </c>
      <c r="W163" s="710">
        <f t="shared" si="39"/>
        <v>0</v>
      </c>
      <c r="X163" s="710">
        <f t="shared" si="40"/>
        <v>0</v>
      </c>
      <c r="Y163" s="141">
        <f t="shared" ref="Y163:Y225" si="45">SUM(U163:X163)</f>
        <v>0</v>
      </c>
      <c r="AB163" s="777"/>
      <c r="AC163" s="777"/>
      <c r="AD163" t="e">
        <f t="shared" si="44"/>
        <v>#N/A</v>
      </c>
    </row>
    <row r="164" spans="1:30" x14ac:dyDescent="0.2">
      <c r="A164" s="916" t="s">
        <v>174</v>
      </c>
      <c r="B164" t="s">
        <v>2089</v>
      </c>
      <c r="C164" t="s">
        <v>104</v>
      </c>
      <c r="D164">
        <v>3557101</v>
      </c>
      <c r="E164" t="s">
        <v>25</v>
      </c>
      <c r="F164" s="854">
        <v>37196</v>
      </c>
      <c r="G164" s="854"/>
      <c r="H164" s="854"/>
      <c r="I164" s="854" t="s">
        <v>245</v>
      </c>
      <c r="J164">
        <f t="shared" si="41"/>
        <v>0</v>
      </c>
      <c r="K164">
        <f t="shared" si="42"/>
        <v>0</v>
      </c>
      <c r="L164" s="251">
        <f t="shared" si="34"/>
        <v>2.2800000000000001E-2</v>
      </c>
      <c r="M164" s="557">
        <f t="shared" si="35"/>
        <v>0</v>
      </c>
      <c r="N164" s="557">
        <f t="shared" si="27"/>
        <v>0</v>
      </c>
      <c r="O164" s="557">
        <f t="shared" si="28"/>
        <v>0</v>
      </c>
      <c r="P164" s="557">
        <f t="shared" si="29"/>
        <v>0</v>
      </c>
      <c r="Q164" s="226" t="str">
        <f t="shared" si="36"/>
        <v>Y</v>
      </c>
      <c r="R164" s="226">
        <f t="shared" si="30"/>
        <v>0</v>
      </c>
      <c r="S164">
        <f t="shared" si="31"/>
        <v>0</v>
      </c>
      <c r="T164" s="141">
        <f t="shared" si="43"/>
        <v>0</v>
      </c>
      <c r="U164" s="710">
        <f t="shared" si="37"/>
        <v>0</v>
      </c>
      <c r="V164" s="710">
        <f t="shared" si="38"/>
        <v>0</v>
      </c>
      <c r="W164" s="710">
        <f t="shared" si="39"/>
        <v>0</v>
      </c>
      <c r="X164" s="710">
        <f t="shared" si="40"/>
        <v>0</v>
      </c>
      <c r="Y164" s="141">
        <f t="shared" si="45"/>
        <v>0</v>
      </c>
      <c r="AB164" s="777"/>
      <c r="AC164" s="777"/>
      <c r="AD164" t="e">
        <f t="shared" si="44"/>
        <v>#N/A</v>
      </c>
    </row>
    <row r="165" spans="1:30" x14ac:dyDescent="0.2">
      <c r="A165" s="916" t="s">
        <v>174</v>
      </c>
      <c r="B165" t="s">
        <v>2091</v>
      </c>
      <c r="C165" t="s">
        <v>1076</v>
      </c>
      <c r="D165">
        <v>3557501</v>
      </c>
      <c r="E165" t="s">
        <v>217</v>
      </c>
      <c r="F165" s="854">
        <v>37196</v>
      </c>
      <c r="G165" s="854"/>
      <c r="H165" s="854"/>
      <c r="I165" s="854" t="s">
        <v>244</v>
      </c>
      <c r="J165">
        <f t="shared" si="41"/>
        <v>0</v>
      </c>
      <c r="K165">
        <f t="shared" si="42"/>
        <v>0</v>
      </c>
      <c r="L165" s="251">
        <f t="shared" si="34"/>
        <v>2.2800000000000001E-2</v>
      </c>
      <c r="M165" s="557">
        <f t="shared" si="35"/>
        <v>0</v>
      </c>
      <c r="N165" s="557">
        <f t="shared" ref="N165:N227" si="46">IF(OR(I165="TD",I165="TW"),0,K165*0.0228)</f>
        <v>0</v>
      </c>
      <c r="O165" s="557">
        <f t="shared" ref="O165:O175" si="47">J165-ROUND(+$J165*(VLOOKUP($I165,cngded,6,FALSE)),0)</f>
        <v>0</v>
      </c>
      <c r="P165" s="557">
        <f t="shared" ref="P165:P228" si="48">K165-ROUND(+$K165*(VLOOKUP($I165,cngded,6,FALSE)),0)</f>
        <v>0</v>
      </c>
      <c r="Q165" s="226" t="str">
        <f t="shared" si="36"/>
        <v>Y</v>
      </c>
      <c r="R165" s="226">
        <f t="shared" ref="R165:R184" si="49">IF(ISNA(VLOOKUP(C165,INCNG,10,FALSE)),0,VLOOKUP(C165,INCNG,10,FALSE))</f>
        <v>0</v>
      </c>
      <c r="S165">
        <f t="shared" ref="S165:S227" si="50">+K165-R165</f>
        <v>0</v>
      </c>
      <c r="T165" s="141">
        <f t="shared" si="43"/>
        <v>0</v>
      </c>
      <c r="U165" s="710">
        <f t="shared" si="37"/>
        <v>0</v>
      </c>
      <c r="V165" s="710">
        <f t="shared" si="38"/>
        <v>0</v>
      </c>
      <c r="W165" s="710">
        <f t="shared" si="39"/>
        <v>0</v>
      </c>
      <c r="X165" s="710">
        <f t="shared" si="40"/>
        <v>0</v>
      </c>
      <c r="Y165" s="141">
        <f t="shared" si="45"/>
        <v>0</v>
      </c>
      <c r="AB165" s="777"/>
      <c r="AC165" s="777"/>
      <c r="AD165" t="e">
        <f t="shared" si="44"/>
        <v>#N/A</v>
      </c>
    </row>
    <row r="166" spans="1:30" x14ac:dyDescent="0.2">
      <c r="A166" s="916" t="s">
        <v>174</v>
      </c>
      <c r="B166" t="s">
        <v>2089</v>
      </c>
      <c r="C166" t="s">
        <v>1145</v>
      </c>
      <c r="D166">
        <v>3558301</v>
      </c>
      <c r="E166" t="s">
        <v>1126</v>
      </c>
      <c r="F166" s="854">
        <v>37196</v>
      </c>
      <c r="G166" s="854"/>
      <c r="H166" s="854"/>
      <c r="I166" s="854" t="s">
        <v>245</v>
      </c>
      <c r="J166">
        <f t="shared" si="41"/>
        <v>0</v>
      </c>
      <c r="K166">
        <f t="shared" si="42"/>
        <v>0</v>
      </c>
      <c r="L166" s="251">
        <f t="shared" ref="L166:L228" si="51">VLOOKUP(I166,Retention,2,FALSE)</f>
        <v>2.2800000000000001E-2</v>
      </c>
      <c r="M166" s="557">
        <f t="shared" ref="M166:M228" si="52">IF(OR(I166="TD",I166="TW"),0,J166*0.0228)</f>
        <v>0</v>
      </c>
      <c r="N166" s="557">
        <f t="shared" si="46"/>
        <v>0</v>
      </c>
      <c r="O166" s="557">
        <f t="shared" si="47"/>
        <v>0</v>
      </c>
      <c r="P166" s="557">
        <f t="shared" si="48"/>
        <v>0</v>
      </c>
      <c r="Q166" s="226" t="str">
        <f t="shared" ref="Q166:Q184" si="53">IF(ISNA(VLOOKUP(C166,INCNG,1,FALSE)),"--", "Y")</f>
        <v>Y</v>
      </c>
      <c r="R166" s="226">
        <f t="shared" si="49"/>
        <v>0</v>
      </c>
      <c r="S166">
        <f t="shared" si="50"/>
        <v>0</v>
      </c>
      <c r="T166" s="141">
        <f t="shared" si="43"/>
        <v>0</v>
      </c>
      <c r="U166" s="710">
        <f t="shared" ref="U166:U228" si="54">ROUND(+$K166*(VLOOKUP($I166,Retention,2,FALSE)),0)</f>
        <v>0</v>
      </c>
      <c r="V166" s="710">
        <f t="shared" ref="V166:V228" si="55">ROUND(+$K166*(VLOOKUP($I166,Retention,3,FALSE)),0)</f>
        <v>0</v>
      </c>
      <c r="W166" s="710">
        <f t="shared" ref="W166:W228" si="56">ROUND(+$K166*(VLOOKUP($I166,Retention,4,FALSE)),0)</f>
        <v>0</v>
      </c>
      <c r="X166" s="710">
        <f t="shared" ref="X166:X228" si="57">ROUND(+$K166*(VLOOKUP($I166,Retention,5,FALSE)),0)</f>
        <v>0</v>
      </c>
      <c r="Y166" s="141">
        <f t="shared" si="45"/>
        <v>0</v>
      </c>
      <c r="AB166" s="777"/>
      <c r="AC166" s="777"/>
      <c r="AD166" t="e">
        <f t="shared" si="44"/>
        <v>#N/A</v>
      </c>
    </row>
    <row r="167" spans="1:30" x14ac:dyDescent="0.2">
      <c r="A167" s="916" t="s">
        <v>174</v>
      </c>
      <c r="B167" t="s">
        <v>2089</v>
      </c>
      <c r="C167" t="s">
        <v>1362</v>
      </c>
      <c r="D167">
        <v>3562001</v>
      </c>
      <c r="E167" t="s">
        <v>1150</v>
      </c>
      <c r="F167" s="854">
        <v>37196</v>
      </c>
      <c r="G167" s="854"/>
      <c r="H167" s="854"/>
      <c r="I167" s="854" t="s">
        <v>245</v>
      </c>
      <c r="J167">
        <f t="shared" si="41"/>
        <v>0</v>
      </c>
      <c r="K167">
        <f t="shared" si="42"/>
        <v>0</v>
      </c>
      <c r="L167" s="251">
        <f t="shared" si="51"/>
        <v>2.2800000000000001E-2</v>
      </c>
      <c r="M167" s="557">
        <f t="shared" si="52"/>
        <v>0</v>
      </c>
      <c r="N167" s="557">
        <f t="shared" si="46"/>
        <v>0</v>
      </c>
      <c r="O167" s="557">
        <f t="shared" si="47"/>
        <v>0</v>
      </c>
      <c r="P167" s="557">
        <f t="shared" si="48"/>
        <v>0</v>
      </c>
      <c r="Q167" s="226" t="str">
        <f t="shared" si="53"/>
        <v>Y</v>
      </c>
      <c r="R167" s="226">
        <f t="shared" si="49"/>
        <v>0</v>
      </c>
      <c r="S167">
        <f t="shared" si="50"/>
        <v>0</v>
      </c>
      <c r="T167" s="141">
        <f t="shared" si="43"/>
        <v>0</v>
      </c>
      <c r="U167" s="710">
        <f t="shared" si="54"/>
        <v>0</v>
      </c>
      <c r="V167" s="710">
        <f t="shared" si="55"/>
        <v>0</v>
      </c>
      <c r="W167" s="710">
        <f t="shared" si="56"/>
        <v>0</v>
      </c>
      <c r="X167" s="710">
        <f t="shared" si="57"/>
        <v>0</v>
      </c>
      <c r="Y167" s="141">
        <f t="shared" si="45"/>
        <v>0</v>
      </c>
      <c r="AB167" s="777"/>
      <c r="AC167" s="777"/>
      <c r="AD167" t="e">
        <f t="shared" si="44"/>
        <v>#N/A</v>
      </c>
    </row>
    <row r="168" spans="1:30" x14ac:dyDescent="0.2">
      <c r="A168" s="916" t="s">
        <v>174</v>
      </c>
      <c r="B168" t="s">
        <v>2089</v>
      </c>
      <c r="C168" t="s">
        <v>1146</v>
      </c>
      <c r="D168">
        <v>3564601</v>
      </c>
      <c r="E168" t="s">
        <v>1147</v>
      </c>
      <c r="F168" s="854">
        <v>37196</v>
      </c>
      <c r="G168" s="854"/>
      <c r="H168" s="854"/>
      <c r="I168" s="854" t="s">
        <v>245</v>
      </c>
      <c r="J168">
        <f t="shared" si="41"/>
        <v>0</v>
      </c>
      <c r="K168">
        <f t="shared" si="42"/>
        <v>0</v>
      </c>
      <c r="L168" s="251">
        <f t="shared" si="51"/>
        <v>2.2800000000000001E-2</v>
      </c>
      <c r="M168" s="557">
        <f t="shared" si="52"/>
        <v>0</v>
      </c>
      <c r="N168" s="557">
        <f t="shared" si="46"/>
        <v>0</v>
      </c>
      <c r="O168" s="557">
        <f t="shared" si="47"/>
        <v>0</v>
      </c>
      <c r="P168" s="557">
        <f t="shared" si="48"/>
        <v>0</v>
      </c>
      <c r="Q168" s="226" t="str">
        <f t="shared" si="53"/>
        <v>Y</v>
      </c>
      <c r="R168" s="226">
        <f t="shared" si="49"/>
        <v>0</v>
      </c>
      <c r="S168">
        <f t="shared" si="50"/>
        <v>0</v>
      </c>
      <c r="T168" s="141">
        <f t="shared" si="43"/>
        <v>0</v>
      </c>
      <c r="U168" s="710">
        <f t="shared" si="54"/>
        <v>0</v>
      </c>
      <c r="V168" s="710">
        <f t="shared" si="55"/>
        <v>0</v>
      </c>
      <c r="W168" s="710">
        <f t="shared" si="56"/>
        <v>0</v>
      </c>
      <c r="X168" s="710">
        <f t="shared" si="57"/>
        <v>0</v>
      </c>
      <c r="Y168" s="141">
        <f t="shared" si="45"/>
        <v>0</v>
      </c>
      <c r="AB168" s="777"/>
      <c r="AC168" s="777"/>
      <c r="AD168" t="e">
        <f t="shared" si="44"/>
        <v>#N/A</v>
      </c>
    </row>
    <row r="169" spans="1:30" x14ac:dyDescent="0.2">
      <c r="A169" s="916" t="s">
        <v>174</v>
      </c>
      <c r="B169" t="s">
        <v>2089</v>
      </c>
      <c r="C169" t="s">
        <v>247</v>
      </c>
      <c r="D169">
        <v>3564701</v>
      </c>
      <c r="E169" t="s">
        <v>985</v>
      </c>
      <c r="F169" s="854">
        <v>37196</v>
      </c>
      <c r="G169" s="854"/>
      <c r="H169" s="854"/>
      <c r="I169" s="854" t="s">
        <v>245</v>
      </c>
      <c r="J169" t="str">
        <f t="shared" si="41"/>
        <v>na</v>
      </c>
      <c r="K169">
        <f t="shared" si="42"/>
        <v>0</v>
      </c>
      <c r="L169" s="251">
        <f t="shared" si="51"/>
        <v>2.2800000000000001E-2</v>
      </c>
      <c r="M169" s="557" t="e">
        <f t="shared" si="52"/>
        <v>#VALUE!</v>
      </c>
      <c r="N169" s="557">
        <f t="shared" si="46"/>
        <v>0</v>
      </c>
      <c r="O169" s="557" t="e">
        <f t="shared" si="47"/>
        <v>#VALUE!</v>
      </c>
      <c r="P169" s="557">
        <f t="shared" si="48"/>
        <v>0</v>
      </c>
      <c r="Q169" s="226" t="str">
        <f t="shared" si="53"/>
        <v>Y</v>
      </c>
      <c r="R169" s="226" t="e">
        <f t="shared" si="49"/>
        <v>#VALUE!</v>
      </c>
      <c r="S169" t="e">
        <f t="shared" si="50"/>
        <v>#VALUE!</v>
      </c>
      <c r="T169" s="141" t="e">
        <f t="shared" si="43"/>
        <v>#VALUE!</v>
      </c>
      <c r="U169" s="710">
        <f t="shared" si="54"/>
        <v>0</v>
      </c>
      <c r="V169" s="710">
        <f t="shared" si="55"/>
        <v>0</v>
      </c>
      <c r="W169" s="710">
        <f t="shared" si="56"/>
        <v>0</v>
      </c>
      <c r="X169" s="710">
        <f t="shared" si="57"/>
        <v>0</v>
      </c>
      <c r="Y169" s="141">
        <f t="shared" si="45"/>
        <v>0</v>
      </c>
      <c r="AB169" s="777"/>
      <c r="AC169" s="777"/>
      <c r="AD169" t="e">
        <f t="shared" si="44"/>
        <v>#N/A</v>
      </c>
    </row>
    <row r="170" spans="1:30" x14ac:dyDescent="0.2">
      <c r="A170" s="916" t="s">
        <v>174</v>
      </c>
      <c r="B170" t="s">
        <v>2089</v>
      </c>
      <c r="C170" t="s">
        <v>249</v>
      </c>
      <c r="D170">
        <v>3564801</v>
      </c>
      <c r="E170" t="s">
        <v>985</v>
      </c>
      <c r="F170" s="854">
        <v>37196</v>
      </c>
      <c r="G170" s="854"/>
      <c r="H170" s="854"/>
      <c r="I170" s="854" t="s">
        <v>245</v>
      </c>
      <c r="J170" t="str">
        <f t="shared" si="41"/>
        <v>na</v>
      </c>
      <c r="K170">
        <f t="shared" si="42"/>
        <v>0</v>
      </c>
      <c r="L170" s="251">
        <f t="shared" si="51"/>
        <v>2.2800000000000001E-2</v>
      </c>
      <c r="M170" s="557" t="e">
        <f t="shared" si="52"/>
        <v>#VALUE!</v>
      </c>
      <c r="N170" s="557">
        <f t="shared" si="46"/>
        <v>0</v>
      </c>
      <c r="O170" s="557" t="e">
        <f t="shared" si="47"/>
        <v>#VALUE!</v>
      </c>
      <c r="P170" s="557">
        <f t="shared" si="48"/>
        <v>0</v>
      </c>
      <c r="Q170" s="226" t="str">
        <f t="shared" si="53"/>
        <v>Y</v>
      </c>
      <c r="R170" s="226" t="e">
        <f t="shared" si="49"/>
        <v>#VALUE!</v>
      </c>
      <c r="S170" t="e">
        <f t="shared" si="50"/>
        <v>#VALUE!</v>
      </c>
      <c r="T170" s="141" t="e">
        <f t="shared" si="43"/>
        <v>#VALUE!</v>
      </c>
      <c r="U170" s="710">
        <f t="shared" si="54"/>
        <v>0</v>
      </c>
      <c r="V170" s="710">
        <f t="shared" si="55"/>
        <v>0</v>
      </c>
      <c r="W170" s="710">
        <f t="shared" si="56"/>
        <v>0</v>
      </c>
      <c r="X170" s="710">
        <f t="shared" si="57"/>
        <v>0</v>
      </c>
      <c r="Y170" s="141">
        <f t="shared" si="45"/>
        <v>0</v>
      </c>
      <c r="AB170" s="777"/>
      <c r="AC170" s="777"/>
      <c r="AD170" t="e">
        <f t="shared" si="44"/>
        <v>#N/A</v>
      </c>
    </row>
    <row r="171" spans="1:30" x14ac:dyDescent="0.2">
      <c r="A171" s="916" t="s">
        <v>174</v>
      </c>
      <c r="B171" t="s">
        <v>2089</v>
      </c>
      <c r="C171" t="s">
        <v>1149</v>
      </c>
      <c r="D171">
        <v>3565501</v>
      </c>
      <c r="E171" t="s">
        <v>1150</v>
      </c>
      <c r="F171" s="854">
        <v>37196</v>
      </c>
      <c r="G171" s="854"/>
      <c r="H171" s="854"/>
      <c r="I171" s="854" t="s">
        <v>245</v>
      </c>
      <c r="J171">
        <f t="shared" si="41"/>
        <v>0</v>
      </c>
      <c r="K171">
        <f t="shared" si="42"/>
        <v>0</v>
      </c>
      <c r="L171" s="251">
        <f t="shared" si="51"/>
        <v>2.2800000000000001E-2</v>
      </c>
      <c r="M171" s="557">
        <f t="shared" si="52"/>
        <v>0</v>
      </c>
      <c r="N171" s="557">
        <f t="shared" si="46"/>
        <v>0</v>
      </c>
      <c r="O171" s="557">
        <f t="shared" si="47"/>
        <v>0</v>
      </c>
      <c r="P171" s="557">
        <f t="shared" si="48"/>
        <v>0</v>
      </c>
      <c r="Q171" s="226" t="str">
        <f t="shared" si="53"/>
        <v>Y</v>
      </c>
      <c r="R171" s="226">
        <f t="shared" si="49"/>
        <v>0</v>
      </c>
      <c r="S171">
        <f t="shared" si="50"/>
        <v>0</v>
      </c>
      <c r="T171" s="141">
        <f t="shared" si="43"/>
        <v>0</v>
      </c>
      <c r="U171" s="710">
        <f t="shared" si="54"/>
        <v>0</v>
      </c>
      <c r="V171" s="710">
        <f t="shared" si="55"/>
        <v>0</v>
      </c>
      <c r="W171" s="710">
        <f t="shared" si="56"/>
        <v>0</v>
      </c>
      <c r="X171" s="710">
        <f t="shared" si="57"/>
        <v>0</v>
      </c>
      <c r="Y171" s="141">
        <f t="shared" si="45"/>
        <v>0</v>
      </c>
      <c r="Z171">
        <f>ROUND(+$K171*(VLOOKUP($I171,cngded,6,FALSE)),0)</f>
        <v>0</v>
      </c>
      <c r="AB171" s="777"/>
      <c r="AC171" s="777"/>
      <c r="AD171" t="e">
        <f t="shared" si="44"/>
        <v>#N/A</v>
      </c>
    </row>
    <row r="172" spans="1:30" x14ac:dyDescent="0.2">
      <c r="A172" s="916" t="s">
        <v>174</v>
      </c>
      <c r="B172" t="s">
        <v>2089</v>
      </c>
      <c r="C172" t="s">
        <v>1835</v>
      </c>
      <c r="D172">
        <v>3571701</v>
      </c>
      <c r="E172" t="s">
        <v>1128</v>
      </c>
      <c r="F172" s="854">
        <v>37196</v>
      </c>
      <c r="G172" s="854"/>
      <c r="H172" s="854"/>
      <c r="I172" s="854" t="s">
        <v>245</v>
      </c>
      <c r="J172">
        <f t="shared" si="41"/>
        <v>0</v>
      </c>
      <c r="K172">
        <f t="shared" si="42"/>
        <v>0</v>
      </c>
      <c r="L172" s="251">
        <f t="shared" si="51"/>
        <v>2.2800000000000001E-2</v>
      </c>
      <c r="M172" s="557">
        <f t="shared" si="52"/>
        <v>0</v>
      </c>
      <c r="N172" s="557">
        <f t="shared" si="46"/>
        <v>0</v>
      </c>
      <c r="O172" s="557">
        <f t="shared" si="47"/>
        <v>0</v>
      </c>
      <c r="P172" s="557">
        <f t="shared" si="48"/>
        <v>0</v>
      </c>
      <c r="Q172" s="226" t="str">
        <f t="shared" si="53"/>
        <v>Y</v>
      </c>
      <c r="R172" s="226">
        <f t="shared" si="49"/>
        <v>0</v>
      </c>
      <c r="S172">
        <f t="shared" si="50"/>
        <v>0</v>
      </c>
      <c r="T172" s="141">
        <f t="shared" si="43"/>
        <v>0</v>
      </c>
      <c r="U172" s="710">
        <f t="shared" si="54"/>
        <v>0</v>
      </c>
      <c r="V172" s="710">
        <f t="shared" si="55"/>
        <v>0</v>
      </c>
      <c r="W172" s="710">
        <f t="shared" si="56"/>
        <v>0</v>
      </c>
      <c r="X172" s="710">
        <f t="shared" si="57"/>
        <v>0</v>
      </c>
      <c r="Y172" s="141">
        <f t="shared" si="45"/>
        <v>0</v>
      </c>
      <c r="Z172">
        <f t="shared" ref="Z172:Z177" si="58">ROUND(+$K172*(VLOOKUP($I172,cngded,6,FALSE)),0)</f>
        <v>0</v>
      </c>
      <c r="AB172" s="777"/>
      <c r="AC172" s="777"/>
      <c r="AD172" t="e">
        <f t="shared" si="44"/>
        <v>#N/A</v>
      </c>
    </row>
    <row r="173" spans="1:30" x14ac:dyDescent="0.2">
      <c r="A173" s="916" t="s">
        <v>174</v>
      </c>
      <c r="B173" t="s">
        <v>2089</v>
      </c>
      <c r="C173" t="s">
        <v>1157</v>
      </c>
      <c r="D173">
        <v>3573701</v>
      </c>
      <c r="E173" t="s">
        <v>1150</v>
      </c>
      <c r="F173" s="854">
        <v>37196</v>
      </c>
      <c r="G173" s="854"/>
      <c r="H173" s="854"/>
      <c r="I173" s="854" t="s">
        <v>245</v>
      </c>
      <c r="J173">
        <f t="shared" si="41"/>
        <v>0</v>
      </c>
      <c r="K173">
        <f t="shared" si="42"/>
        <v>0</v>
      </c>
      <c r="L173" s="251">
        <f t="shared" si="51"/>
        <v>2.2800000000000001E-2</v>
      </c>
      <c r="M173" s="557">
        <f t="shared" si="52"/>
        <v>0</v>
      </c>
      <c r="N173" s="557">
        <f t="shared" si="46"/>
        <v>0</v>
      </c>
      <c r="O173" s="557">
        <f t="shared" si="47"/>
        <v>0</v>
      </c>
      <c r="P173" s="557">
        <f t="shared" si="48"/>
        <v>0</v>
      </c>
      <c r="Q173" s="226" t="str">
        <f t="shared" si="53"/>
        <v>Y</v>
      </c>
      <c r="R173" s="226">
        <f t="shared" si="49"/>
        <v>0</v>
      </c>
      <c r="S173">
        <f t="shared" si="50"/>
        <v>0</v>
      </c>
      <c r="T173" s="141">
        <f t="shared" si="43"/>
        <v>0</v>
      </c>
      <c r="U173" s="710">
        <f t="shared" si="54"/>
        <v>0</v>
      </c>
      <c r="V173" s="710">
        <f t="shared" si="55"/>
        <v>0</v>
      </c>
      <c r="W173" s="710">
        <f t="shared" si="56"/>
        <v>0</v>
      </c>
      <c r="X173" s="710">
        <f t="shared" si="57"/>
        <v>0</v>
      </c>
      <c r="Y173" s="141">
        <f t="shared" si="45"/>
        <v>0</v>
      </c>
      <c r="Z173">
        <f t="shared" si="58"/>
        <v>0</v>
      </c>
      <c r="AB173" s="777"/>
      <c r="AC173" s="777"/>
      <c r="AD173" t="e">
        <f t="shared" si="44"/>
        <v>#N/A</v>
      </c>
    </row>
    <row r="174" spans="1:30" x14ac:dyDescent="0.2">
      <c r="A174" s="916" t="s">
        <v>174</v>
      </c>
      <c r="B174" t="s">
        <v>2089</v>
      </c>
      <c r="C174" t="s">
        <v>1761</v>
      </c>
      <c r="D174">
        <v>3576601</v>
      </c>
      <c r="E174" t="s">
        <v>901</v>
      </c>
      <c r="F174" s="854">
        <v>37196</v>
      </c>
      <c r="G174" s="854"/>
      <c r="H174" s="854"/>
      <c r="I174" s="854" t="s">
        <v>245</v>
      </c>
      <c r="J174">
        <f t="shared" si="41"/>
        <v>0</v>
      </c>
      <c r="K174">
        <f t="shared" si="42"/>
        <v>0</v>
      </c>
      <c r="L174" s="251">
        <f t="shared" si="51"/>
        <v>2.2800000000000001E-2</v>
      </c>
      <c r="M174" s="557">
        <f t="shared" si="52"/>
        <v>0</v>
      </c>
      <c r="N174" s="557">
        <f t="shared" si="46"/>
        <v>0</v>
      </c>
      <c r="O174" s="557">
        <f t="shared" si="47"/>
        <v>0</v>
      </c>
      <c r="P174" s="557">
        <f t="shared" si="48"/>
        <v>0</v>
      </c>
      <c r="Q174" s="226" t="str">
        <f t="shared" si="53"/>
        <v>Y</v>
      </c>
      <c r="R174" s="226">
        <f t="shared" si="49"/>
        <v>0</v>
      </c>
      <c r="S174">
        <f t="shared" si="50"/>
        <v>0</v>
      </c>
      <c r="T174" s="141">
        <f t="shared" si="43"/>
        <v>0</v>
      </c>
      <c r="U174" s="710">
        <f t="shared" si="54"/>
        <v>0</v>
      </c>
      <c r="V174" s="710">
        <f t="shared" si="55"/>
        <v>0</v>
      </c>
      <c r="W174" s="710">
        <f t="shared" si="56"/>
        <v>0</v>
      </c>
      <c r="X174" s="710">
        <f t="shared" si="57"/>
        <v>0</v>
      </c>
      <c r="Y174" s="141">
        <f t="shared" si="45"/>
        <v>0</v>
      </c>
      <c r="Z174">
        <f t="shared" si="58"/>
        <v>0</v>
      </c>
      <c r="AB174" s="777"/>
      <c r="AC174" s="777"/>
      <c r="AD174" t="e">
        <f t="shared" si="44"/>
        <v>#N/A</v>
      </c>
    </row>
    <row r="175" spans="1:30" x14ac:dyDescent="0.2">
      <c r="A175" s="916" t="s">
        <v>174</v>
      </c>
      <c r="B175" t="s">
        <v>2090</v>
      </c>
      <c r="C175" t="s">
        <v>1367</v>
      </c>
      <c r="D175">
        <v>3582101</v>
      </c>
      <c r="E175" t="s">
        <v>1128</v>
      </c>
      <c r="F175" s="854">
        <v>37196</v>
      </c>
      <c r="G175" s="854"/>
      <c r="H175" s="854"/>
      <c r="I175" s="854" t="s">
        <v>252</v>
      </c>
      <c r="J175">
        <f t="shared" si="41"/>
        <v>0</v>
      </c>
      <c r="K175">
        <f t="shared" si="42"/>
        <v>0</v>
      </c>
      <c r="L175" s="251">
        <f t="shared" si="51"/>
        <v>0</v>
      </c>
      <c r="M175" s="557">
        <f t="shared" si="52"/>
        <v>0</v>
      </c>
      <c r="N175" s="557">
        <f t="shared" si="46"/>
        <v>0</v>
      </c>
      <c r="O175" s="557">
        <f t="shared" si="47"/>
        <v>0</v>
      </c>
      <c r="P175" s="557">
        <f t="shared" si="48"/>
        <v>0</v>
      </c>
      <c r="Q175" s="226" t="str">
        <f t="shared" si="53"/>
        <v>Y</v>
      </c>
      <c r="R175" s="226">
        <f t="shared" si="49"/>
        <v>0</v>
      </c>
      <c r="S175">
        <f t="shared" si="50"/>
        <v>0</v>
      </c>
      <c r="T175" s="141">
        <f t="shared" si="43"/>
        <v>0</v>
      </c>
      <c r="U175" s="710">
        <f t="shared" si="54"/>
        <v>0</v>
      </c>
      <c r="V175" s="710">
        <f t="shared" si="55"/>
        <v>0</v>
      </c>
      <c r="W175" s="710">
        <f t="shared" si="56"/>
        <v>0</v>
      </c>
      <c r="X175" s="710">
        <f t="shared" si="57"/>
        <v>0</v>
      </c>
      <c r="Y175" s="141">
        <f t="shared" si="45"/>
        <v>0</v>
      </c>
      <c r="Z175">
        <f t="shared" si="58"/>
        <v>0</v>
      </c>
      <c r="AB175" s="777"/>
      <c r="AC175" s="777"/>
      <c r="AD175" t="e">
        <f t="shared" si="44"/>
        <v>#N/A</v>
      </c>
    </row>
    <row r="176" spans="1:30" x14ac:dyDescent="0.2">
      <c r="A176" s="916" t="s">
        <v>174</v>
      </c>
      <c r="B176" t="s">
        <v>2089</v>
      </c>
      <c r="C176" t="s">
        <v>1832</v>
      </c>
      <c r="D176">
        <v>3584101</v>
      </c>
      <c r="E176" t="s">
        <v>1833</v>
      </c>
      <c r="F176" s="854">
        <v>37196</v>
      </c>
      <c r="G176" s="854"/>
      <c r="H176" s="854"/>
      <c r="I176" s="854" t="s">
        <v>245</v>
      </c>
      <c r="J176">
        <f t="shared" si="41"/>
        <v>0</v>
      </c>
      <c r="K176">
        <f t="shared" si="42"/>
        <v>0</v>
      </c>
      <c r="L176" s="251">
        <f t="shared" si="51"/>
        <v>2.2800000000000001E-2</v>
      </c>
      <c r="M176" s="557">
        <f t="shared" si="52"/>
        <v>0</v>
      </c>
      <c r="N176" s="557">
        <f t="shared" si="46"/>
        <v>0</v>
      </c>
      <c r="O176" s="557">
        <f>J176-ROUND(+$J176*(VLOOKUP($I176,cngded,6,FALSE)),0)</f>
        <v>0</v>
      </c>
      <c r="P176" s="557">
        <f t="shared" si="48"/>
        <v>0</v>
      </c>
      <c r="Q176" s="226" t="str">
        <f t="shared" si="53"/>
        <v>Y</v>
      </c>
      <c r="R176" s="226">
        <f t="shared" si="49"/>
        <v>0</v>
      </c>
      <c r="S176">
        <f t="shared" si="50"/>
        <v>0</v>
      </c>
      <c r="T176" s="141">
        <f t="shared" si="43"/>
        <v>0</v>
      </c>
      <c r="U176" s="710">
        <f t="shared" si="54"/>
        <v>0</v>
      </c>
      <c r="V176" s="710">
        <f t="shared" si="55"/>
        <v>0</v>
      </c>
      <c r="W176" s="710">
        <f t="shared" si="56"/>
        <v>0</v>
      </c>
      <c r="X176" s="710">
        <f t="shared" si="57"/>
        <v>0</v>
      </c>
      <c r="Y176" s="141">
        <f t="shared" si="45"/>
        <v>0</v>
      </c>
      <c r="Z176">
        <f t="shared" si="58"/>
        <v>0</v>
      </c>
      <c r="AB176" s="777"/>
      <c r="AC176" s="777"/>
      <c r="AD176" t="e">
        <f t="shared" si="44"/>
        <v>#N/A</v>
      </c>
    </row>
    <row r="177" spans="1:30" x14ac:dyDescent="0.2">
      <c r="A177" s="916" t="s">
        <v>174</v>
      </c>
      <c r="B177" t="s">
        <v>2089</v>
      </c>
      <c r="C177" t="s">
        <v>1834</v>
      </c>
      <c r="D177">
        <v>3584201</v>
      </c>
      <c r="E177" t="s">
        <v>1833</v>
      </c>
      <c r="F177" s="854">
        <v>37196</v>
      </c>
      <c r="G177" s="854"/>
      <c r="H177" s="854"/>
      <c r="I177" s="854" t="s">
        <v>245</v>
      </c>
      <c r="J177">
        <f t="shared" si="41"/>
        <v>0</v>
      </c>
      <c r="K177">
        <f t="shared" si="42"/>
        <v>0</v>
      </c>
      <c r="L177" s="251">
        <f t="shared" si="51"/>
        <v>2.2800000000000001E-2</v>
      </c>
      <c r="M177" s="557">
        <f t="shared" si="52"/>
        <v>0</v>
      </c>
      <c r="N177" s="557">
        <f t="shared" si="46"/>
        <v>0</v>
      </c>
      <c r="O177" s="557">
        <f t="shared" ref="O177:O239" si="59">J177-ROUND(+$J177*(VLOOKUP($I177,cngded,6,FALSE)),0)</f>
        <v>0</v>
      </c>
      <c r="P177" s="557">
        <f t="shared" si="48"/>
        <v>0</v>
      </c>
      <c r="Q177" s="226" t="str">
        <f t="shared" si="53"/>
        <v>Y</v>
      </c>
      <c r="R177" s="226">
        <f t="shared" si="49"/>
        <v>0</v>
      </c>
      <c r="S177">
        <f t="shared" si="50"/>
        <v>0</v>
      </c>
      <c r="T177" s="141">
        <f t="shared" si="43"/>
        <v>0</v>
      </c>
      <c r="U177" s="710">
        <f t="shared" si="54"/>
        <v>0</v>
      </c>
      <c r="V177" s="710">
        <f t="shared" si="55"/>
        <v>0</v>
      </c>
      <c r="W177" s="710">
        <f t="shared" si="56"/>
        <v>0</v>
      </c>
      <c r="X177" s="710">
        <f t="shared" si="57"/>
        <v>0</v>
      </c>
      <c r="Y177" s="141">
        <f t="shared" si="45"/>
        <v>0</v>
      </c>
      <c r="Z177">
        <f t="shared" si="58"/>
        <v>0</v>
      </c>
      <c r="AB177" s="777"/>
      <c r="AC177" s="777"/>
      <c r="AD177" t="e">
        <f t="shared" si="44"/>
        <v>#N/A</v>
      </c>
    </row>
    <row r="178" spans="1:30" x14ac:dyDescent="0.2">
      <c r="A178" s="916" t="s">
        <v>174</v>
      </c>
      <c r="B178" t="s">
        <v>2089</v>
      </c>
      <c r="C178" t="s">
        <v>1762</v>
      </c>
      <c r="D178">
        <v>3584401</v>
      </c>
      <c r="E178" t="s">
        <v>901</v>
      </c>
      <c r="F178" s="854">
        <v>37196</v>
      </c>
      <c r="G178" s="854"/>
      <c r="H178" s="854"/>
      <c r="I178" s="854" t="s">
        <v>245</v>
      </c>
      <c r="J178">
        <f t="shared" si="41"/>
        <v>0</v>
      </c>
      <c r="K178">
        <f t="shared" si="42"/>
        <v>0</v>
      </c>
      <c r="L178" s="251">
        <f t="shared" si="51"/>
        <v>2.2800000000000001E-2</v>
      </c>
      <c r="M178" s="557">
        <f t="shared" si="52"/>
        <v>0</v>
      </c>
      <c r="N178" s="557">
        <f t="shared" si="46"/>
        <v>0</v>
      </c>
      <c r="O178" s="557">
        <f t="shared" si="59"/>
        <v>0</v>
      </c>
      <c r="P178" s="557">
        <f t="shared" si="48"/>
        <v>0</v>
      </c>
      <c r="Q178" s="226" t="str">
        <f t="shared" si="53"/>
        <v>Y</v>
      </c>
      <c r="R178" s="226">
        <f t="shared" si="49"/>
        <v>0</v>
      </c>
      <c r="S178">
        <f t="shared" si="50"/>
        <v>0</v>
      </c>
      <c r="T178" s="141">
        <f t="shared" si="43"/>
        <v>0</v>
      </c>
      <c r="U178" s="710">
        <f t="shared" si="54"/>
        <v>0</v>
      </c>
      <c r="V178" s="710">
        <f t="shared" si="55"/>
        <v>0</v>
      </c>
      <c r="W178" s="710">
        <f t="shared" si="56"/>
        <v>0</v>
      </c>
      <c r="X178" s="710">
        <f t="shared" si="57"/>
        <v>0</v>
      </c>
      <c r="Y178" s="141">
        <f t="shared" si="45"/>
        <v>0</v>
      </c>
      <c r="AB178" s="777"/>
      <c r="AC178" s="777"/>
      <c r="AD178" t="e">
        <f t="shared" si="44"/>
        <v>#N/A</v>
      </c>
    </row>
    <row r="179" spans="1:30" x14ac:dyDescent="0.2">
      <c r="A179" s="916" t="s">
        <v>174</v>
      </c>
      <c r="B179" t="s">
        <v>2089</v>
      </c>
      <c r="C179" t="s">
        <v>948</v>
      </c>
      <c r="D179">
        <v>3585801</v>
      </c>
      <c r="E179" t="s">
        <v>1150</v>
      </c>
      <c r="F179" s="854">
        <v>37196</v>
      </c>
      <c r="G179" s="854"/>
      <c r="H179" s="854"/>
      <c r="I179" s="854" t="s">
        <v>245</v>
      </c>
      <c r="J179">
        <f t="shared" si="41"/>
        <v>0</v>
      </c>
      <c r="K179">
        <f t="shared" si="42"/>
        <v>0</v>
      </c>
      <c r="L179" s="251">
        <f t="shared" si="51"/>
        <v>2.2800000000000001E-2</v>
      </c>
      <c r="M179" s="557">
        <f t="shared" si="52"/>
        <v>0</v>
      </c>
      <c r="N179" s="557">
        <f t="shared" si="46"/>
        <v>0</v>
      </c>
      <c r="O179" s="557">
        <f t="shared" si="59"/>
        <v>0</v>
      </c>
      <c r="P179" s="557">
        <f t="shared" si="48"/>
        <v>0</v>
      </c>
      <c r="Q179" s="226" t="str">
        <f t="shared" si="53"/>
        <v>Y</v>
      </c>
      <c r="R179" s="226">
        <f t="shared" si="49"/>
        <v>0</v>
      </c>
      <c r="S179">
        <f t="shared" si="50"/>
        <v>0</v>
      </c>
      <c r="T179" s="141">
        <f t="shared" si="43"/>
        <v>0</v>
      </c>
      <c r="U179" s="710">
        <f t="shared" si="54"/>
        <v>0</v>
      </c>
      <c r="V179" s="710">
        <f t="shared" si="55"/>
        <v>0</v>
      </c>
      <c r="W179" s="710">
        <f t="shared" si="56"/>
        <v>0</v>
      </c>
      <c r="X179" s="710">
        <f t="shared" si="57"/>
        <v>0</v>
      </c>
      <c r="Y179" s="141">
        <f t="shared" si="45"/>
        <v>0</v>
      </c>
      <c r="AB179" s="777"/>
      <c r="AC179" s="777"/>
      <c r="AD179" t="e">
        <f t="shared" si="44"/>
        <v>#N/A</v>
      </c>
    </row>
    <row r="180" spans="1:30" x14ac:dyDescent="0.2">
      <c r="A180" s="916" t="s">
        <v>174</v>
      </c>
      <c r="B180" t="s">
        <v>2089</v>
      </c>
      <c r="C180" t="s">
        <v>1763</v>
      </c>
      <c r="D180">
        <v>3587701</v>
      </c>
      <c r="E180" t="s">
        <v>1083</v>
      </c>
      <c r="F180" s="854">
        <v>37196</v>
      </c>
      <c r="G180" s="854"/>
      <c r="H180" s="854"/>
      <c r="I180" s="854" t="s">
        <v>245</v>
      </c>
      <c r="J180">
        <f t="shared" si="41"/>
        <v>0</v>
      </c>
      <c r="K180">
        <f t="shared" si="42"/>
        <v>0</v>
      </c>
      <c r="L180" s="251">
        <f t="shared" si="51"/>
        <v>2.2800000000000001E-2</v>
      </c>
      <c r="M180" s="557">
        <f t="shared" si="52"/>
        <v>0</v>
      </c>
      <c r="N180" s="557">
        <f t="shared" si="46"/>
        <v>0</v>
      </c>
      <c r="O180" s="557">
        <f t="shared" si="59"/>
        <v>0</v>
      </c>
      <c r="P180" s="557">
        <f t="shared" si="48"/>
        <v>0</v>
      </c>
      <c r="Q180" s="226" t="str">
        <f t="shared" si="53"/>
        <v>Y</v>
      </c>
      <c r="R180" s="226">
        <f t="shared" si="49"/>
        <v>0</v>
      </c>
      <c r="S180">
        <f t="shared" si="50"/>
        <v>0</v>
      </c>
      <c r="T180" s="141">
        <f t="shared" si="43"/>
        <v>0</v>
      </c>
      <c r="U180" s="710">
        <f t="shared" si="54"/>
        <v>0</v>
      </c>
      <c r="V180" s="710">
        <f t="shared" si="55"/>
        <v>0</v>
      </c>
      <c r="W180" s="710">
        <f t="shared" si="56"/>
        <v>0</v>
      </c>
      <c r="X180" s="710">
        <f t="shared" si="57"/>
        <v>0</v>
      </c>
      <c r="Y180" s="141">
        <f t="shared" si="45"/>
        <v>0</v>
      </c>
      <c r="AB180" s="777"/>
      <c r="AC180" s="777"/>
      <c r="AD180" t="e">
        <f t="shared" si="44"/>
        <v>#N/A</v>
      </c>
    </row>
    <row r="181" spans="1:30" x14ac:dyDescent="0.2">
      <c r="A181" s="916" t="s">
        <v>174</v>
      </c>
      <c r="B181" t="s">
        <v>2089</v>
      </c>
      <c r="C181" t="s">
        <v>109</v>
      </c>
      <c r="D181">
        <v>4004301</v>
      </c>
      <c r="E181" t="s">
        <v>110</v>
      </c>
      <c r="F181" s="854">
        <v>37196</v>
      </c>
      <c r="G181" s="854"/>
      <c r="H181" s="854"/>
      <c r="I181" s="854" t="s">
        <v>245</v>
      </c>
      <c r="J181">
        <f t="shared" si="41"/>
        <v>0</v>
      </c>
      <c r="K181">
        <f t="shared" si="42"/>
        <v>0</v>
      </c>
      <c r="L181" s="251">
        <f t="shared" si="51"/>
        <v>2.2800000000000001E-2</v>
      </c>
      <c r="M181" s="557">
        <f t="shared" si="52"/>
        <v>0</v>
      </c>
      <c r="N181" s="557">
        <f t="shared" si="46"/>
        <v>0</v>
      </c>
      <c r="O181" s="557">
        <f t="shared" si="59"/>
        <v>0</v>
      </c>
      <c r="P181" s="557">
        <f t="shared" si="48"/>
        <v>0</v>
      </c>
      <c r="Q181" s="226" t="str">
        <f t="shared" si="53"/>
        <v>Y</v>
      </c>
      <c r="R181" s="226">
        <f t="shared" si="49"/>
        <v>0</v>
      </c>
      <c r="S181">
        <f t="shared" si="50"/>
        <v>0</v>
      </c>
      <c r="T181" s="141">
        <f t="shared" si="43"/>
        <v>0</v>
      </c>
      <c r="U181" s="710">
        <f t="shared" si="54"/>
        <v>0</v>
      </c>
      <c r="V181" s="710">
        <f t="shared" si="55"/>
        <v>0</v>
      </c>
      <c r="W181" s="710">
        <f t="shared" si="56"/>
        <v>0</v>
      </c>
      <c r="X181" s="710">
        <f t="shared" si="57"/>
        <v>0</v>
      </c>
      <c r="Y181" s="141">
        <f t="shared" si="45"/>
        <v>0</v>
      </c>
      <c r="AB181" s="777"/>
      <c r="AC181" s="777"/>
      <c r="AD181" t="e">
        <f t="shared" si="44"/>
        <v>#N/A</v>
      </c>
    </row>
    <row r="182" spans="1:30" x14ac:dyDescent="0.2">
      <c r="A182" s="916" t="s">
        <v>174</v>
      </c>
      <c r="B182" t="s">
        <v>2089</v>
      </c>
      <c r="C182" t="s">
        <v>111</v>
      </c>
      <c r="D182">
        <v>4004801</v>
      </c>
      <c r="E182" t="s">
        <v>110</v>
      </c>
      <c r="F182" s="854">
        <v>37196</v>
      </c>
      <c r="G182" s="854"/>
      <c r="H182" s="854"/>
      <c r="I182" s="854" t="s">
        <v>245</v>
      </c>
      <c r="J182">
        <f t="shared" si="41"/>
        <v>0</v>
      </c>
      <c r="K182">
        <f t="shared" si="42"/>
        <v>0</v>
      </c>
      <c r="L182" s="251">
        <f t="shared" si="51"/>
        <v>2.2800000000000001E-2</v>
      </c>
      <c r="M182" s="557">
        <f t="shared" si="52"/>
        <v>0</v>
      </c>
      <c r="N182" s="557">
        <f t="shared" si="46"/>
        <v>0</v>
      </c>
      <c r="O182" s="557">
        <f t="shared" si="59"/>
        <v>0</v>
      </c>
      <c r="P182" s="557">
        <f t="shared" si="48"/>
        <v>0</v>
      </c>
      <c r="Q182" s="226" t="str">
        <f t="shared" si="53"/>
        <v>Y</v>
      </c>
      <c r="R182" s="226">
        <f t="shared" si="49"/>
        <v>0</v>
      </c>
      <c r="S182">
        <f t="shared" si="50"/>
        <v>0</v>
      </c>
      <c r="T182" s="141">
        <f t="shared" si="43"/>
        <v>0</v>
      </c>
      <c r="U182" s="710">
        <f t="shared" si="54"/>
        <v>0</v>
      </c>
      <c r="V182" s="710">
        <f t="shared" si="55"/>
        <v>0</v>
      </c>
      <c r="W182" s="710">
        <f t="shared" si="56"/>
        <v>0</v>
      </c>
      <c r="X182" s="710">
        <f t="shared" si="57"/>
        <v>0</v>
      </c>
      <c r="Y182" s="141">
        <f t="shared" si="45"/>
        <v>0</v>
      </c>
      <c r="AB182" s="777"/>
      <c r="AC182" s="777"/>
      <c r="AD182" t="e">
        <f t="shared" si="44"/>
        <v>#N/A</v>
      </c>
    </row>
    <row r="183" spans="1:30" x14ac:dyDescent="0.2">
      <c r="A183" s="916" t="s">
        <v>174</v>
      </c>
      <c r="B183" t="s">
        <v>2089</v>
      </c>
      <c r="C183" t="s">
        <v>112</v>
      </c>
      <c r="D183">
        <v>4017601</v>
      </c>
      <c r="E183" t="s">
        <v>110</v>
      </c>
      <c r="F183" s="854">
        <v>37196</v>
      </c>
      <c r="G183" s="854"/>
      <c r="H183" s="854"/>
      <c r="I183" s="854" t="s">
        <v>245</v>
      </c>
      <c r="J183">
        <f t="shared" si="41"/>
        <v>0</v>
      </c>
      <c r="K183">
        <f t="shared" si="42"/>
        <v>0</v>
      </c>
      <c r="L183" s="251">
        <f t="shared" si="51"/>
        <v>2.2800000000000001E-2</v>
      </c>
      <c r="M183" s="557">
        <f t="shared" si="52"/>
        <v>0</v>
      </c>
      <c r="N183" s="557">
        <f t="shared" si="46"/>
        <v>0</v>
      </c>
      <c r="O183" s="557">
        <f t="shared" si="59"/>
        <v>0</v>
      </c>
      <c r="P183" s="557">
        <f t="shared" si="48"/>
        <v>0</v>
      </c>
      <c r="Q183" s="226" t="str">
        <f t="shared" si="53"/>
        <v>Y</v>
      </c>
      <c r="R183" s="226">
        <f t="shared" si="49"/>
        <v>0</v>
      </c>
      <c r="S183">
        <f t="shared" si="50"/>
        <v>0</v>
      </c>
      <c r="T183" s="141">
        <f t="shared" si="43"/>
        <v>0</v>
      </c>
      <c r="U183" s="710">
        <f t="shared" si="54"/>
        <v>0</v>
      </c>
      <c r="V183" s="710">
        <f t="shared" si="55"/>
        <v>0</v>
      </c>
      <c r="W183" s="710">
        <f t="shared" si="56"/>
        <v>0</v>
      </c>
      <c r="X183" s="710">
        <f t="shared" si="57"/>
        <v>0</v>
      </c>
      <c r="Y183" s="141">
        <f t="shared" si="45"/>
        <v>0</v>
      </c>
      <c r="AB183" s="777"/>
      <c r="AC183" s="777"/>
      <c r="AD183" t="e">
        <f t="shared" si="44"/>
        <v>#N/A</v>
      </c>
    </row>
    <row r="184" spans="1:30" x14ac:dyDescent="0.2">
      <c r="A184" s="916" t="s">
        <v>174</v>
      </c>
      <c r="B184" t="s">
        <v>2089</v>
      </c>
      <c r="C184" t="s">
        <v>113</v>
      </c>
      <c r="D184">
        <v>4023001</v>
      </c>
      <c r="E184" t="s">
        <v>110</v>
      </c>
      <c r="F184" s="854">
        <v>37196</v>
      </c>
      <c r="G184" s="854"/>
      <c r="H184" s="854"/>
      <c r="I184" s="854" t="s">
        <v>245</v>
      </c>
      <c r="J184">
        <f t="shared" si="41"/>
        <v>0</v>
      </c>
      <c r="K184">
        <f t="shared" si="42"/>
        <v>0</v>
      </c>
      <c r="L184" s="251">
        <f t="shared" si="51"/>
        <v>2.2800000000000001E-2</v>
      </c>
      <c r="M184" s="557">
        <f t="shared" si="52"/>
        <v>0</v>
      </c>
      <c r="N184" s="557">
        <f t="shared" si="46"/>
        <v>0</v>
      </c>
      <c r="O184" s="557">
        <f t="shared" si="59"/>
        <v>0</v>
      </c>
      <c r="P184" s="557">
        <f t="shared" si="48"/>
        <v>0</v>
      </c>
      <c r="Q184" s="226" t="str">
        <f t="shared" si="53"/>
        <v>Y</v>
      </c>
      <c r="R184" s="226">
        <f t="shared" si="49"/>
        <v>0</v>
      </c>
      <c r="S184">
        <f t="shared" si="50"/>
        <v>0</v>
      </c>
      <c r="T184" s="141">
        <f t="shared" si="43"/>
        <v>0</v>
      </c>
      <c r="U184" s="710">
        <f t="shared" si="54"/>
        <v>0</v>
      </c>
      <c r="V184" s="710">
        <f t="shared" si="55"/>
        <v>0</v>
      </c>
      <c r="W184" s="710">
        <f t="shared" si="56"/>
        <v>0</v>
      </c>
      <c r="X184" s="710">
        <f t="shared" si="57"/>
        <v>0</v>
      </c>
      <c r="Y184" s="141">
        <f t="shared" si="45"/>
        <v>0</v>
      </c>
      <c r="AB184" s="777"/>
      <c r="AC184" s="777"/>
      <c r="AD184" t="e">
        <f t="shared" si="44"/>
        <v>#N/A</v>
      </c>
    </row>
    <row r="185" spans="1:30" x14ac:dyDescent="0.2">
      <c r="A185" s="916" t="s">
        <v>174</v>
      </c>
      <c r="B185" t="s">
        <v>2089</v>
      </c>
      <c r="C185" t="s">
        <v>1306</v>
      </c>
      <c r="D185">
        <v>4023601</v>
      </c>
      <c r="E185" t="s">
        <v>1126</v>
      </c>
      <c r="F185" s="854">
        <v>37196</v>
      </c>
      <c r="G185" s="854"/>
      <c r="H185" s="854"/>
      <c r="I185" s="854" t="s">
        <v>245</v>
      </c>
      <c r="J185">
        <f t="shared" si="41"/>
        <v>0</v>
      </c>
      <c r="K185">
        <f t="shared" si="42"/>
        <v>0</v>
      </c>
      <c r="L185" s="251">
        <f t="shared" si="51"/>
        <v>2.2800000000000001E-2</v>
      </c>
      <c r="M185" s="557">
        <f t="shared" si="52"/>
        <v>0</v>
      </c>
      <c r="N185" s="557">
        <f t="shared" si="46"/>
        <v>0</v>
      </c>
      <c r="O185" s="557">
        <f t="shared" si="59"/>
        <v>0</v>
      </c>
      <c r="P185" s="557">
        <f t="shared" si="48"/>
        <v>0</v>
      </c>
      <c r="Q185" s="226" t="str">
        <f t="shared" ref="Q185:Q247" si="60">IF(ISNA(VLOOKUP(C185,INCNG,1,FALSE)),"--", "Y")</f>
        <v>Y</v>
      </c>
      <c r="R185" s="226">
        <f>IF(ISNA(VLOOKUP(C185,INCNG,10,FALSE)),0,VLOOKUP(C185,INCNG,10,FALSE))</f>
        <v>0</v>
      </c>
      <c r="S185">
        <f t="shared" si="50"/>
        <v>0</v>
      </c>
      <c r="T185" s="141">
        <f t="shared" si="43"/>
        <v>0</v>
      </c>
      <c r="U185" s="710">
        <f t="shared" si="54"/>
        <v>0</v>
      </c>
      <c r="V185" s="710">
        <f t="shared" si="55"/>
        <v>0</v>
      </c>
      <c r="W185" s="710">
        <f t="shared" si="56"/>
        <v>0</v>
      </c>
      <c r="X185" s="710">
        <f t="shared" si="57"/>
        <v>0</v>
      </c>
      <c r="Y185" s="141">
        <f t="shared" si="45"/>
        <v>0</v>
      </c>
      <c r="AB185" s="777"/>
      <c r="AC185" s="777"/>
      <c r="AD185" t="e">
        <f t="shared" si="44"/>
        <v>#N/A</v>
      </c>
    </row>
    <row r="186" spans="1:30" x14ac:dyDescent="0.2">
      <c r="A186" s="916" t="s">
        <v>174</v>
      </c>
      <c r="B186" t="s">
        <v>2089</v>
      </c>
      <c r="C186" t="s">
        <v>116</v>
      </c>
      <c r="D186">
        <v>4036701</v>
      </c>
      <c r="E186" t="s">
        <v>110</v>
      </c>
      <c r="F186" s="854">
        <v>37196</v>
      </c>
      <c r="G186" s="854"/>
      <c r="H186" s="854"/>
      <c r="I186" s="854" t="s">
        <v>245</v>
      </c>
      <c r="J186">
        <f t="shared" si="41"/>
        <v>0</v>
      </c>
      <c r="K186">
        <f t="shared" si="42"/>
        <v>0</v>
      </c>
      <c r="L186" s="251">
        <f t="shared" si="51"/>
        <v>2.2800000000000001E-2</v>
      </c>
      <c r="M186" s="557">
        <f t="shared" si="52"/>
        <v>0</v>
      </c>
      <c r="N186" s="557">
        <f t="shared" si="46"/>
        <v>0</v>
      </c>
      <c r="O186" s="557">
        <f t="shared" si="59"/>
        <v>0</v>
      </c>
      <c r="P186" s="557">
        <f t="shared" si="48"/>
        <v>0</v>
      </c>
      <c r="Q186" s="226" t="str">
        <f t="shared" si="60"/>
        <v>Y</v>
      </c>
      <c r="R186" s="226">
        <f t="shared" ref="R186:R247" si="61">IF(ISNA(VLOOKUP(C186,INCNG,10,FALSE)),0,VLOOKUP(C186,INCNG,10,FALSE))</f>
        <v>0</v>
      </c>
      <c r="S186">
        <f t="shared" si="50"/>
        <v>0</v>
      </c>
      <c r="T186" s="141">
        <f t="shared" si="43"/>
        <v>0</v>
      </c>
      <c r="U186" s="710">
        <f t="shared" si="54"/>
        <v>0</v>
      </c>
      <c r="V186" s="710">
        <f t="shared" si="55"/>
        <v>0</v>
      </c>
      <c r="W186" s="710">
        <f t="shared" si="56"/>
        <v>0</v>
      </c>
      <c r="X186" s="710">
        <f t="shared" si="57"/>
        <v>0</v>
      </c>
      <c r="Y186" s="141">
        <f t="shared" si="45"/>
        <v>0</v>
      </c>
      <c r="AB186" s="777"/>
      <c r="AC186" s="777"/>
      <c r="AD186" t="e">
        <f t="shared" si="44"/>
        <v>#N/A</v>
      </c>
    </row>
    <row r="187" spans="1:30" x14ac:dyDescent="0.2">
      <c r="A187" s="916" t="s">
        <v>174</v>
      </c>
      <c r="B187" t="s">
        <v>2089</v>
      </c>
      <c r="C187" t="s">
        <v>117</v>
      </c>
      <c r="D187">
        <v>4037201</v>
      </c>
      <c r="E187" t="s">
        <v>110</v>
      </c>
      <c r="F187" s="854">
        <v>37196</v>
      </c>
      <c r="G187" s="854"/>
      <c r="H187" s="854"/>
      <c r="I187" s="854" t="s">
        <v>245</v>
      </c>
      <c r="J187">
        <f t="shared" si="41"/>
        <v>0</v>
      </c>
      <c r="K187">
        <f t="shared" si="42"/>
        <v>0</v>
      </c>
      <c r="L187" s="251">
        <f t="shared" si="51"/>
        <v>2.2800000000000001E-2</v>
      </c>
      <c r="M187" s="557">
        <f t="shared" si="52"/>
        <v>0</v>
      </c>
      <c r="N187" s="557">
        <f t="shared" si="46"/>
        <v>0</v>
      </c>
      <c r="O187" s="557">
        <f t="shared" si="59"/>
        <v>0</v>
      </c>
      <c r="P187" s="557">
        <f t="shared" si="48"/>
        <v>0</v>
      </c>
      <c r="Q187" s="226" t="str">
        <f t="shared" si="60"/>
        <v>Y</v>
      </c>
      <c r="R187" s="226">
        <f t="shared" si="61"/>
        <v>0</v>
      </c>
      <c r="S187">
        <f t="shared" si="50"/>
        <v>0</v>
      </c>
      <c r="T187" s="141">
        <f t="shared" si="43"/>
        <v>0</v>
      </c>
      <c r="U187" s="710">
        <f t="shared" si="54"/>
        <v>0</v>
      </c>
      <c r="V187" s="710">
        <f t="shared" si="55"/>
        <v>0</v>
      </c>
      <c r="W187" s="710">
        <f t="shared" si="56"/>
        <v>0</v>
      </c>
      <c r="X187" s="710">
        <f t="shared" si="57"/>
        <v>0</v>
      </c>
      <c r="Y187" s="141">
        <f t="shared" si="45"/>
        <v>0</v>
      </c>
      <c r="AB187" s="777"/>
      <c r="AC187" s="777"/>
      <c r="AD187" t="e">
        <f t="shared" si="44"/>
        <v>#N/A</v>
      </c>
    </row>
    <row r="188" spans="1:30" x14ac:dyDescent="0.2">
      <c r="A188" s="916" t="s">
        <v>174</v>
      </c>
      <c r="B188" t="s">
        <v>2089</v>
      </c>
      <c r="C188" t="s">
        <v>1270</v>
      </c>
      <c r="D188">
        <v>4043501</v>
      </c>
      <c r="E188" t="s">
        <v>1267</v>
      </c>
      <c r="F188" s="854">
        <v>37196</v>
      </c>
      <c r="G188" s="854"/>
      <c r="H188" s="854"/>
      <c r="I188" s="854" t="s">
        <v>245</v>
      </c>
      <c r="J188">
        <f t="shared" si="41"/>
        <v>0</v>
      </c>
      <c r="K188">
        <f t="shared" si="42"/>
        <v>0</v>
      </c>
      <c r="L188" s="251">
        <f t="shared" si="51"/>
        <v>2.2800000000000001E-2</v>
      </c>
      <c r="M188" s="557">
        <f t="shared" si="52"/>
        <v>0</v>
      </c>
      <c r="N188" s="557">
        <f t="shared" si="46"/>
        <v>0</v>
      </c>
      <c r="O188" s="557">
        <f t="shared" si="59"/>
        <v>0</v>
      </c>
      <c r="P188" s="557">
        <f t="shared" si="48"/>
        <v>0</v>
      </c>
      <c r="Q188" s="226" t="str">
        <f t="shared" si="60"/>
        <v>Y</v>
      </c>
      <c r="R188" s="226">
        <f t="shared" si="61"/>
        <v>0</v>
      </c>
      <c r="S188">
        <f t="shared" si="50"/>
        <v>0</v>
      </c>
      <c r="T188" s="141">
        <f t="shared" si="43"/>
        <v>0</v>
      </c>
      <c r="U188" s="710">
        <f t="shared" si="54"/>
        <v>0</v>
      </c>
      <c r="V188" s="710">
        <f t="shared" si="55"/>
        <v>0</v>
      </c>
      <c r="W188" s="710">
        <f t="shared" si="56"/>
        <v>0</v>
      </c>
      <c r="X188" s="710">
        <f t="shared" si="57"/>
        <v>0</v>
      </c>
      <c r="Y188" s="141">
        <f t="shared" si="45"/>
        <v>0</v>
      </c>
      <c r="AB188" s="777"/>
      <c r="AC188" s="777"/>
      <c r="AD188" t="e">
        <f t="shared" si="44"/>
        <v>#N/A</v>
      </c>
    </row>
    <row r="189" spans="1:30" x14ac:dyDescent="0.2">
      <c r="A189" s="916" t="s">
        <v>174</v>
      </c>
      <c r="B189" t="s">
        <v>2089</v>
      </c>
      <c r="C189" t="s">
        <v>1328</v>
      </c>
      <c r="D189">
        <v>4044101</v>
      </c>
      <c r="E189" t="s">
        <v>1269</v>
      </c>
      <c r="F189" s="854">
        <v>37196</v>
      </c>
      <c r="G189" s="854"/>
      <c r="H189" s="854"/>
      <c r="I189" s="854" t="s">
        <v>245</v>
      </c>
      <c r="J189">
        <f t="shared" si="41"/>
        <v>0</v>
      </c>
      <c r="K189">
        <f t="shared" si="42"/>
        <v>0</v>
      </c>
      <c r="L189" s="251">
        <f t="shared" si="51"/>
        <v>2.2800000000000001E-2</v>
      </c>
      <c r="M189" s="557">
        <f t="shared" si="52"/>
        <v>0</v>
      </c>
      <c r="N189" s="557">
        <f t="shared" si="46"/>
        <v>0</v>
      </c>
      <c r="O189" s="557">
        <f t="shared" si="59"/>
        <v>0</v>
      </c>
      <c r="P189" s="557">
        <f t="shared" si="48"/>
        <v>0</v>
      </c>
      <c r="Q189" s="226" t="str">
        <f t="shared" si="60"/>
        <v>Y</v>
      </c>
      <c r="R189" s="226">
        <f t="shared" si="61"/>
        <v>0</v>
      </c>
      <c r="S189">
        <f t="shared" si="50"/>
        <v>0</v>
      </c>
      <c r="T189" s="141">
        <f t="shared" si="43"/>
        <v>0</v>
      </c>
      <c r="U189" s="710">
        <f t="shared" si="54"/>
        <v>0</v>
      </c>
      <c r="V189" s="710">
        <f t="shared" si="55"/>
        <v>0</v>
      </c>
      <c r="W189" s="710">
        <f t="shared" si="56"/>
        <v>0</v>
      </c>
      <c r="X189" s="710">
        <f t="shared" si="57"/>
        <v>0</v>
      </c>
      <c r="Y189" s="141">
        <f t="shared" si="45"/>
        <v>0</v>
      </c>
      <c r="AB189" s="777"/>
      <c r="AC189" s="777"/>
      <c r="AD189" t="e">
        <f t="shared" si="44"/>
        <v>#N/A</v>
      </c>
    </row>
    <row r="190" spans="1:30" x14ac:dyDescent="0.2">
      <c r="A190" s="916" t="s">
        <v>174</v>
      </c>
      <c r="B190" t="s">
        <v>2089</v>
      </c>
      <c r="C190" t="s">
        <v>1271</v>
      </c>
      <c r="D190">
        <v>4044401</v>
      </c>
      <c r="E190" t="s">
        <v>175</v>
      </c>
      <c r="F190" s="854">
        <v>37196</v>
      </c>
      <c r="G190" s="854"/>
      <c r="H190" s="854"/>
      <c r="I190" s="854" t="s">
        <v>245</v>
      </c>
      <c r="J190">
        <f t="shared" si="41"/>
        <v>0</v>
      </c>
      <c r="K190">
        <f t="shared" si="42"/>
        <v>0</v>
      </c>
      <c r="L190" s="251">
        <f t="shared" si="51"/>
        <v>2.2800000000000001E-2</v>
      </c>
      <c r="M190" s="557">
        <f t="shared" si="52"/>
        <v>0</v>
      </c>
      <c r="N190" s="557">
        <f t="shared" si="46"/>
        <v>0</v>
      </c>
      <c r="O190" s="557">
        <f t="shared" si="59"/>
        <v>0</v>
      </c>
      <c r="P190" s="557">
        <f t="shared" si="48"/>
        <v>0</v>
      </c>
      <c r="Q190" s="226" t="str">
        <f t="shared" si="60"/>
        <v>Y</v>
      </c>
      <c r="R190" s="226">
        <f t="shared" si="61"/>
        <v>0</v>
      </c>
      <c r="S190">
        <f t="shared" si="50"/>
        <v>0</v>
      </c>
      <c r="T190" s="141">
        <f t="shared" si="43"/>
        <v>0</v>
      </c>
      <c r="U190" s="710">
        <f t="shared" si="54"/>
        <v>0</v>
      </c>
      <c r="V190" s="710">
        <f t="shared" si="55"/>
        <v>0</v>
      </c>
      <c r="W190" s="710">
        <f t="shared" si="56"/>
        <v>0</v>
      </c>
      <c r="X190" s="710">
        <f t="shared" si="57"/>
        <v>0</v>
      </c>
      <c r="Y190" s="141">
        <f t="shared" si="45"/>
        <v>0</v>
      </c>
      <c r="AB190" s="777"/>
      <c r="AC190" s="777"/>
      <c r="AD190" t="e">
        <f t="shared" si="44"/>
        <v>#N/A</v>
      </c>
    </row>
    <row r="191" spans="1:30" x14ac:dyDescent="0.2">
      <c r="A191" s="916" t="s">
        <v>174</v>
      </c>
      <c r="B191" t="s">
        <v>2089</v>
      </c>
      <c r="C191" t="s">
        <v>119</v>
      </c>
      <c r="D191">
        <v>4051201</v>
      </c>
      <c r="E191" t="s">
        <v>110</v>
      </c>
      <c r="F191" s="854">
        <v>37196</v>
      </c>
      <c r="G191" s="854"/>
      <c r="H191" s="854"/>
      <c r="I191" s="854" t="s">
        <v>245</v>
      </c>
      <c r="J191">
        <f t="shared" si="41"/>
        <v>0</v>
      </c>
      <c r="K191">
        <f t="shared" si="42"/>
        <v>0</v>
      </c>
      <c r="L191" s="251">
        <f t="shared" si="51"/>
        <v>2.2800000000000001E-2</v>
      </c>
      <c r="M191" s="557">
        <f t="shared" si="52"/>
        <v>0</v>
      </c>
      <c r="N191" s="557">
        <f t="shared" si="46"/>
        <v>0</v>
      </c>
      <c r="O191" s="557">
        <f t="shared" si="59"/>
        <v>0</v>
      </c>
      <c r="P191" s="557">
        <f t="shared" si="48"/>
        <v>0</v>
      </c>
      <c r="Q191" s="226" t="str">
        <f t="shared" si="60"/>
        <v>Y</v>
      </c>
      <c r="R191" s="226">
        <f t="shared" si="61"/>
        <v>0</v>
      </c>
      <c r="S191">
        <f t="shared" si="50"/>
        <v>0</v>
      </c>
      <c r="T191" s="141">
        <f t="shared" si="43"/>
        <v>0</v>
      </c>
      <c r="U191" s="710">
        <f t="shared" si="54"/>
        <v>0</v>
      </c>
      <c r="V191" s="710">
        <f t="shared" si="55"/>
        <v>0</v>
      </c>
      <c r="W191" s="710">
        <f t="shared" si="56"/>
        <v>0</v>
      </c>
      <c r="X191" s="710">
        <f t="shared" si="57"/>
        <v>0</v>
      </c>
      <c r="Y191" s="141">
        <f t="shared" si="45"/>
        <v>0</v>
      </c>
      <c r="AB191" s="777"/>
      <c r="AC191" s="777"/>
      <c r="AD191" t="e">
        <f t="shared" si="44"/>
        <v>#N/A</v>
      </c>
    </row>
    <row r="192" spans="1:30" x14ac:dyDescent="0.2">
      <c r="A192" s="916" t="s">
        <v>174</v>
      </c>
      <c r="B192" t="s">
        <v>2089</v>
      </c>
      <c r="C192" t="s">
        <v>1266</v>
      </c>
      <c r="D192">
        <v>4058801</v>
      </c>
      <c r="E192" t="s">
        <v>1267</v>
      </c>
      <c r="F192" s="854">
        <v>37196</v>
      </c>
      <c r="G192" s="854"/>
      <c r="H192" s="854"/>
      <c r="I192" s="854" t="s">
        <v>245</v>
      </c>
      <c r="J192">
        <f t="shared" si="41"/>
        <v>0</v>
      </c>
      <c r="K192">
        <f t="shared" si="42"/>
        <v>0</v>
      </c>
      <c r="L192" s="251">
        <f t="shared" si="51"/>
        <v>2.2800000000000001E-2</v>
      </c>
      <c r="M192" s="557">
        <f t="shared" si="52"/>
        <v>0</v>
      </c>
      <c r="N192" s="557">
        <f t="shared" si="46"/>
        <v>0</v>
      </c>
      <c r="O192" s="557">
        <f t="shared" si="59"/>
        <v>0</v>
      </c>
      <c r="P192" s="557">
        <f t="shared" si="48"/>
        <v>0</v>
      </c>
      <c r="Q192" s="226" t="str">
        <f t="shared" si="60"/>
        <v>Y</v>
      </c>
      <c r="R192" s="226">
        <f t="shared" si="61"/>
        <v>0</v>
      </c>
      <c r="S192">
        <f t="shared" si="50"/>
        <v>0</v>
      </c>
      <c r="T192" s="141">
        <f t="shared" si="43"/>
        <v>0</v>
      </c>
      <c r="U192" s="710">
        <f t="shared" si="54"/>
        <v>0</v>
      </c>
      <c r="V192" s="710">
        <f t="shared" si="55"/>
        <v>0</v>
      </c>
      <c r="W192" s="710">
        <f t="shared" si="56"/>
        <v>0</v>
      </c>
      <c r="X192" s="710">
        <f t="shared" si="57"/>
        <v>0</v>
      </c>
      <c r="Y192" s="141">
        <f t="shared" si="45"/>
        <v>0</v>
      </c>
      <c r="AB192" s="777"/>
      <c r="AC192" s="777"/>
      <c r="AD192" t="e">
        <f t="shared" si="44"/>
        <v>#N/A</v>
      </c>
    </row>
    <row r="193" spans="1:30" x14ac:dyDescent="0.2">
      <c r="A193" s="916" t="s">
        <v>174</v>
      </c>
      <c r="B193" t="s">
        <v>2089</v>
      </c>
      <c r="C193" t="s">
        <v>120</v>
      </c>
      <c r="D193">
        <v>4065201</v>
      </c>
      <c r="E193" t="s">
        <v>110</v>
      </c>
      <c r="F193" s="854">
        <v>37196</v>
      </c>
      <c r="G193" s="854"/>
      <c r="H193" s="854"/>
      <c r="I193" s="854" t="s">
        <v>245</v>
      </c>
      <c r="J193">
        <f t="shared" si="41"/>
        <v>0</v>
      </c>
      <c r="K193">
        <f t="shared" si="42"/>
        <v>0</v>
      </c>
      <c r="L193" s="251">
        <f t="shared" si="51"/>
        <v>2.2800000000000001E-2</v>
      </c>
      <c r="M193" s="557">
        <f t="shared" si="52"/>
        <v>0</v>
      </c>
      <c r="N193" s="557">
        <f t="shared" si="46"/>
        <v>0</v>
      </c>
      <c r="O193" s="557">
        <f t="shared" si="59"/>
        <v>0</v>
      </c>
      <c r="P193" s="557">
        <f t="shared" si="48"/>
        <v>0</v>
      </c>
      <c r="Q193" s="226" t="str">
        <f t="shared" si="60"/>
        <v>Y</v>
      </c>
      <c r="R193" s="226">
        <f t="shared" si="61"/>
        <v>0</v>
      </c>
      <c r="S193">
        <f t="shared" si="50"/>
        <v>0</v>
      </c>
      <c r="T193" s="141">
        <f t="shared" si="43"/>
        <v>0</v>
      </c>
      <c r="U193" s="710">
        <f t="shared" si="54"/>
        <v>0</v>
      </c>
      <c r="V193" s="710">
        <f t="shared" si="55"/>
        <v>0</v>
      </c>
      <c r="W193" s="710">
        <f t="shared" si="56"/>
        <v>0</v>
      </c>
      <c r="X193" s="710">
        <f t="shared" si="57"/>
        <v>0</v>
      </c>
      <c r="Y193" s="141">
        <f t="shared" si="45"/>
        <v>0</v>
      </c>
      <c r="AB193" s="777"/>
      <c r="AC193" s="777"/>
      <c r="AD193" t="e">
        <f t="shared" si="44"/>
        <v>#N/A</v>
      </c>
    </row>
    <row r="194" spans="1:30" x14ac:dyDescent="0.2">
      <c r="A194" s="916" t="s">
        <v>174</v>
      </c>
      <c r="B194" t="s">
        <v>2089</v>
      </c>
      <c r="C194" t="s">
        <v>121</v>
      </c>
      <c r="D194">
        <v>4075401</v>
      </c>
      <c r="E194" t="s">
        <v>110</v>
      </c>
      <c r="F194" s="854">
        <v>37196</v>
      </c>
      <c r="G194" s="854"/>
      <c r="H194" s="854"/>
      <c r="I194" s="854" t="s">
        <v>245</v>
      </c>
      <c r="J194">
        <f t="shared" si="41"/>
        <v>0</v>
      </c>
      <c r="K194">
        <f t="shared" si="42"/>
        <v>0</v>
      </c>
      <c r="L194" s="251">
        <f t="shared" si="51"/>
        <v>2.2800000000000001E-2</v>
      </c>
      <c r="M194" s="557">
        <f t="shared" si="52"/>
        <v>0</v>
      </c>
      <c r="N194" s="557">
        <f t="shared" si="46"/>
        <v>0</v>
      </c>
      <c r="O194" s="557">
        <f t="shared" si="59"/>
        <v>0</v>
      </c>
      <c r="P194" s="557">
        <f t="shared" si="48"/>
        <v>0</v>
      </c>
      <c r="Q194" s="226" t="str">
        <f t="shared" si="60"/>
        <v>Y</v>
      </c>
      <c r="R194" s="226">
        <f t="shared" si="61"/>
        <v>0</v>
      </c>
      <c r="S194">
        <f t="shared" si="50"/>
        <v>0</v>
      </c>
      <c r="T194" s="141">
        <f t="shared" si="43"/>
        <v>0</v>
      </c>
      <c r="U194" s="710">
        <f t="shared" si="54"/>
        <v>0</v>
      </c>
      <c r="V194" s="710">
        <f t="shared" si="55"/>
        <v>0</v>
      </c>
      <c r="W194" s="710">
        <f t="shared" si="56"/>
        <v>0</v>
      </c>
      <c r="X194" s="710">
        <f t="shared" si="57"/>
        <v>0</v>
      </c>
      <c r="Y194" s="141">
        <f t="shared" si="45"/>
        <v>0</v>
      </c>
      <c r="AB194" s="777"/>
      <c r="AC194" s="777"/>
      <c r="AD194" t="e">
        <f t="shared" si="44"/>
        <v>#N/A</v>
      </c>
    </row>
    <row r="195" spans="1:30" x14ac:dyDescent="0.2">
      <c r="A195" s="916" t="s">
        <v>174</v>
      </c>
      <c r="B195" t="s">
        <v>2089</v>
      </c>
      <c r="C195" t="s">
        <v>123</v>
      </c>
      <c r="D195">
        <v>4085901</v>
      </c>
      <c r="E195" t="s">
        <v>176</v>
      </c>
      <c r="F195" s="854">
        <v>37196</v>
      </c>
      <c r="G195" s="854"/>
      <c r="H195" s="854"/>
      <c r="I195" s="854" t="s">
        <v>245</v>
      </c>
      <c r="J195">
        <f t="shared" ref="J195:J247" si="62">IF(ISNA(VLOOKUP(C195,CNGx,2,FALSE)),"na",(VLOOKUP(C195,CNGx,2,FALSE)))</f>
        <v>0</v>
      </c>
      <c r="K195">
        <f t="shared" ref="K195:K247" si="63">IF(ISNA(VLOOKUP(C195,CNGx,3,0)),0,VLOOKUP(C195,CNGx,3,FALSE))</f>
        <v>0</v>
      </c>
      <c r="L195" s="251">
        <f t="shared" si="51"/>
        <v>2.2800000000000001E-2</v>
      </c>
      <c r="M195" s="557">
        <f t="shared" si="52"/>
        <v>0</v>
      </c>
      <c r="N195" s="557">
        <f t="shared" si="46"/>
        <v>0</v>
      </c>
      <c r="O195" s="557">
        <f t="shared" si="59"/>
        <v>0</v>
      </c>
      <c r="P195" s="557">
        <f t="shared" si="48"/>
        <v>0</v>
      </c>
      <c r="Q195" s="226" t="str">
        <f t="shared" si="60"/>
        <v>Y</v>
      </c>
      <c r="R195" s="226">
        <f t="shared" si="61"/>
        <v>0</v>
      </c>
      <c r="S195">
        <f t="shared" si="50"/>
        <v>0</v>
      </c>
      <c r="T195" s="141">
        <f t="shared" ref="T195:T247" si="64">+P195-R195</f>
        <v>0</v>
      </c>
      <c r="U195" s="710">
        <f t="shared" si="54"/>
        <v>0</v>
      </c>
      <c r="V195" s="710">
        <f t="shared" si="55"/>
        <v>0</v>
      </c>
      <c r="W195" s="710">
        <f t="shared" si="56"/>
        <v>0</v>
      </c>
      <c r="X195" s="710">
        <f t="shared" si="57"/>
        <v>0</v>
      </c>
      <c r="Y195" s="141">
        <f t="shared" si="45"/>
        <v>0</v>
      </c>
      <c r="AB195" s="777"/>
      <c r="AC195" s="777"/>
      <c r="AD195" t="e">
        <f t="shared" si="44"/>
        <v>#N/A</v>
      </c>
    </row>
    <row r="196" spans="1:30" x14ac:dyDescent="0.2">
      <c r="A196" s="916" t="s">
        <v>174</v>
      </c>
      <c r="B196" t="s">
        <v>2089</v>
      </c>
      <c r="C196" t="s">
        <v>1085</v>
      </c>
      <c r="D196">
        <v>4092601</v>
      </c>
      <c r="E196" t="s">
        <v>1081</v>
      </c>
      <c r="F196" s="854">
        <v>37196</v>
      </c>
      <c r="G196" s="854"/>
      <c r="H196" s="854"/>
      <c r="I196" s="854" t="s">
        <v>245</v>
      </c>
      <c r="J196">
        <f t="shared" si="62"/>
        <v>0</v>
      </c>
      <c r="K196">
        <f t="shared" si="63"/>
        <v>0</v>
      </c>
      <c r="L196" s="251">
        <f t="shared" si="51"/>
        <v>2.2800000000000001E-2</v>
      </c>
      <c r="M196" s="557">
        <f t="shared" si="52"/>
        <v>0</v>
      </c>
      <c r="N196" s="557">
        <f t="shared" si="46"/>
        <v>0</v>
      </c>
      <c r="O196" s="557">
        <f t="shared" si="59"/>
        <v>0</v>
      </c>
      <c r="P196" s="557">
        <f t="shared" si="48"/>
        <v>0</v>
      </c>
      <c r="Q196" s="226" t="str">
        <f t="shared" si="60"/>
        <v>Y</v>
      </c>
      <c r="R196" s="226">
        <f t="shared" si="61"/>
        <v>0</v>
      </c>
      <c r="S196">
        <f t="shared" si="50"/>
        <v>0</v>
      </c>
      <c r="T196" s="141">
        <f t="shared" si="64"/>
        <v>0</v>
      </c>
      <c r="U196" s="710">
        <f t="shared" si="54"/>
        <v>0</v>
      </c>
      <c r="V196" s="710">
        <f t="shared" si="55"/>
        <v>0</v>
      </c>
      <c r="W196" s="710">
        <f t="shared" si="56"/>
        <v>0</v>
      </c>
      <c r="X196" s="710">
        <f t="shared" si="57"/>
        <v>0</v>
      </c>
      <c r="Y196" s="141">
        <f t="shared" si="45"/>
        <v>0</v>
      </c>
      <c r="AB196" s="777"/>
      <c r="AC196" s="777"/>
      <c r="AD196" t="e">
        <f t="shared" si="44"/>
        <v>#N/A</v>
      </c>
    </row>
    <row r="197" spans="1:30" x14ac:dyDescent="0.2">
      <c r="A197" s="916" t="s">
        <v>174</v>
      </c>
      <c r="B197" t="s">
        <v>2089</v>
      </c>
      <c r="C197" t="s">
        <v>124</v>
      </c>
      <c r="D197">
        <v>4098601</v>
      </c>
      <c r="E197" t="s">
        <v>110</v>
      </c>
      <c r="F197" s="854">
        <v>37196</v>
      </c>
      <c r="G197" s="854"/>
      <c r="H197" s="854"/>
      <c r="I197" s="854" t="s">
        <v>245</v>
      </c>
      <c r="J197">
        <f t="shared" si="62"/>
        <v>0</v>
      </c>
      <c r="K197">
        <f t="shared" si="63"/>
        <v>0</v>
      </c>
      <c r="L197" s="251">
        <f t="shared" si="51"/>
        <v>2.2800000000000001E-2</v>
      </c>
      <c r="M197" s="557">
        <f t="shared" si="52"/>
        <v>0</v>
      </c>
      <c r="N197" s="557">
        <f t="shared" si="46"/>
        <v>0</v>
      </c>
      <c r="O197" s="557">
        <f t="shared" si="59"/>
        <v>0</v>
      </c>
      <c r="P197" s="557">
        <f t="shared" si="48"/>
        <v>0</v>
      </c>
      <c r="Q197" s="226" t="str">
        <f t="shared" si="60"/>
        <v>Y</v>
      </c>
      <c r="R197" s="226">
        <f t="shared" si="61"/>
        <v>0</v>
      </c>
      <c r="S197">
        <f t="shared" si="50"/>
        <v>0</v>
      </c>
      <c r="T197" s="141">
        <f t="shared" si="64"/>
        <v>0</v>
      </c>
      <c r="U197" s="710">
        <f t="shared" si="54"/>
        <v>0</v>
      </c>
      <c r="V197" s="710">
        <f t="shared" si="55"/>
        <v>0</v>
      </c>
      <c r="W197" s="710">
        <f t="shared" si="56"/>
        <v>0</v>
      </c>
      <c r="X197" s="710">
        <f t="shared" si="57"/>
        <v>0</v>
      </c>
      <c r="Y197" s="141">
        <f t="shared" si="45"/>
        <v>0</v>
      </c>
      <c r="AB197" s="777"/>
      <c r="AC197" s="777"/>
      <c r="AD197" t="e">
        <f t="shared" si="44"/>
        <v>#N/A</v>
      </c>
    </row>
    <row r="198" spans="1:30" x14ac:dyDescent="0.2">
      <c r="A198" s="916" t="s">
        <v>174</v>
      </c>
      <c r="B198" t="s">
        <v>2089</v>
      </c>
      <c r="C198" t="s">
        <v>125</v>
      </c>
      <c r="D198">
        <v>4099201</v>
      </c>
      <c r="E198" t="s">
        <v>110</v>
      </c>
      <c r="F198" s="854">
        <v>37196</v>
      </c>
      <c r="G198" s="854"/>
      <c r="H198" s="854"/>
      <c r="I198" s="854" t="s">
        <v>245</v>
      </c>
      <c r="J198">
        <f t="shared" si="62"/>
        <v>0</v>
      </c>
      <c r="K198">
        <f t="shared" si="63"/>
        <v>0</v>
      </c>
      <c r="L198" s="251">
        <f t="shared" si="51"/>
        <v>2.2800000000000001E-2</v>
      </c>
      <c r="M198" s="557">
        <f t="shared" si="52"/>
        <v>0</v>
      </c>
      <c r="N198" s="557">
        <f t="shared" si="46"/>
        <v>0</v>
      </c>
      <c r="O198" s="557">
        <f t="shared" si="59"/>
        <v>0</v>
      </c>
      <c r="P198" s="557">
        <f t="shared" si="48"/>
        <v>0</v>
      </c>
      <c r="Q198" s="226" t="str">
        <f t="shared" si="60"/>
        <v>Y</v>
      </c>
      <c r="R198" s="226">
        <f t="shared" si="61"/>
        <v>0</v>
      </c>
      <c r="S198">
        <f t="shared" si="50"/>
        <v>0</v>
      </c>
      <c r="T198" s="141">
        <f t="shared" si="64"/>
        <v>0</v>
      </c>
      <c r="U198" s="710">
        <f t="shared" si="54"/>
        <v>0</v>
      </c>
      <c r="V198" s="710">
        <f t="shared" si="55"/>
        <v>0</v>
      </c>
      <c r="W198" s="710">
        <f t="shared" si="56"/>
        <v>0</v>
      </c>
      <c r="X198" s="710">
        <f t="shared" si="57"/>
        <v>0</v>
      </c>
      <c r="Y198" s="141">
        <f t="shared" si="45"/>
        <v>0</v>
      </c>
      <c r="AB198" s="777"/>
      <c r="AC198" s="777"/>
      <c r="AD198" t="e">
        <f t="shared" si="44"/>
        <v>#N/A</v>
      </c>
    </row>
    <row r="199" spans="1:30" x14ac:dyDescent="0.2">
      <c r="A199" s="916" t="s">
        <v>174</v>
      </c>
      <c r="B199" t="s">
        <v>2089</v>
      </c>
      <c r="C199" t="s">
        <v>1278</v>
      </c>
      <c r="D199">
        <v>4106301</v>
      </c>
      <c r="E199" t="s">
        <v>1126</v>
      </c>
      <c r="F199" s="854">
        <v>37196</v>
      </c>
      <c r="G199" s="854"/>
      <c r="H199" s="854"/>
      <c r="I199" s="854" t="s">
        <v>245</v>
      </c>
      <c r="J199">
        <f t="shared" si="62"/>
        <v>0</v>
      </c>
      <c r="K199">
        <f t="shared" si="63"/>
        <v>0</v>
      </c>
      <c r="L199" s="251">
        <f t="shared" si="51"/>
        <v>2.2800000000000001E-2</v>
      </c>
      <c r="M199" s="557">
        <f t="shared" si="52"/>
        <v>0</v>
      </c>
      <c r="N199" s="557">
        <f t="shared" si="46"/>
        <v>0</v>
      </c>
      <c r="O199" s="557">
        <f t="shared" si="59"/>
        <v>0</v>
      </c>
      <c r="P199" s="557">
        <f t="shared" si="48"/>
        <v>0</v>
      </c>
      <c r="Q199" s="226" t="str">
        <f t="shared" si="60"/>
        <v>Y</v>
      </c>
      <c r="R199" s="226">
        <f t="shared" si="61"/>
        <v>0</v>
      </c>
      <c r="S199">
        <f t="shared" si="50"/>
        <v>0</v>
      </c>
      <c r="T199" s="141">
        <f t="shared" si="64"/>
        <v>0</v>
      </c>
      <c r="U199" s="710">
        <f t="shared" si="54"/>
        <v>0</v>
      </c>
      <c r="V199" s="710">
        <f t="shared" si="55"/>
        <v>0</v>
      </c>
      <c r="W199" s="710">
        <f t="shared" si="56"/>
        <v>0</v>
      </c>
      <c r="X199" s="710">
        <f t="shared" si="57"/>
        <v>0</v>
      </c>
      <c r="Y199" s="141">
        <f t="shared" si="45"/>
        <v>0</v>
      </c>
      <c r="AB199" s="777"/>
      <c r="AC199" s="777"/>
      <c r="AD199" t="e">
        <f t="shared" si="44"/>
        <v>#N/A</v>
      </c>
    </row>
    <row r="200" spans="1:30" x14ac:dyDescent="0.2">
      <c r="A200" s="916" t="s">
        <v>174</v>
      </c>
      <c r="B200" t="s">
        <v>2089</v>
      </c>
      <c r="C200" t="s">
        <v>126</v>
      </c>
      <c r="D200">
        <v>4110101</v>
      </c>
      <c r="E200" t="s">
        <v>110</v>
      </c>
      <c r="F200" s="854">
        <v>37196</v>
      </c>
      <c r="G200" s="854"/>
      <c r="H200" s="854"/>
      <c r="I200" s="854" t="s">
        <v>245</v>
      </c>
      <c r="J200">
        <f t="shared" si="62"/>
        <v>0</v>
      </c>
      <c r="K200">
        <f t="shared" si="63"/>
        <v>0</v>
      </c>
      <c r="L200" s="251">
        <f t="shared" si="51"/>
        <v>2.2800000000000001E-2</v>
      </c>
      <c r="M200" s="557">
        <f t="shared" si="52"/>
        <v>0</v>
      </c>
      <c r="N200" s="557">
        <f t="shared" si="46"/>
        <v>0</v>
      </c>
      <c r="O200" s="557">
        <f t="shared" si="59"/>
        <v>0</v>
      </c>
      <c r="P200" s="557">
        <f t="shared" si="48"/>
        <v>0</v>
      </c>
      <c r="Q200" s="226" t="str">
        <f t="shared" si="60"/>
        <v>Y</v>
      </c>
      <c r="R200" s="226">
        <f t="shared" si="61"/>
        <v>0</v>
      </c>
      <c r="S200">
        <f t="shared" si="50"/>
        <v>0</v>
      </c>
      <c r="T200" s="141">
        <f t="shared" si="64"/>
        <v>0</v>
      </c>
      <c r="U200" s="710">
        <f t="shared" si="54"/>
        <v>0</v>
      </c>
      <c r="V200" s="710">
        <f t="shared" si="55"/>
        <v>0</v>
      </c>
      <c r="W200" s="710">
        <f t="shared" si="56"/>
        <v>0</v>
      </c>
      <c r="X200" s="710">
        <f t="shared" si="57"/>
        <v>0</v>
      </c>
      <c r="Y200" s="141">
        <f t="shared" si="45"/>
        <v>0</v>
      </c>
      <c r="AB200" s="777"/>
      <c r="AC200" s="777"/>
      <c r="AD200" t="e">
        <f t="shared" si="44"/>
        <v>#N/A</v>
      </c>
    </row>
    <row r="201" spans="1:30" x14ac:dyDescent="0.2">
      <c r="A201" s="916" t="s">
        <v>174</v>
      </c>
      <c r="B201" t="s">
        <v>2089</v>
      </c>
      <c r="C201" t="s">
        <v>127</v>
      </c>
      <c r="D201">
        <v>4110201</v>
      </c>
      <c r="E201" t="s">
        <v>110</v>
      </c>
      <c r="F201" s="854">
        <v>37196</v>
      </c>
      <c r="G201" s="854"/>
      <c r="H201" s="854"/>
      <c r="I201" s="854" t="s">
        <v>245</v>
      </c>
      <c r="J201">
        <f t="shared" si="62"/>
        <v>0</v>
      </c>
      <c r="K201">
        <f t="shared" si="63"/>
        <v>0</v>
      </c>
      <c r="L201" s="251">
        <f t="shared" si="51"/>
        <v>2.2800000000000001E-2</v>
      </c>
      <c r="M201" s="557">
        <f t="shared" si="52"/>
        <v>0</v>
      </c>
      <c r="N201" s="557">
        <f t="shared" si="46"/>
        <v>0</v>
      </c>
      <c r="O201" s="557">
        <f t="shared" si="59"/>
        <v>0</v>
      </c>
      <c r="P201" s="557">
        <f t="shared" si="48"/>
        <v>0</v>
      </c>
      <c r="Q201" s="226" t="str">
        <f t="shared" si="60"/>
        <v>Y</v>
      </c>
      <c r="R201" s="226">
        <f t="shared" si="61"/>
        <v>0</v>
      </c>
      <c r="S201">
        <f t="shared" si="50"/>
        <v>0</v>
      </c>
      <c r="T201" s="141">
        <f t="shared" si="64"/>
        <v>0</v>
      </c>
      <c r="U201" s="710">
        <f t="shared" si="54"/>
        <v>0</v>
      </c>
      <c r="V201" s="710">
        <f t="shared" si="55"/>
        <v>0</v>
      </c>
      <c r="W201" s="710">
        <f t="shared" si="56"/>
        <v>0</v>
      </c>
      <c r="X201" s="710">
        <f t="shared" si="57"/>
        <v>0</v>
      </c>
      <c r="Y201" s="141">
        <f t="shared" si="45"/>
        <v>0</v>
      </c>
      <c r="AB201" s="777"/>
      <c r="AC201" s="777"/>
      <c r="AD201" t="e">
        <f t="shared" si="44"/>
        <v>#N/A</v>
      </c>
    </row>
    <row r="202" spans="1:30" x14ac:dyDescent="0.2">
      <c r="A202" s="916" t="s">
        <v>174</v>
      </c>
      <c r="B202" t="s">
        <v>2089</v>
      </c>
      <c r="C202" t="s">
        <v>128</v>
      </c>
      <c r="D202">
        <v>4110301</v>
      </c>
      <c r="E202" t="s">
        <v>110</v>
      </c>
      <c r="F202" s="854">
        <v>37196</v>
      </c>
      <c r="G202" s="854"/>
      <c r="H202" s="854"/>
      <c r="I202" s="854" t="s">
        <v>245</v>
      </c>
      <c r="J202">
        <f t="shared" si="62"/>
        <v>0</v>
      </c>
      <c r="K202">
        <f t="shared" si="63"/>
        <v>0</v>
      </c>
      <c r="L202" s="251">
        <f t="shared" si="51"/>
        <v>2.2800000000000001E-2</v>
      </c>
      <c r="M202" s="557">
        <f t="shared" si="52"/>
        <v>0</v>
      </c>
      <c r="N202" s="557">
        <f t="shared" si="46"/>
        <v>0</v>
      </c>
      <c r="O202" s="557">
        <f t="shared" si="59"/>
        <v>0</v>
      </c>
      <c r="P202" s="557">
        <f t="shared" si="48"/>
        <v>0</v>
      </c>
      <c r="Q202" s="226" t="str">
        <f t="shared" si="60"/>
        <v>Y</v>
      </c>
      <c r="R202" s="226">
        <f t="shared" si="61"/>
        <v>0</v>
      </c>
      <c r="S202">
        <f t="shared" si="50"/>
        <v>0</v>
      </c>
      <c r="T202" s="141">
        <f t="shared" si="64"/>
        <v>0</v>
      </c>
      <c r="U202" s="710">
        <f t="shared" si="54"/>
        <v>0</v>
      </c>
      <c r="V202" s="710">
        <f t="shared" si="55"/>
        <v>0</v>
      </c>
      <c r="W202" s="710">
        <f t="shared" si="56"/>
        <v>0</v>
      </c>
      <c r="X202" s="710">
        <f t="shared" si="57"/>
        <v>0</v>
      </c>
      <c r="Y202" s="141">
        <f t="shared" si="45"/>
        <v>0</v>
      </c>
      <c r="AB202" s="777"/>
      <c r="AC202" s="777"/>
      <c r="AD202" t="e">
        <f t="shared" si="44"/>
        <v>#N/A</v>
      </c>
    </row>
    <row r="203" spans="1:30" x14ac:dyDescent="0.2">
      <c r="A203" s="916" t="s">
        <v>174</v>
      </c>
      <c r="B203" t="s">
        <v>2089</v>
      </c>
      <c r="C203" t="s">
        <v>129</v>
      </c>
      <c r="D203">
        <v>4110401</v>
      </c>
      <c r="E203" t="s">
        <v>110</v>
      </c>
      <c r="F203" s="854">
        <v>37196</v>
      </c>
      <c r="G203" s="854"/>
      <c r="H203" s="854"/>
      <c r="I203" s="854" t="s">
        <v>245</v>
      </c>
      <c r="J203">
        <f t="shared" si="62"/>
        <v>0</v>
      </c>
      <c r="K203">
        <f t="shared" si="63"/>
        <v>0</v>
      </c>
      <c r="L203" s="251">
        <f t="shared" si="51"/>
        <v>2.2800000000000001E-2</v>
      </c>
      <c r="M203" s="557">
        <f t="shared" si="52"/>
        <v>0</v>
      </c>
      <c r="N203" s="557">
        <f t="shared" si="46"/>
        <v>0</v>
      </c>
      <c r="O203" s="557">
        <f t="shared" si="59"/>
        <v>0</v>
      </c>
      <c r="P203" s="557">
        <f t="shared" si="48"/>
        <v>0</v>
      </c>
      <c r="Q203" s="226" t="str">
        <f t="shared" si="60"/>
        <v>Y</v>
      </c>
      <c r="R203" s="226">
        <f t="shared" si="61"/>
        <v>0</v>
      </c>
      <c r="S203">
        <f t="shared" si="50"/>
        <v>0</v>
      </c>
      <c r="T203" s="141">
        <f t="shared" si="64"/>
        <v>0</v>
      </c>
      <c r="U203" s="710">
        <f t="shared" si="54"/>
        <v>0</v>
      </c>
      <c r="V203" s="710">
        <f t="shared" si="55"/>
        <v>0</v>
      </c>
      <c r="W203" s="710">
        <f t="shared" si="56"/>
        <v>0</v>
      </c>
      <c r="X203" s="710">
        <f t="shared" si="57"/>
        <v>0</v>
      </c>
      <c r="Y203" s="141">
        <f t="shared" si="45"/>
        <v>0</v>
      </c>
      <c r="AB203" s="777"/>
      <c r="AC203" s="777"/>
      <c r="AD203" t="e">
        <f t="shared" si="44"/>
        <v>#N/A</v>
      </c>
    </row>
    <row r="204" spans="1:30" x14ac:dyDescent="0.2">
      <c r="A204" s="916" t="s">
        <v>174</v>
      </c>
      <c r="B204" t="s">
        <v>2089</v>
      </c>
      <c r="C204" t="s">
        <v>130</v>
      </c>
      <c r="D204">
        <v>4110701</v>
      </c>
      <c r="E204" t="s">
        <v>110</v>
      </c>
      <c r="F204" s="854">
        <v>37196</v>
      </c>
      <c r="G204" s="854"/>
      <c r="H204" s="854"/>
      <c r="I204" s="854" t="s">
        <v>245</v>
      </c>
      <c r="J204">
        <f t="shared" si="62"/>
        <v>0</v>
      </c>
      <c r="K204">
        <f t="shared" si="63"/>
        <v>0</v>
      </c>
      <c r="L204" s="251">
        <f t="shared" si="51"/>
        <v>2.2800000000000001E-2</v>
      </c>
      <c r="M204" s="557">
        <f t="shared" si="52"/>
        <v>0</v>
      </c>
      <c r="N204" s="557">
        <f t="shared" si="46"/>
        <v>0</v>
      </c>
      <c r="O204" s="557">
        <f t="shared" si="59"/>
        <v>0</v>
      </c>
      <c r="P204" s="557">
        <f t="shared" si="48"/>
        <v>0</v>
      </c>
      <c r="Q204" s="226" t="str">
        <f t="shared" si="60"/>
        <v>Y</v>
      </c>
      <c r="R204" s="226">
        <f t="shared" si="61"/>
        <v>0</v>
      </c>
      <c r="S204">
        <f t="shared" si="50"/>
        <v>0</v>
      </c>
      <c r="T204" s="141">
        <f t="shared" si="64"/>
        <v>0</v>
      </c>
      <c r="U204" s="710">
        <f t="shared" si="54"/>
        <v>0</v>
      </c>
      <c r="V204" s="710">
        <f t="shared" si="55"/>
        <v>0</v>
      </c>
      <c r="W204" s="710">
        <f t="shared" si="56"/>
        <v>0</v>
      </c>
      <c r="X204" s="710">
        <f t="shared" si="57"/>
        <v>0</v>
      </c>
      <c r="Y204" s="141">
        <f t="shared" si="45"/>
        <v>0</v>
      </c>
      <c r="AB204" s="777"/>
      <c r="AC204" s="777"/>
      <c r="AD204" t="e">
        <f t="shared" si="44"/>
        <v>#N/A</v>
      </c>
    </row>
    <row r="205" spans="1:30" x14ac:dyDescent="0.2">
      <c r="A205" s="916" t="s">
        <v>174</v>
      </c>
      <c r="B205" t="s">
        <v>2091</v>
      </c>
      <c r="C205" t="s">
        <v>1870</v>
      </c>
      <c r="D205">
        <v>4132101</v>
      </c>
      <c r="E205" t="s">
        <v>549</v>
      </c>
      <c r="F205" s="854">
        <v>37196</v>
      </c>
      <c r="G205" s="854"/>
      <c r="H205" s="854"/>
      <c r="I205" s="854" t="s">
        <v>244</v>
      </c>
      <c r="J205">
        <f t="shared" si="62"/>
        <v>0</v>
      </c>
      <c r="K205">
        <f t="shared" si="63"/>
        <v>0</v>
      </c>
      <c r="L205" s="251">
        <f t="shared" si="51"/>
        <v>2.2800000000000001E-2</v>
      </c>
      <c r="M205" s="557">
        <f t="shared" si="52"/>
        <v>0</v>
      </c>
      <c r="N205" s="557">
        <f t="shared" si="46"/>
        <v>0</v>
      </c>
      <c r="O205" s="557">
        <f t="shared" si="59"/>
        <v>0</v>
      </c>
      <c r="P205" s="557">
        <f t="shared" si="48"/>
        <v>0</v>
      </c>
      <c r="Q205" s="226" t="str">
        <f t="shared" si="60"/>
        <v>Y</v>
      </c>
      <c r="R205" s="226">
        <f t="shared" si="61"/>
        <v>0</v>
      </c>
      <c r="S205">
        <f t="shared" si="50"/>
        <v>0</v>
      </c>
      <c r="T205" s="141">
        <f t="shared" si="64"/>
        <v>0</v>
      </c>
      <c r="U205" s="710">
        <f t="shared" si="54"/>
        <v>0</v>
      </c>
      <c r="V205" s="710">
        <f t="shared" si="55"/>
        <v>0</v>
      </c>
      <c r="W205" s="710">
        <f t="shared" si="56"/>
        <v>0</v>
      </c>
      <c r="X205" s="710">
        <f t="shared" si="57"/>
        <v>0</v>
      </c>
      <c r="Y205" s="141">
        <f t="shared" si="45"/>
        <v>0</v>
      </c>
      <c r="AB205" s="777"/>
      <c r="AC205" s="777"/>
      <c r="AD205" t="e">
        <f t="shared" si="44"/>
        <v>#N/A</v>
      </c>
    </row>
    <row r="206" spans="1:30" x14ac:dyDescent="0.2">
      <c r="A206" s="916" t="s">
        <v>174</v>
      </c>
      <c r="B206" t="s">
        <v>2091</v>
      </c>
      <c r="C206" t="s">
        <v>1872</v>
      </c>
      <c r="D206">
        <v>4132201</v>
      </c>
      <c r="E206" t="s">
        <v>549</v>
      </c>
      <c r="F206" s="854">
        <v>37196</v>
      </c>
      <c r="G206" s="854"/>
      <c r="H206" s="854"/>
      <c r="I206" s="854" t="s">
        <v>244</v>
      </c>
      <c r="J206">
        <f t="shared" si="62"/>
        <v>0</v>
      </c>
      <c r="K206">
        <f t="shared" si="63"/>
        <v>0</v>
      </c>
      <c r="L206" s="251">
        <f t="shared" si="51"/>
        <v>2.2800000000000001E-2</v>
      </c>
      <c r="M206" s="557">
        <f t="shared" si="52"/>
        <v>0</v>
      </c>
      <c r="N206" s="557">
        <f t="shared" si="46"/>
        <v>0</v>
      </c>
      <c r="O206" s="557">
        <f t="shared" si="59"/>
        <v>0</v>
      </c>
      <c r="P206" s="557">
        <f t="shared" si="48"/>
        <v>0</v>
      </c>
      <c r="Q206" s="226" t="str">
        <f t="shared" si="60"/>
        <v>Y</v>
      </c>
      <c r="R206" s="226">
        <f t="shared" si="61"/>
        <v>0</v>
      </c>
      <c r="S206">
        <f t="shared" si="50"/>
        <v>0</v>
      </c>
      <c r="T206" s="141">
        <f t="shared" si="64"/>
        <v>0</v>
      </c>
      <c r="U206" s="710">
        <f t="shared" si="54"/>
        <v>0</v>
      </c>
      <c r="V206" s="710">
        <f t="shared" si="55"/>
        <v>0</v>
      </c>
      <c r="W206" s="710">
        <f t="shared" si="56"/>
        <v>0</v>
      </c>
      <c r="X206" s="710">
        <f t="shared" si="57"/>
        <v>0</v>
      </c>
      <c r="Y206" s="141">
        <f t="shared" si="45"/>
        <v>0</v>
      </c>
      <c r="AB206" s="777"/>
      <c r="AC206" s="777"/>
      <c r="AD206" t="e">
        <f t="shared" si="44"/>
        <v>#N/A</v>
      </c>
    </row>
    <row r="207" spans="1:30" x14ac:dyDescent="0.2">
      <c r="A207" s="916" t="s">
        <v>174</v>
      </c>
      <c r="B207" t="s">
        <v>2091</v>
      </c>
      <c r="C207" t="s">
        <v>1080</v>
      </c>
      <c r="D207">
        <v>4133001</v>
      </c>
      <c r="E207" t="s">
        <v>1081</v>
      </c>
      <c r="F207" s="854">
        <v>37196</v>
      </c>
      <c r="G207" s="854"/>
      <c r="H207" s="854"/>
      <c r="I207" s="854" t="s">
        <v>244</v>
      </c>
      <c r="J207">
        <f t="shared" si="62"/>
        <v>0</v>
      </c>
      <c r="K207">
        <f t="shared" si="63"/>
        <v>0</v>
      </c>
      <c r="L207" s="251">
        <f t="shared" si="51"/>
        <v>2.2800000000000001E-2</v>
      </c>
      <c r="M207" s="557">
        <f t="shared" si="52"/>
        <v>0</v>
      </c>
      <c r="N207" s="557">
        <f t="shared" si="46"/>
        <v>0</v>
      </c>
      <c r="O207" s="557">
        <f t="shared" si="59"/>
        <v>0</v>
      </c>
      <c r="P207" s="557">
        <f t="shared" si="48"/>
        <v>0</v>
      </c>
      <c r="Q207" s="226" t="str">
        <f t="shared" si="60"/>
        <v>Y</v>
      </c>
      <c r="R207" s="226">
        <f t="shared" si="61"/>
        <v>0</v>
      </c>
      <c r="S207">
        <f t="shared" si="50"/>
        <v>0</v>
      </c>
      <c r="T207" s="141">
        <f t="shared" si="64"/>
        <v>0</v>
      </c>
      <c r="U207" s="710">
        <f t="shared" si="54"/>
        <v>0</v>
      </c>
      <c r="V207" s="710">
        <f t="shared" si="55"/>
        <v>0</v>
      </c>
      <c r="W207" s="710">
        <f t="shared" si="56"/>
        <v>0</v>
      </c>
      <c r="X207" s="710">
        <f t="shared" si="57"/>
        <v>0</v>
      </c>
      <c r="Y207" s="141">
        <f t="shared" si="45"/>
        <v>0</v>
      </c>
      <c r="AB207" s="777"/>
      <c r="AC207" s="777"/>
      <c r="AD207" t="e">
        <f t="shared" si="44"/>
        <v>#N/A</v>
      </c>
    </row>
    <row r="208" spans="1:30" x14ac:dyDescent="0.2">
      <c r="A208" s="916" t="s">
        <v>174</v>
      </c>
      <c r="B208" t="s">
        <v>2091</v>
      </c>
      <c r="C208" t="s">
        <v>1873</v>
      </c>
      <c r="D208">
        <v>4134301</v>
      </c>
      <c r="E208" t="s">
        <v>549</v>
      </c>
      <c r="F208" s="854">
        <v>37196</v>
      </c>
      <c r="G208" s="854"/>
      <c r="H208" s="854"/>
      <c r="I208" s="854" t="s">
        <v>244</v>
      </c>
      <c r="J208">
        <f t="shared" si="62"/>
        <v>0</v>
      </c>
      <c r="K208">
        <f t="shared" si="63"/>
        <v>0</v>
      </c>
      <c r="L208" s="251">
        <f t="shared" si="51"/>
        <v>2.2800000000000001E-2</v>
      </c>
      <c r="M208" s="557">
        <f t="shared" si="52"/>
        <v>0</v>
      </c>
      <c r="N208" s="557">
        <f t="shared" si="46"/>
        <v>0</v>
      </c>
      <c r="O208" s="557">
        <f t="shared" si="59"/>
        <v>0</v>
      </c>
      <c r="P208" s="557">
        <f t="shared" si="48"/>
        <v>0</v>
      </c>
      <c r="Q208" s="226" t="str">
        <f t="shared" si="60"/>
        <v>Y</v>
      </c>
      <c r="R208" s="226">
        <f t="shared" si="61"/>
        <v>0</v>
      </c>
      <c r="S208">
        <f t="shared" si="50"/>
        <v>0</v>
      </c>
      <c r="T208" s="141">
        <f t="shared" si="64"/>
        <v>0</v>
      </c>
      <c r="U208" s="710">
        <f t="shared" si="54"/>
        <v>0</v>
      </c>
      <c r="V208" s="710">
        <f t="shared" si="55"/>
        <v>0</v>
      </c>
      <c r="W208" s="710">
        <f t="shared" si="56"/>
        <v>0</v>
      </c>
      <c r="X208" s="710">
        <f t="shared" si="57"/>
        <v>0</v>
      </c>
      <c r="Y208" s="141">
        <f t="shared" si="45"/>
        <v>0</v>
      </c>
      <c r="AB208" s="777"/>
      <c r="AC208" s="777"/>
      <c r="AD208" t="e">
        <f t="shared" si="44"/>
        <v>#N/A</v>
      </c>
    </row>
    <row r="209" spans="1:30" x14ac:dyDescent="0.2">
      <c r="A209" s="916" t="s">
        <v>174</v>
      </c>
      <c r="B209" t="s">
        <v>2091</v>
      </c>
      <c r="C209" t="s">
        <v>1874</v>
      </c>
      <c r="D209">
        <v>4137901</v>
      </c>
      <c r="E209" t="s">
        <v>549</v>
      </c>
      <c r="F209" s="854">
        <v>37196</v>
      </c>
      <c r="G209" s="854"/>
      <c r="H209" s="854"/>
      <c r="I209" s="854" t="s">
        <v>244</v>
      </c>
      <c r="J209">
        <f t="shared" si="62"/>
        <v>0</v>
      </c>
      <c r="K209">
        <f t="shared" si="63"/>
        <v>0</v>
      </c>
      <c r="L209" s="251">
        <f t="shared" si="51"/>
        <v>2.2800000000000001E-2</v>
      </c>
      <c r="M209" s="557">
        <f t="shared" si="52"/>
        <v>0</v>
      </c>
      <c r="N209" s="557">
        <f t="shared" si="46"/>
        <v>0</v>
      </c>
      <c r="O209" s="557">
        <f t="shared" si="59"/>
        <v>0</v>
      </c>
      <c r="P209" s="557">
        <f t="shared" si="48"/>
        <v>0</v>
      </c>
      <c r="Q209" s="226" t="str">
        <f t="shared" si="60"/>
        <v>Y</v>
      </c>
      <c r="R209" s="226">
        <f t="shared" si="61"/>
        <v>0</v>
      </c>
      <c r="S209">
        <f t="shared" si="50"/>
        <v>0</v>
      </c>
      <c r="T209" s="141">
        <f t="shared" si="64"/>
        <v>0</v>
      </c>
      <c r="U209" s="710">
        <f t="shared" si="54"/>
        <v>0</v>
      </c>
      <c r="V209" s="710">
        <f t="shared" si="55"/>
        <v>0</v>
      </c>
      <c r="W209" s="710">
        <f t="shared" si="56"/>
        <v>0</v>
      </c>
      <c r="X209" s="710">
        <f t="shared" si="57"/>
        <v>0</v>
      </c>
      <c r="Y209" s="141">
        <f t="shared" si="45"/>
        <v>0</v>
      </c>
      <c r="AB209" s="777"/>
      <c r="AC209" s="777"/>
      <c r="AD209" t="e">
        <f t="shared" si="44"/>
        <v>#N/A</v>
      </c>
    </row>
    <row r="210" spans="1:30" x14ac:dyDescent="0.2">
      <c r="A210" s="916" t="s">
        <v>174</v>
      </c>
      <c r="B210" t="s">
        <v>2091</v>
      </c>
      <c r="C210" t="s">
        <v>1082</v>
      </c>
      <c r="D210">
        <v>4156001</v>
      </c>
      <c r="E210" t="s">
        <v>1083</v>
      </c>
      <c r="F210" s="854">
        <v>37196</v>
      </c>
      <c r="G210" s="854"/>
      <c r="H210" s="854"/>
      <c r="I210" s="854" t="s">
        <v>244</v>
      </c>
      <c r="J210">
        <f t="shared" si="62"/>
        <v>0</v>
      </c>
      <c r="K210">
        <f t="shared" si="63"/>
        <v>0</v>
      </c>
      <c r="L210" s="251">
        <f t="shared" si="51"/>
        <v>2.2800000000000001E-2</v>
      </c>
      <c r="M210" s="557">
        <f t="shared" si="52"/>
        <v>0</v>
      </c>
      <c r="N210" s="557">
        <f t="shared" si="46"/>
        <v>0</v>
      </c>
      <c r="O210" s="557">
        <f t="shared" si="59"/>
        <v>0</v>
      </c>
      <c r="P210" s="557">
        <f t="shared" si="48"/>
        <v>0</v>
      </c>
      <c r="Q210" s="226" t="str">
        <f t="shared" si="60"/>
        <v>Y</v>
      </c>
      <c r="R210" s="226">
        <f t="shared" si="61"/>
        <v>0</v>
      </c>
      <c r="S210">
        <f t="shared" si="50"/>
        <v>0</v>
      </c>
      <c r="T210" s="141">
        <f t="shared" si="64"/>
        <v>0</v>
      </c>
      <c r="U210" s="710">
        <f t="shared" si="54"/>
        <v>0</v>
      </c>
      <c r="V210" s="710">
        <f t="shared" si="55"/>
        <v>0</v>
      </c>
      <c r="W210" s="710">
        <f t="shared" si="56"/>
        <v>0</v>
      </c>
      <c r="X210" s="710">
        <f t="shared" si="57"/>
        <v>0</v>
      </c>
      <c r="Y210" s="141">
        <f t="shared" si="45"/>
        <v>0</v>
      </c>
      <c r="AB210" s="777"/>
      <c r="AC210" s="777"/>
      <c r="AD210" t="e">
        <f t="shared" si="44"/>
        <v>#N/A</v>
      </c>
    </row>
    <row r="211" spans="1:30" x14ac:dyDescent="0.2">
      <c r="A211" s="916" t="s">
        <v>174</v>
      </c>
      <c r="B211" t="s">
        <v>2089</v>
      </c>
      <c r="C211" t="s">
        <v>1263</v>
      </c>
      <c r="D211">
        <v>4180601</v>
      </c>
      <c r="E211" t="s">
        <v>1264</v>
      </c>
      <c r="F211" s="854">
        <v>37196</v>
      </c>
      <c r="G211" s="854"/>
      <c r="H211" s="854"/>
      <c r="I211" s="854" t="s">
        <v>245</v>
      </c>
      <c r="J211">
        <f t="shared" si="62"/>
        <v>0</v>
      </c>
      <c r="K211">
        <f t="shared" si="63"/>
        <v>0</v>
      </c>
      <c r="L211" s="251">
        <f t="shared" si="51"/>
        <v>2.2800000000000001E-2</v>
      </c>
      <c r="M211" s="557">
        <f t="shared" si="52"/>
        <v>0</v>
      </c>
      <c r="N211" s="557">
        <f t="shared" si="46"/>
        <v>0</v>
      </c>
      <c r="O211" s="557">
        <f t="shared" si="59"/>
        <v>0</v>
      </c>
      <c r="P211" s="557">
        <f t="shared" si="48"/>
        <v>0</v>
      </c>
      <c r="Q211" s="226" t="str">
        <f t="shared" si="60"/>
        <v>Y</v>
      </c>
      <c r="R211" s="226">
        <f t="shared" si="61"/>
        <v>0</v>
      </c>
      <c r="S211">
        <f t="shared" si="50"/>
        <v>0</v>
      </c>
      <c r="T211" s="141">
        <f t="shared" si="64"/>
        <v>0</v>
      </c>
      <c r="U211" s="710">
        <f t="shared" si="54"/>
        <v>0</v>
      </c>
      <c r="V211" s="710">
        <f t="shared" si="55"/>
        <v>0</v>
      </c>
      <c r="W211" s="710">
        <f t="shared" si="56"/>
        <v>0</v>
      </c>
      <c r="X211" s="710">
        <f t="shared" si="57"/>
        <v>0</v>
      </c>
      <c r="Y211" s="141">
        <f t="shared" si="45"/>
        <v>0</v>
      </c>
      <c r="AB211" s="777"/>
      <c r="AC211" s="777"/>
      <c r="AD211" t="e">
        <f t="shared" si="44"/>
        <v>#N/A</v>
      </c>
    </row>
    <row r="212" spans="1:30" x14ac:dyDescent="0.2">
      <c r="A212" s="916" t="s">
        <v>174</v>
      </c>
      <c r="B212" t="s">
        <v>2089</v>
      </c>
      <c r="C212" t="s">
        <v>1265</v>
      </c>
      <c r="D212">
        <v>4188401</v>
      </c>
      <c r="E212" t="s">
        <v>1264</v>
      </c>
      <c r="F212" s="854">
        <v>37196</v>
      </c>
      <c r="G212" s="854"/>
      <c r="H212" s="854"/>
      <c r="I212" s="854" t="s">
        <v>245</v>
      </c>
      <c r="J212">
        <f t="shared" si="62"/>
        <v>0</v>
      </c>
      <c r="K212">
        <f t="shared" si="63"/>
        <v>0</v>
      </c>
      <c r="L212" s="251">
        <f t="shared" si="51"/>
        <v>2.2800000000000001E-2</v>
      </c>
      <c r="M212" s="557">
        <f t="shared" si="52"/>
        <v>0</v>
      </c>
      <c r="N212" s="557">
        <f t="shared" si="46"/>
        <v>0</v>
      </c>
      <c r="O212" s="557">
        <f t="shared" si="59"/>
        <v>0</v>
      </c>
      <c r="P212" s="557">
        <f t="shared" si="48"/>
        <v>0</v>
      </c>
      <c r="Q212" s="226" t="str">
        <f t="shared" si="60"/>
        <v>Y</v>
      </c>
      <c r="R212" s="226">
        <f t="shared" si="61"/>
        <v>0</v>
      </c>
      <c r="S212">
        <f t="shared" si="50"/>
        <v>0</v>
      </c>
      <c r="T212" s="141">
        <f t="shared" si="64"/>
        <v>0</v>
      </c>
      <c r="U212" s="710">
        <f t="shared" si="54"/>
        <v>0</v>
      </c>
      <c r="V212" s="710">
        <f t="shared" si="55"/>
        <v>0</v>
      </c>
      <c r="W212" s="710">
        <f t="shared" si="56"/>
        <v>0</v>
      </c>
      <c r="X212" s="710">
        <f t="shared" si="57"/>
        <v>0</v>
      </c>
      <c r="Y212" s="141">
        <f t="shared" si="45"/>
        <v>0</v>
      </c>
      <c r="AB212" s="777"/>
      <c r="AC212" s="777"/>
      <c r="AD212" t="e">
        <f t="shared" si="44"/>
        <v>#N/A</v>
      </c>
    </row>
    <row r="213" spans="1:30" x14ac:dyDescent="0.2">
      <c r="A213" s="916" t="s">
        <v>174</v>
      </c>
      <c r="B213" t="s">
        <v>2091</v>
      </c>
      <c r="C213" t="s">
        <v>1875</v>
      </c>
      <c r="D213">
        <v>4235001</v>
      </c>
      <c r="E213" t="s">
        <v>549</v>
      </c>
      <c r="F213" s="854">
        <v>37196</v>
      </c>
      <c r="G213" s="854"/>
      <c r="H213" s="854"/>
      <c r="I213" s="854" t="s">
        <v>244</v>
      </c>
      <c r="J213">
        <f t="shared" si="62"/>
        <v>0</v>
      </c>
      <c r="K213">
        <f t="shared" si="63"/>
        <v>0</v>
      </c>
      <c r="L213" s="251">
        <f t="shared" si="51"/>
        <v>2.2800000000000001E-2</v>
      </c>
      <c r="M213" s="557">
        <f t="shared" si="52"/>
        <v>0</v>
      </c>
      <c r="N213" s="557">
        <f t="shared" si="46"/>
        <v>0</v>
      </c>
      <c r="O213" s="557">
        <f t="shared" si="59"/>
        <v>0</v>
      </c>
      <c r="P213" s="557">
        <f t="shared" si="48"/>
        <v>0</v>
      </c>
      <c r="Q213" s="226" t="str">
        <f t="shared" si="60"/>
        <v>Y</v>
      </c>
      <c r="R213" s="226">
        <f t="shared" si="61"/>
        <v>0</v>
      </c>
      <c r="S213">
        <f t="shared" si="50"/>
        <v>0</v>
      </c>
      <c r="T213" s="141">
        <f t="shared" si="64"/>
        <v>0</v>
      </c>
      <c r="U213" s="710">
        <f t="shared" si="54"/>
        <v>0</v>
      </c>
      <c r="V213" s="710">
        <f t="shared" si="55"/>
        <v>0</v>
      </c>
      <c r="W213" s="710">
        <f t="shared" si="56"/>
        <v>0</v>
      </c>
      <c r="X213" s="710">
        <f t="shared" si="57"/>
        <v>0</v>
      </c>
      <c r="Y213" s="141">
        <f t="shared" si="45"/>
        <v>0</v>
      </c>
      <c r="AB213" s="777"/>
      <c r="AC213" s="777"/>
      <c r="AD213" t="e">
        <f t="shared" si="44"/>
        <v>#N/A</v>
      </c>
    </row>
    <row r="214" spans="1:30" x14ac:dyDescent="0.2">
      <c r="A214" s="916" t="s">
        <v>174</v>
      </c>
      <c r="B214" t="s">
        <v>2089</v>
      </c>
      <c r="C214" t="s">
        <v>1337</v>
      </c>
      <c r="D214">
        <v>4243601</v>
      </c>
      <c r="E214" t="s">
        <v>1083</v>
      </c>
      <c r="F214" s="854">
        <v>37196</v>
      </c>
      <c r="G214" s="854"/>
      <c r="H214" s="854"/>
      <c r="I214" s="854" t="s">
        <v>245</v>
      </c>
      <c r="J214">
        <f t="shared" si="62"/>
        <v>0</v>
      </c>
      <c r="K214">
        <f t="shared" si="63"/>
        <v>0</v>
      </c>
      <c r="L214" s="251">
        <f t="shared" si="51"/>
        <v>2.2800000000000001E-2</v>
      </c>
      <c r="M214" s="557">
        <f t="shared" si="52"/>
        <v>0</v>
      </c>
      <c r="N214" s="557">
        <f t="shared" si="46"/>
        <v>0</v>
      </c>
      <c r="O214" s="557">
        <f t="shared" si="59"/>
        <v>0</v>
      </c>
      <c r="P214" s="557">
        <f t="shared" si="48"/>
        <v>0</v>
      </c>
      <c r="Q214" s="226" t="str">
        <f t="shared" si="60"/>
        <v>Y</v>
      </c>
      <c r="R214" s="226">
        <f t="shared" si="61"/>
        <v>0</v>
      </c>
      <c r="S214">
        <f t="shared" si="50"/>
        <v>0</v>
      </c>
      <c r="T214" s="141">
        <f t="shared" si="64"/>
        <v>0</v>
      </c>
      <c r="U214" s="710">
        <f t="shared" si="54"/>
        <v>0</v>
      </c>
      <c r="V214" s="710">
        <f t="shared" si="55"/>
        <v>0</v>
      </c>
      <c r="W214" s="710">
        <f t="shared" si="56"/>
        <v>0</v>
      </c>
      <c r="X214" s="710">
        <f t="shared" si="57"/>
        <v>0</v>
      </c>
      <c r="Y214" s="141">
        <f t="shared" si="45"/>
        <v>0</v>
      </c>
      <c r="AB214" s="777"/>
      <c r="AC214" s="777"/>
      <c r="AD214" t="e">
        <f t="shared" si="44"/>
        <v>#N/A</v>
      </c>
    </row>
    <row r="215" spans="1:30" x14ac:dyDescent="0.2">
      <c r="A215" s="916" t="s">
        <v>174</v>
      </c>
      <c r="B215" t="s">
        <v>2089</v>
      </c>
      <c r="C215" t="s">
        <v>2107</v>
      </c>
      <c r="D215">
        <v>4244501</v>
      </c>
      <c r="E215" t="s">
        <v>2108</v>
      </c>
      <c r="F215" s="854">
        <v>37196</v>
      </c>
      <c r="G215" s="854"/>
      <c r="H215" s="854"/>
      <c r="I215" s="854" t="s">
        <v>245</v>
      </c>
      <c r="J215">
        <f t="shared" si="62"/>
        <v>0</v>
      </c>
      <c r="K215">
        <f t="shared" si="63"/>
        <v>0</v>
      </c>
      <c r="L215" s="251">
        <f t="shared" si="51"/>
        <v>2.2800000000000001E-2</v>
      </c>
      <c r="M215" s="557">
        <f t="shared" si="52"/>
        <v>0</v>
      </c>
      <c r="N215" s="557">
        <f t="shared" si="46"/>
        <v>0</v>
      </c>
      <c r="O215" s="557">
        <f t="shared" si="59"/>
        <v>0</v>
      </c>
      <c r="P215" s="557">
        <f t="shared" si="48"/>
        <v>0</v>
      </c>
      <c r="Q215" s="226" t="str">
        <f t="shared" si="60"/>
        <v>Y</v>
      </c>
      <c r="R215" s="226">
        <f t="shared" si="61"/>
        <v>0</v>
      </c>
      <c r="S215">
        <f t="shared" si="50"/>
        <v>0</v>
      </c>
      <c r="T215" s="141">
        <f t="shared" si="64"/>
        <v>0</v>
      </c>
      <c r="U215" s="710">
        <f t="shared" si="54"/>
        <v>0</v>
      </c>
      <c r="V215" s="710">
        <f t="shared" si="55"/>
        <v>0</v>
      </c>
      <c r="W215" s="710">
        <f t="shared" si="56"/>
        <v>0</v>
      </c>
      <c r="X215" s="710">
        <f t="shared" si="57"/>
        <v>0</v>
      </c>
      <c r="Y215" s="141">
        <f t="shared" si="45"/>
        <v>0</v>
      </c>
      <c r="AB215" s="777"/>
      <c r="AC215" s="777"/>
      <c r="AD215" t="e">
        <f t="shared" si="44"/>
        <v>#N/A</v>
      </c>
    </row>
    <row r="216" spans="1:30" x14ac:dyDescent="0.2">
      <c r="A216" s="916" t="s">
        <v>174</v>
      </c>
      <c r="B216" t="s">
        <v>2091</v>
      </c>
      <c r="C216" t="s">
        <v>1876</v>
      </c>
      <c r="D216">
        <v>4281001</v>
      </c>
      <c r="E216" t="s">
        <v>1877</v>
      </c>
      <c r="F216" s="854">
        <v>37196</v>
      </c>
      <c r="G216" s="854"/>
      <c r="H216" s="854"/>
      <c r="I216" s="854" t="s">
        <v>244</v>
      </c>
      <c r="J216">
        <f t="shared" si="62"/>
        <v>0</v>
      </c>
      <c r="K216">
        <f t="shared" si="63"/>
        <v>0</v>
      </c>
      <c r="L216" s="251">
        <f t="shared" si="51"/>
        <v>2.2800000000000001E-2</v>
      </c>
      <c r="M216" s="557">
        <f t="shared" si="52"/>
        <v>0</v>
      </c>
      <c r="N216" s="557">
        <f t="shared" si="46"/>
        <v>0</v>
      </c>
      <c r="O216" s="557">
        <f t="shared" si="59"/>
        <v>0</v>
      </c>
      <c r="P216" s="557">
        <f t="shared" si="48"/>
        <v>0</v>
      </c>
      <c r="Q216" s="226" t="str">
        <f t="shared" si="60"/>
        <v>Y</v>
      </c>
      <c r="R216" s="226">
        <f t="shared" si="61"/>
        <v>0</v>
      </c>
      <c r="S216">
        <f t="shared" si="50"/>
        <v>0</v>
      </c>
      <c r="T216" s="141">
        <f t="shared" si="64"/>
        <v>0</v>
      </c>
      <c r="U216" s="710">
        <f t="shared" si="54"/>
        <v>0</v>
      </c>
      <c r="V216" s="710">
        <f t="shared" si="55"/>
        <v>0</v>
      </c>
      <c r="W216" s="710">
        <f t="shared" si="56"/>
        <v>0</v>
      </c>
      <c r="X216" s="710">
        <f t="shared" si="57"/>
        <v>0</v>
      </c>
      <c r="Y216" s="141">
        <f t="shared" si="45"/>
        <v>0</v>
      </c>
      <c r="AB216" s="777"/>
      <c r="AC216" s="777"/>
      <c r="AD216" t="e">
        <f t="shared" si="44"/>
        <v>#N/A</v>
      </c>
    </row>
    <row r="217" spans="1:30" x14ac:dyDescent="0.2">
      <c r="A217" s="916" t="s">
        <v>174</v>
      </c>
      <c r="B217" t="s">
        <v>2091</v>
      </c>
      <c r="C217" t="s">
        <v>1077</v>
      </c>
      <c r="D217">
        <v>4315601</v>
      </c>
      <c r="E217" t="s">
        <v>1078</v>
      </c>
      <c r="F217" s="854">
        <v>37196</v>
      </c>
      <c r="G217" s="854"/>
      <c r="H217" s="854"/>
      <c r="I217" s="854" t="s">
        <v>244</v>
      </c>
      <c r="J217" t="str">
        <f t="shared" si="62"/>
        <v>na</v>
      </c>
      <c r="K217">
        <f t="shared" si="63"/>
        <v>0</v>
      </c>
      <c r="L217" s="251">
        <f t="shared" si="51"/>
        <v>2.2800000000000001E-2</v>
      </c>
      <c r="M217" s="557" t="e">
        <f t="shared" si="52"/>
        <v>#VALUE!</v>
      </c>
      <c r="N217" s="557">
        <f t="shared" si="46"/>
        <v>0</v>
      </c>
      <c r="O217" s="557" t="e">
        <f t="shared" si="59"/>
        <v>#VALUE!</v>
      </c>
      <c r="P217" s="557">
        <f t="shared" si="48"/>
        <v>0</v>
      </c>
      <c r="Q217" s="226" t="str">
        <f t="shared" si="60"/>
        <v>Y</v>
      </c>
      <c r="R217" s="226" t="e">
        <f t="shared" si="61"/>
        <v>#VALUE!</v>
      </c>
      <c r="S217" t="e">
        <f t="shared" si="50"/>
        <v>#VALUE!</v>
      </c>
      <c r="T217" s="141" t="e">
        <f t="shared" si="64"/>
        <v>#VALUE!</v>
      </c>
      <c r="U217" s="710">
        <f t="shared" si="54"/>
        <v>0</v>
      </c>
      <c r="V217" s="710">
        <f t="shared" si="55"/>
        <v>0</v>
      </c>
      <c r="W217" s="710">
        <f t="shared" si="56"/>
        <v>0</v>
      </c>
      <c r="X217" s="710">
        <f t="shared" si="57"/>
        <v>0</v>
      </c>
      <c r="Y217" s="141">
        <f t="shared" si="45"/>
        <v>0</v>
      </c>
      <c r="AB217" s="777"/>
      <c r="AC217" s="777"/>
      <c r="AD217" t="e">
        <f t="shared" si="44"/>
        <v>#N/A</v>
      </c>
    </row>
    <row r="218" spans="1:30" x14ac:dyDescent="0.2">
      <c r="A218" s="916" t="s">
        <v>174</v>
      </c>
      <c r="B218" t="s">
        <v>2089</v>
      </c>
      <c r="C218" t="s">
        <v>1309</v>
      </c>
      <c r="D218">
        <v>4324601</v>
      </c>
      <c r="E218" t="s">
        <v>1310</v>
      </c>
      <c r="F218" s="854">
        <v>37196</v>
      </c>
      <c r="G218" s="854"/>
      <c r="H218" s="854"/>
      <c r="I218" s="854" t="s">
        <v>245</v>
      </c>
      <c r="J218">
        <f t="shared" si="62"/>
        <v>0</v>
      </c>
      <c r="K218">
        <f t="shared" si="63"/>
        <v>0</v>
      </c>
      <c r="L218" s="251">
        <f t="shared" si="51"/>
        <v>2.2800000000000001E-2</v>
      </c>
      <c r="M218" s="557">
        <f t="shared" si="52"/>
        <v>0</v>
      </c>
      <c r="N218" s="557">
        <f t="shared" si="46"/>
        <v>0</v>
      </c>
      <c r="O218" s="557">
        <f t="shared" si="59"/>
        <v>0</v>
      </c>
      <c r="P218" s="557">
        <f t="shared" si="48"/>
        <v>0</v>
      </c>
      <c r="Q218" s="226" t="str">
        <f>IF(ISNA(VLOOKUP(C218,INCNG,1,FALSE)),"--", "Y")</f>
        <v>Y</v>
      </c>
      <c r="R218" s="226">
        <f>IF(ISNA(VLOOKUP(C218,INCNG,10,FALSE)),0,VLOOKUP(C218,INCNG,10,FALSE))</f>
        <v>0</v>
      </c>
      <c r="S218">
        <f>+K218-R218</f>
        <v>0</v>
      </c>
      <c r="T218" s="141">
        <f t="shared" si="64"/>
        <v>0</v>
      </c>
      <c r="U218" s="710">
        <f t="shared" si="54"/>
        <v>0</v>
      </c>
      <c r="V218" s="710">
        <f t="shared" si="55"/>
        <v>0</v>
      </c>
      <c r="W218" s="710">
        <f t="shared" si="56"/>
        <v>0</v>
      </c>
      <c r="X218" s="710">
        <f t="shared" si="57"/>
        <v>0</v>
      </c>
      <c r="Y218" s="141">
        <f t="shared" si="45"/>
        <v>0</v>
      </c>
      <c r="AB218" s="777"/>
      <c r="AC218" s="777"/>
      <c r="AD218" t="e">
        <f t="shared" si="44"/>
        <v>#N/A</v>
      </c>
    </row>
    <row r="219" spans="1:30" x14ac:dyDescent="0.2">
      <c r="A219" s="916" t="s">
        <v>174</v>
      </c>
      <c r="B219" t="s">
        <v>2089</v>
      </c>
      <c r="C219" t="s">
        <v>1158</v>
      </c>
      <c r="D219">
        <v>4333501</v>
      </c>
      <c r="E219" t="s">
        <v>1126</v>
      </c>
      <c r="F219" s="854">
        <v>37196</v>
      </c>
      <c r="G219" s="854"/>
      <c r="H219" s="854"/>
      <c r="I219" s="854" t="s">
        <v>245</v>
      </c>
      <c r="J219">
        <f t="shared" si="62"/>
        <v>0</v>
      </c>
      <c r="K219">
        <f t="shared" si="63"/>
        <v>0</v>
      </c>
      <c r="L219" s="251">
        <f t="shared" si="51"/>
        <v>2.2800000000000001E-2</v>
      </c>
      <c r="M219" s="557">
        <f t="shared" si="52"/>
        <v>0</v>
      </c>
      <c r="N219" s="557">
        <f t="shared" si="46"/>
        <v>0</v>
      </c>
      <c r="O219" s="557">
        <f t="shared" si="59"/>
        <v>0</v>
      </c>
      <c r="P219" s="557">
        <f t="shared" si="48"/>
        <v>0</v>
      </c>
      <c r="Q219" s="226" t="str">
        <f>IF(ISNA(VLOOKUP(C219,INCNG,1,FALSE)),"--", "Y")</f>
        <v>Y</v>
      </c>
      <c r="R219" s="226">
        <f>IF(ISNA(VLOOKUP(C219,INCNG,10,FALSE)),0,VLOOKUP(C219,INCNG,10,FALSE))</f>
        <v>0</v>
      </c>
      <c r="S219">
        <f>+K219-R219</f>
        <v>0</v>
      </c>
      <c r="T219" s="141">
        <f t="shared" si="64"/>
        <v>0</v>
      </c>
      <c r="U219" s="710">
        <f t="shared" si="54"/>
        <v>0</v>
      </c>
      <c r="V219" s="710">
        <f t="shared" si="55"/>
        <v>0</v>
      </c>
      <c r="W219" s="710">
        <f t="shared" si="56"/>
        <v>0</v>
      </c>
      <c r="X219" s="710">
        <f t="shared" si="57"/>
        <v>0</v>
      </c>
      <c r="Y219" s="141">
        <f t="shared" si="45"/>
        <v>0</v>
      </c>
      <c r="AB219" s="777"/>
      <c r="AC219" s="777"/>
      <c r="AD219" t="e">
        <f t="shared" si="44"/>
        <v>#N/A</v>
      </c>
    </row>
    <row r="220" spans="1:30" x14ac:dyDescent="0.2">
      <c r="A220" s="916" t="s">
        <v>174</v>
      </c>
      <c r="B220" t="s">
        <v>2089</v>
      </c>
      <c r="C220" t="s">
        <v>1345</v>
      </c>
      <c r="D220">
        <v>4334701</v>
      </c>
      <c r="E220" t="s">
        <v>1092</v>
      </c>
      <c r="F220" s="854">
        <v>37196</v>
      </c>
      <c r="G220" s="854"/>
      <c r="H220" s="854"/>
      <c r="I220" s="854" t="s">
        <v>245</v>
      </c>
      <c r="J220">
        <f t="shared" si="62"/>
        <v>0</v>
      </c>
      <c r="K220">
        <f t="shared" si="63"/>
        <v>0</v>
      </c>
      <c r="L220" s="251">
        <f t="shared" si="51"/>
        <v>2.2800000000000001E-2</v>
      </c>
      <c r="M220" s="557">
        <f t="shared" si="52"/>
        <v>0</v>
      </c>
      <c r="N220" s="557">
        <f t="shared" si="46"/>
        <v>0</v>
      </c>
      <c r="O220" s="557">
        <f t="shared" si="59"/>
        <v>0</v>
      </c>
      <c r="P220" s="557">
        <f t="shared" si="48"/>
        <v>0</v>
      </c>
      <c r="Q220" s="226" t="str">
        <f>IF(ISNA(VLOOKUP(C220,INCNG,1,FALSE)),"--", "Y")</f>
        <v>Y</v>
      </c>
      <c r="R220" s="226">
        <f>IF(ISNA(VLOOKUP(C220,INCNG,10,FALSE)),0,VLOOKUP(C220,INCNG,10,FALSE))</f>
        <v>0</v>
      </c>
      <c r="S220">
        <f>+K220-R220</f>
        <v>0</v>
      </c>
      <c r="T220" s="141">
        <f t="shared" si="64"/>
        <v>0</v>
      </c>
      <c r="U220" s="710">
        <f t="shared" si="54"/>
        <v>0</v>
      </c>
      <c r="V220" s="710">
        <f t="shared" si="55"/>
        <v>0</v>
      </c>
      <c r="W220" s="710">
        <f t="shared" si="56"/>
        <v>0</v>
      </c>
      <c r="X220" s="710">
        <f t="shared" si="57"/>
        <v>0</v>
      </c>
      <c r="Y220" s="141">
        <f t="shared" si="45"/>
        <v>0</v>
      </c>
      <c r="AB220" s="777"/>
      <c r="AC220" s="777"/>
      <c r="AD220" t="e">
        <f t="shared" si="44"/>
        <v>#N/A</v>
      </c>
    </row>
    <row r="221" spans="1:30" x14ac:dyDescent="0.2">
      <c r="A221" s="916" t="s">
        <v>174</v>
      </c>
      <c r="B221" t="s">
        <v>2089</v>
      </c>
      <c r="C221" t="s">
        <v>1316</v>
      </c>
      <c r="D221">
        <v>4336801</v>
      </c>
      <c r="E221" t="s">
        <v>1126</v>
      </c>
      <c r="F221" s="854">
        <v>37196</v>
      </c>
      <c r="G221" s="854"/>
      <c r="H221" s="854"/>
      <c r="I221" s="854" t="s">
        <v>245</v>
      </c>
      <c r="J221">
        <f t="shared" si="62"/>
        <v>0</v>
      </c>
      <c r="K221">
        <f t="shared" si="63"/>
        <v>0</v>
      </c>
      <c r="L221" s="251">
        <f t="shared" si="51"/>
        <v>2.2800000000000001E-2</v>
      </c>
      <c r="M221" s="557">
        <f t="shared" si="52"/>
        <v>0</v>
      </c>
      <c r="N221" s="557">
        <f t="shared" si="46"/>
        <v>0</v>
      </c>
      <c r="O221" s="557">
        <f t="shared" si="59"/>
        <v>0</v>
      </c>
      <c r="P221" s="557">
        <f t="shared" si="48"/>
        <v>0</v>
      </c>
      <c r="Q221" s="226" t="str">
        <f>IF(ISNA(VLOOKUP(C221,INCNG,1,FALSE)),"--", "Y")</f>
        <v>Y</v>
      </c>
      <c r="R221" s="226">
        <f>IF(ISNA(VLOOKUP(C221,INCNG,10,FALSE)),0,VLOOKUP(C221,INCNG,10,FALSE))</f>
        <v>0</v>
      </c>
      <c r="S221">
        <f>+K221-R221</f>
        <v>0</v>
      </c>
      <c r="T221" s="141">
        <f t="shared" si="64"/>
        <v>0</v>
      </c>
      <c r="U221" s="710">
        <f t="shared" si="54"/>
        <v>0</v>
      </c>
      <c r="V221" s="710">
        <f t="shared" si="55"/>
        <v>0</v>
      </c>
      <c r="W221" s="710">
        <f t="shared" si="56"/>
        <v>0</v>
      </c>
      <c r="X221" s="710">
        <f t="shared" si="57"/>
        <v>0</v>
      </c>
      <c r="Y221" s="141">
        <f t="shared" si="45"/>
        <v>0</v>
      </c>
      <c r="AB221" s="777"/>
      <c r="AC221" s="777"/>
      <c r="AD221" t="e">
        <f t="shared" si="44"/>
        <v>#N/A</v>
      </c>
    </row>
    <row r="222" spans="1:30" x14ac:dyDescent="0.2">
      <c r="A222" s="916" t="s">
        <v>174</v>
      </c>
      <c r="B222" t="s">
        <v>2089</v>
      </c>
      <c r="C222" t="s">
        <v>1159</v>
      </c>
      <c r="D222">
        <v>4336901</v>
      </c>
      <c r="E222" t="s">
        <v>1126</v>
      </c>
      <c r="F222" s="854">
        <v>37196</v>
      </c>
      <c r="G222" s="854"/>
      <c r="H222" s="854"/>
      <c r="I222" s="854" t="s">
        <v>245</v>
      </c>
      <c r="J222">
        <f t="shared" si="62"/>
        <v>0</v>
      </c>
      <c r="K222">
        <f t="shared" si="63"/>
        <v>0</v>
      </c>
      <c r="L222" s="251">
        <f t="shared" si="51"/>
        <v>2.2800000000000001E-2</v>
      </c>
      <c r="M222" s="557">
        <f t="shared" si="52"/>
        <v>0</v>
      </c>
      <c r="N222" s="557">
        <f t="shared" si="46"/>
        <v>0</v>
      </c>
      <c r="O222" s="557">
        <f t="shared" si="59"/>
        <v>0</v>
      </c>
      <c r="P222" s="557">
        <f t="shared" si="48"/>
        <v>0</v>
      </c>
      <c r="Q222" s="226" t="str">
        <f>IF(ISNA(VLOOKUP(C222,INCNG,1,FALSE)),"--", "Y")</f>
        <v>Y</v>
      </c>
      <c r="R222" s="226">
        <f>IF(ISNA(VLOOKUP(C222,INCNG,10,FALSE)),0,VLOOKUP(C222,INCNG,10,FALSE))</f>
        <v>0</v>
      </c>
      <c r="S222">
        <f>+K222-R222</f>
        <v>0</v>
      </c>
      <c r="T222" s="141">
        <f t="shared" si="64"/>
        <v>0</v>
      </c>
      <c r="U222" s="710">
        <f t="shared" si="54"/>
        <v>0</v>
      </c>
      <c r="V222" s="710">
        <f t="shared" si="55"/>
        <v>0</v>
      </c>
      <c r="W222" s="710">
        <f t="shared" si="56"/>
        <v>0</v>
      </c>
      <c r="X222" s="710">
        <f t="shared" si="57"/>
        <v>0</v>
      </c>
      <c r="Y222" s="141">
        <f t="shared" si="45"/>
        <v>0</v>
      </c>
      <c r="AB222" s="777"/>
      <c r="AC222" s="777"/>
      <c r="AD222" t="e">
        <f t="shared" si="44"/>
        <v>#N/A</v>
      </c>
    </row>
    <row r="223" spans="1:30" x14ac:dyDescent="0.2">
      <c r="A223" s="916" t="s">
        <v>174</v>
      </c>
      <c r="B223" t="s">
        <v>2089</v>
      </c>
      <c r="C223" t="s">
        <v>1160</v>
      </c>
      <c r="D223">
        <v>4341201</v>
      </c>
      <c r="E223" t="s">
        <v>1126</v>
      </c>
      <c r="F223" s="854">
        <v>37196</v>
      </c>
      <c r="G223" s="854"/>
      <c r="H223" s="854"/>
      <c r="I223" s="854" t="s">
        <v>245</v>
      </c>
      <c r="J223">
        <f t="shared" si="62"/>
        <v>0</v>
      </c>
      <c r="K223">
        <f t="shared" si="63"/>
        <v>0</v>
      </c>
      <c r="L223" s="251">
        <f t="shared" si="51"/>
        <v>2.2800000000000001E-2</v>
      </c>
      <c r="M223" s="557">
        <f t="shared" si="52"/>
        <v>0</v>
      </c>
      <c r="N223" s="557">
        <f t="shared" si="46"/>
        <v>0</v>
      </c>
      <c r="O223" s="557">
        <f t="shared" si="59"/>
        <v>0</v>
      </c>
      <c r="P223" s="557">
        <f t="shared" si="48"/>
        <v>0</v>
      </c>
      <c r="Q223" s="226" t="str">
        <f t="shared" si="60"/>
        <v>Y</v>
      </c>
      <c r="R223" s="226">
        <f t="shared" si="61"/>
        <v>0</v>
      </c>
      <c r="S223">
        <f t="shared" si="50"/>
        <v>0</v>
      </c>
      <c r="T223" s="141">
        <f t="shared" si="64"/>
        <v>0</v>
      </c>
      <c r="U223" s="710">
        <f t="shared" si="54"/>
        <v>0</v>
      </c>
      <c r="V223" s="710">
        <f t="shared" si="55"/>
        <v>0</v>
      </c>
      <c r="W223" s="710">
        <f t="shared" si="56"/>
        <v>0</v>
      </c>
      <c r="X223" s="710">
        <f t="shared" si="57"/>
        <v>0</v>
      </c>
      <c r="Y223" s="141">
        <f t="shared" si="45"/>
        <v>0</v>
      </c>
      <c r="AB223" s="777"/>
      <c r="AC223" s="777"/>
      <c r="AD223" t="e">
        <f t="shared" si="44"/>
        <v>#N/A</v>
      </c>
    </row>
    <row r="224" spans="1:30" x14ac:dyDescent="0.2">
      <c r="A224" s="916" t="s">
        <v>174</v>
      </c>
      <c r="B224" t="s">
        <v>2089</v>
      </c>
      <c r="C224" t="s">
        <v>1163</v>
      </c>
      <c r="D224">
        <v>4342301</v>
      </c>
      <c r="E224" t="s">
        <v>1164</v>
      </c>
      <c r="F224" s="854">
        <v>37196</v>
      </c>
      <c r="G224" s="854"/>
      <c r="H224" s="854"/>
      <c r="I224" s="854" t="s">
        <v>245</v>
      </c>
      <c r="J224">
        <f t="shared" si="62"/>
        <v>0</v>
      </c>
      <c r="K224">
        <f t="shared" si="63"/>
        <v>0</v>
      </c>
      <c r="L224" s="251">
        <f t="shared" si="51"/>
        <v>2.2800000000000001E-2</v>
      </c>
      <c r="M224" s="557">
        <f t="shared" si="52"/>
        <v>0</v>
      </c>
      <c r="N224" s="557">
        <f t="shared" si="46"/>
        <v>0</v>
      </c>
      <c r="O224" s="557">
        <f t="shared" si="59"/>
        <v>0</v>
      </c>
      <c r="P224" s="557">
        <f t="shared" si="48"/>
        <v>0</v>
      </c>
      <c r="Q224" s="226" t="str">
        <f t="shared" si="60"/>
        <v>Y</v>
      </c>
      <c r="R224" s="226">
        <f t="shared" si="61"/>
        <v>0</v>
      </c>
      <c r="S224">
        <f t="shared" si="50"/>
        <v>0</v>
      </c>
      <c r="T224" s="141">
        <f t="shared" si="64"/>
        <v>0</v>
      </c>
      <c r="U224" s="710">
        <f t="shared" si="54"/>
        <v>0</v>
      </c>
      <c r="V224" s="710">
        <f t="shared" si="55"/>
        <v>0</v>
      </c>
      <c r="W224" s="710">
        <f t="shared" si="56"/>
        <v>0</v>
      </c>
      <c r="X224" s="710">
        <f t="shared" si="57"/>
        <v>0</v>
      </c>
      <c r="Y224" s="141">
        <f t="shared" si="45"/>
        <v>0</v>
      </c>
      <c r="AB224" s="777"/>
      <c r="AC224" s="777"/>
      <c r="AD224" t="e">
        <f t="shared" si="44"/>
        <v>#N/A</v>
      </c>
    </row>
    <row r="225" spans="1:30" x14ac:dyDescent="0.2">
      <c r="A225" s="916" t="s">
        <v>174</v>
      </c>
      <c r="B225" t="s">
        <v>2089</v>
      </c>
      <c r="C225" t="s">
        <v>1165</v>
      </c>
      <c r="D225">
        <v>4343301</v>
      </c>
      <c r="E225" t="s">
        <v>1126</v>
      </c>
      <c r="F225" s="854">
        <v>37196</v>
      </c>
      <c r="G225" s="854"/>
      <c r="H225" s="854"/>
      <c r="I225" s="854" t="s">
        <v>245</v>
      </c>
      <c r="J225">
        <f t="shared" si="62"/>
        <v>0</v>
      </c>
      <c r="K225">
        <f t="shared" si="63"/>
        <v>0</v>
      </c>
      <c r="L225" s="251">
        <f t="shared" si="51"/>
        <v>2.2800000000000001E-2</v>
      </c>
      <c r="M225" s="557">
        <f t="shared" si="52"/>
        <v>0</v>
      </c>
      <c r="N225" s="557">
        <f t="shared" si="46"/>
        <v>0</v>
      </c>
      <c r="O225" s="557">
        <f t="shared" si="59"/>
        <v>0</v>
      </c>
      <c r="P225" s="557">
        <f t="shared" si="48"/>
        <v>0</v>
      </c>
      <c r="Q225" s="226" t="str">
        <f t="shared" si="60"/>
        <v>Y</v>
      </c>
      <c r="R225" s="226">
        <f t="shared" si="61"/>
        <v>0</v>
      </c>
      <c r="S225">
        <f t="shared" si="50"/>
        <v>0</v>
      </c>
      <c r="T225" s="141">
        <f t="shared" si="64"/>
        <v>0</v>
      </c>
      <c r="U225" s="710">
        <f t="shared" si="54"/>
        <v>0</v>
      </c>
      <c r="V225" s="710">
        <f t="shared" si="55"/>
        <v>0</v>
      </c>
      <c r="W225" s="710">
        <f t="shared" si="56"/>
        <v>0</v>
      </c>
      <c r="X225" s="710">
        <f t="shared" si="57"/>
        <v>0</v>
      </c>
      <c r="Y225" s="141">
        <f t="shared" si="45"/>
        <v>0</v>
      </c>
      <c r="AB225" s="777"/>
      <c r="AC225" s="777"/>
      <c r="AD225" t="e">
        <f t="shared" ref="AD225:AD247" si="65">VLOOKUP(AB225,INCNG,3,FALSE)</f>
        <v>#N/A</v>
      </c>
    </row>
    <row r="226" spans="1:30" x14ac:dyDescent="0.2">
      <c r="A226" s="916" t="s">
        <v>174</v>
      </c>
      <c r="B226" t="s">
        <v>2089</v>
      </c>
      <c r="C226" t="s">
        <v>1166</v>
      </c>
      <c r="D226">
        <v>4345701</v>
      </c>
      <c r="E226" t="s">
        <v>1126</v>
      </c>
      <c r="F226" s="854">
        <v>37196</v>
      </c>
      <c r="G226" s="854"/>
      <c r="H226" s="854"/>
      <c r="I226" s="854" t="s">
        <v>245</v>
      </c>
      <c r="J226">
        <f t="shared" si="62"/>
        <v>0</v>
      </c>
      <c r="K226">
        <f t="shared" si="63"/>
        <v>0</v>
      </c>
      <c r="L226" s="251">
        <f t="shared" si="51"/>
        <v>2.2800000000000001E-2</v>
      </c>
      <c r="M226" s="557">
        <f t="shared" si="52"/>
        <v>0</v>
      </c>
      <c r="N226" s="557">
        <f t="shared" si="46"/>
        <v>0</v>
      </c>
      <c r="O226" s="557">
        <f t="shared" si="59"/>
        <v>0</v>
      </c>
      <c r="P226" s="557">
        <f t="shared" si="48"/>
        <v>0</v>
      </c>
      <c r="Q226" s="226" t="str">
        <f t="shared" si="60"/>
        <v>Y</v>
      </c>
      <c r="R226" s="226">
        <f t="shared" si="61"/>
        <v>0</v>
      </c>
      <c r="S226">
        <f t="shared" si="50"/>
        <v>0</v>
      </c>
      <c r="T226" s="141">
        <f t="shared" si="64"/>
        <v>0</v>
      </c>
      <c r="U226" s="710">
        <f t="shared" si="54"/>
        <v>0</v>
      </c>
      <c r="V226" s="710">
        <f t="shared" si="55"/>
        <v>0</v>
      </c>
      <c r="W226" s="710">
        <f t="shared" si="56"/>
        <v>0</v>
      </c>
      <c r="X226" s="710">
        <f t="shared" si="57"/>
        <v>0</v>
      </c>
      <c r="Y226" s="141">
        <f t="shared" ref="Y226:Y247" si="66">SUM(U226:X226)</f>
        <v>0</v>
      </c>
      <c r="AB226" s="777"/>
      <c r="AC226" s="777"/>
      <c r="AD226" t="e">
        <f t="shared" si="65"/>
        <v>#N/A</v>
      </c>
    </row>
    <row r="227" spans="1:30" x14ac:dyDescent="0.2">
      <c r="A227" s="916" t="s">
        <v>174</v>
      </c>
      <c r="B227" t="s">
        <v>2089</v>
      </c>
      <c r="C227" t="s">
        <v>1167</v>
      </c>
      <c r="D227">
        <v>4345801</v>
      </c>
      <c r="E227" t="s">
        <v>1126</v>
      </c>
      <c r="F227" s="854">
        <v>37196</v>
      </c>
      <c r="G227" s="854"/>
      <c r="H227" s="854"/>
      <c r="I227" s="854" t="s">
        <v>245</v>
      </c>
      <c r="J227">
        <f t="shared" si="62"/>
        <v>0</v>
      </c>
      <c r="K227">
        <f t="shared" si="63"/>
        <v>0</v>
      </c>
      <c r="L227" s="251">
        <f t="shared" si="51"/>
        <v>2.2800000000000001E-2</v>
      </c>
      <c r="M227" s="557">
        <f t="shared" si="52"/>
        <v>0</v>
      </c>
      <c r="N227" s="557">
        <f t="shared" si="46"/>
        <v>0</v>
      </c>
      <c r="O227" s="557">
        <f t="shared" si="59"/>
        <v>0</v>
      </c>
      <c r="P227" s="557">
        <f t="shared" si="48"/>
        <v>0</v>
      </c>
      <c r="Q227" s="226" t="str">
        <f t="shared" si="60"/>
        <v>Y</v>
      </c>
      <c r="R227" s="226">
        <f t="shared" si="61"/>
        <v>0</v>
      </c>
      <c r="S227">
        <f t="shared" si="50"/>
        <v>0</v>
      </c>
      <c r="T227" s="141">
        <f t="shared" si="64"/>
        <v>0</v>
      </c>
      <c r="U227" s="710">
        <f t="shared" si="54"/>
        <v>0</v>
      </c>
      <c r="V227" s="710">
        <f t="shared" si="55"/>
        <v>0</v>
      </c>
      <c r="W227" s="710">
        <f t="shared" si="56"/>
        <v>0</v>
      </c>
      <c r="X227" s="710">
        <f t="shared" si="57"/>
        <v>0</v>
      </c>
      <c r="Y227" s="141">
        <f t="shared" si="66"/>
        <v>0</v>
      </c>
      <c r="AB227" s="777"/>
      <c r="AC227" s="777"/>
      <c r="AD227" t="e">
        <f t="shared" si="65"/>
        <v>#N/A</v>
      </c>
    </row>
    <row r="228" spans="1:30" x14ac:dyDescent="0.2">
      <c r="A228" s="916" t="s">
        <v>174</v>
      </c>
      <c r="B228" t="s">
        <v>2091</v>
      </c>
      <c r="C228" t="s">
        <v>1079</v>
      </c>
      <c r="D228">
        <v>4348401</v>
      </c>
      <c r="E228" t="s">
        <v>217</v>
      </c>
      <c r="F228" s="854">
        <v>37196</v>
      </c>
      <c r="G228" s="854"/>
      <c r="H228" s="854"/>
      <c r="I228" s="854" t="s">
        <v>244</v>
      </c>
      <c r="J228">
        <f t="shared" si="62"/>
        <v>0</v>
      </c>
      <c r="K228">
        <f t="shared" si="63"/>
        <v>0</v>
      </c>
      <c r="L228" s="251">
        <f t="shared" si="51"/>
        <v>2.2800000000000001E-2</v>
      </c>
      <c r="M228" s="557">
        <f t="shared" si="52"/>
        <v>0</v>
      </c>
      <c r="N228" s="557">
        <f t="shared" ref="N228:N247" si="67">IF(OR(I228="TD",I228="TW"),0,K228*0.0228)</f>
        <v>0</v>
      </c>
      <c r="O228" s="557">
        <f t="shared" si="59"/>
        <v>0</v>
      </c>
      <c r="P228" s="557">
        <f t="shared" si="48"/>
        <v>0</v>
      </c>
      <c r="Q228" s="226" t="str">
        <f t="shared" si="60"/>
        <v>Y</v>
      </c>
      <c r="R228" s="226">
        <f t="shared" si="61"/>
        <v>0</v>
      </c>
      <c r="S228">
        <f t="shared" ref="S228:S247" si="68">+K228-R228</f>
        <v>0</v>
      </c>
      <c r="T228" s="141">
        <f t="shared" si="64"/>
        <v>0</v>
      </c>
      <c r="U228" s="710">
        <f t="shared" si="54"/>
        <v>0</v>
      </c>
      <c r="V228" s="710">
        <f t="shared" si="55"/>
        <v>0</v>
      </c>
      <c r="W228" s="710">
        <f t="shared" si="56"/>
        <v>0</v>
      </c>
      <c r="X228" s="710">
        <f t="shared" si="57"/>
        <v>0</v>
      </c>
      <c r="Y228" s="141">
        <f t="shared" si="66"/>
        <v>0</v>
      </c>
      <c r="AB228" s="777"/>
      <c r="AC228" s="777"/>
      <c r="AD228" t="e">
        <f t="shared" si="65"/>
        <v>#N/A</v>
      </c>
    </row>
    <row r="229" spans="1:30" x14ac:dyDescent="0.2">
      <c r="A229" s="916" t="s">
        <v>174</v>
      </c>
      <c r="B229" t="s">
        <v>2089</v>
      </c>
      <c r="C229" t="s">
        <v>1168</v>
      </c>
      <c r="D229">
        <v>4349401</v>
      </c>
      <c r="E229" t="s">
        <v>1126</v>
      </c>
      <c r="F229" s="854">
        <v>37196</v>
      </c>
      <c r="G229" s="854"/>
      <c r="H229" s="854"/>
      <c r="I229" s="854" t="s">
        <v>245</v>
      </c>
      <c r="J229">
        <f t="shared" si="62"/>
        <v>0</v>
      </c>
      <c r="K229">
        <f t="shared" si="63"/>
        <v>0</v>
      </c>
      <c r="L229" s="251">
        <f t="shared" ref="L229:L247" si="69">VLOOKUP(I229,Retention,2,FALSE)</f>
        <v>2.2800000000000001E-2</v>
      </c>
      <c r="M229" s="557">
        <f t="shared" ref="M229:M249" si="70">IF(OR(I229="TD",I229="TW"),0,J229*0.0228)</f>
        <v>0</v>
      </c>
      <c r="N229" s="557">
        <f t="shared" si="67"/>
        <v>0</v>
      </c>
      <c r="O229" s="557">
        <f t="shared" si="59"/>
        <v>0</v>
      </c>
      <c r="P229" s="557">
        <f t="shared" ref="P229:P247" si="71">K229-ROUND(+$K229*(VLOOKUP($I229,cngded,6,FALSE)),0)</f>
        <v>0</v>
      </c>
      <c r="Q229" s="226" t="str">
        <f t="shared" si="60"/>
        <v>Y</v>
      </c>
      <c r="R229" s="226">
        <f t="shared" si="61"/>
        <v>0</v>
      </c>
      <c r="S229">
        <f t="shared" si="68"/>
        <v>0</v>
      </c>
      <c r="T229" s="141">
        <f t="shared" si="64"/>
        <v>0</v>
      </c>
      <c r="U229" s="710">
        <f t="shared" ref="U229:U247" si="72">ROUND(+$K229*(VLOOKUP($I229,Retention,2,FALSE)),0)</f>
        <v>0</v>
      </c>
      <c r="V229" s="710">
        <f t="shared" ref="V229:V247" si="73">ROUND(+$K229*(VLOOKUP($I229,Retention,3,FALSE)),0)</f>
        <v>0</v>
      </c>
      <c r="W229" s="710">
        <f t="shared" ref="W229:W247" si="74">ROUND(+$K229*(VLOOKUP($I229,Retention,4,FALSE)),0)</f>
        <v>0</v>
      </c>
      <c r="X229" s="710">
        <f t="shared" ref="X229:X247" si="75">ROUND(+$K229*(VLOOKUP($I229,Retention,5,FALSE)),0)</f>
        <v>0</v>
      </c>
      <c r="Y229" s="141">
        <f t="shared" si="66"/>
        <v>0</v>
      </c>
      <c r="AB229" s="777"/>
      <c r="AC229" s="777"/>
      <c r="AD229" t="e">
        <f t="shared" si="65"/>
        <v>#N/A</v>
      </c>
    </row>
    <row r="230" spans="1:30" x14ac:dyDescent="0.2">
      <c r="A230" s="916" t="s">
        <v>174</v>
      </c>
      <c r="B230" t="s">
        <v>2089</v>
      </c>
      <c r="C230" t="s">
        <v>1354</v>
      </c>
      <c r="D230">
        <v>4354501</v>
      </c>
      <c r="E230" t="s">
        <v>1143</v>
      </c>
      <c r="F230" s="854">
        <v>37196</v>
      </c>
      <c r="G230" s="854"/>
      <c r="H230" s="854"/>
      <c r="I230" s="854" t="s">
        <v>245</v>
      </c>
      <c r="J230">
        <f t="shared" si="62"/>
        <v>0</v>
      </c>
      <c r="K230">
        <f t="shared" si="63"/>
        <v>0</v>
      </c>
      <c r="L230" s="251">
        <f t="shared" si="69"/>
        <v>2.2800000000000001E-2</v>
      </c>
      <c r="M230" s="557">
        <f t="shared" si="70"/>
        <v>0</v>
      </c>
      <c r="N230" s="557">
        <f t="shared" si="67"/>
        <v>0</v>
      </c>
      <c r="O230" s="557">
        <f t="shared" si="59"/>
        <v>0</v>
      </c>
      <c r="P230" s="557">
        <f t="shared" si="71"/>
        <v>0</v>
      </c>
      <c r="Q230" s="226" t="str">
        <f t="shared" si="60"/>
        <v>Y</v>
      </c>
      <c r="R230" s="226">
        <f t="shared" si="61"/>
        <v>0</v>
      </c>
      <c r="S230">
        <f t="shared" si="68"/>
        <v>0</v>
      </c>
      <c r="T230" s="141">
        <f t="shared" si="64"/>
        <v>0</v>
      </c>
      <c r="U230" s="710">
        <f t="shared" si="72"/>
        <v>0</v>
      </c>
      <c r="V230" s="710">
        <f t="shared" si="73"/>
        <v>0</v>
      </c>
      <c r="W230" s="710">
        <f t="shared" si="74"/>
        <v>0</v>
      </c>
      <c r="X230" s="710">
        <f t="shared" si="75"/>
        <v>0</v>
      </c>
      <c r="Y230" s="141">
        <f t="shared" si="66"/>
        <v>0</v>
      </c>
      <c r="AB230" s="777"/>
      <c r="AC230" s="777"/>
      <c r="AD230" t="e">
        <f t="shared" si="65"/>
        <v>#N/A</v>
      </c>
    </row>
    <row r="231" spans="1:30" x14ac:dyDescent="0.2">
      <c r="A231" s="916" t="s">
        <v>174</v>
      </c>
      <c r="B231" t="s">
        <v>2089</v>
      </c>
      <c r="C231" t="s">
        <v>1170</v>
      </c>
      <c r="D231">
        <v>4362001</v>
      </c>
      <c r="E231" t="s">
        <v>1126</v>
      </c>
      <c r="F231" s="854">
        <v>37196</v>
      </c>
      <c r="G231" s="854"/>
      <c r="H231" s="854"/>
      <c r="I231" s="854" t="s">
        <v>245</v>
      </c>
      <c r="J231">
        <f t="shared" si="62"/>
        <v>0</v>
      </c>
      <c r="K231">
        <f t="shared" si="63"/>
        <v>0</v>
      </c>
      <c r="L231" s="251">
        <f t="shared" si="69"/>
        <v>2.2800000000000001E-2</v>
      </c>
      <c r="M231" s="557">
        <f t="shared" si="70"/>
        <v>0</v>
      </c>
      <c r="N231" s="557">
        <f t="shared" si="67"/>
        <v>0</v>
      </c>
      <c r="O231" s="557">
        <f t="shared" si="59"/>
        <v>0</v>
      </c>
      <c r="P231" s="557">
        <f t="shared" si="71"/>
        <v>0</v>
      </c>
      <c r="Q231" s="226" t="str">
        <f t="shared" si="60"/>
        <v>Y</v>
      </c>
      <c r="R231" s="226">
        <f t="shared" si="61"/>
        <v>0</v>
      </c>
      <c r="S231">
        <f t="shared" si="68"/>
        <v>0</v>
      </c>
      <c r="T231" s="141">
        <f t="shared" si="64"/>
        <v>0</v>
      </c>
      <c r="U231" s="710">
        <f t="shared" si="72"/>
        <v>0</v>
      </c>
      <c r="V231" s="710">
        <f t="shared" si="73"/>
        <v>0</v>
      </c>
      <c r="W231" s="710">
        <f t="shared" si="74"/>
        <v>0</v>
      </c>
      <c r="X231" s="710">
        <f t="shared" si="75"/>
        <v>0</v>
      </c>
      <c r="Y231" s="141">
        <f t="shared" si="66"/>
        <v>0</v>
      </c>
      <c r="AB231" s="777"/>
      <c r="AC231" s="777"/>
      <c r="AD231" t="e">
        <f t="shared" si="65"/>
        <v>#N/A</v>
      </c>
    </row>
    <row r="232" spans="1:30" x14ac:dyDescent="0.2">
      <c r="A232" s="916" t="s">
        <v>174</v>
      </c>
      <c r="B232" t="s">
        <v>2089</v>
      </c>
      <c r="C232" t="s">
        <v>1172</v>
      </c>
      <c r="D232">
        <v>4362801</v>
      </c>
      <c r="E232" t="s">
        <v>1126</v>
      </c>
      <c r="F232" s="854">
        <v>37196</v>
      </c>
      <c r="G232" s="854"/>
      <c r="H232" s="854"/>
      <c r="I232" s="854" t="s">
        <v>245</v>
      </c>
      <c r="J232">
        <f t="shared" si="62"/>
        <v>0</v>
      </c>
      <c r="K232">
        <f t="shared" si="63"/>
        <v>0</v>
      </c>
      <c r="L232" s="251">
        <f t="shared" si="69"/>
        <v>2.2800000000000001E-2</v>
      </c>
      <c r="M232" s="557">
        <f t="shared" si="70"/>
        <v>0</v>
      </c>
      <c r="N232" s="557">
        <f t="shared" si="67"/>
        <v>0</v>
      </c>
      <c r="O232" s="557">
        <f t="shared" si="59"/>
        <v>0</v>
      </c>
      <c r="P232" s="557">
        <f t="shared" si="71"/>
        <v>0</v>
      </c>
      <c r="Q232" s="226" t="str">
        <f t="shared" si="60"/>
        <v>Y</v>
      </c>
      <c r="R232" s="226">
        <f t="shared" si="61"/>
        <v>0</v>
      </c>
      <c r="S232">
        <f t="shared" si="68"/>
        <v>0</v>
      </c>
      <c r="T232" s="141">
        <f t="shared" si="64"/>
        <v>0</v>
      </c>
      <c r="U232" s="710">
        <f t="shared" si="72"/>
        <v>0</v>
      </c>
      <c r="V232" s="710">
        <f t="shared" si="73"/>
        <v>0</v>
      </c>
      <c r="W232" s="710">
        <f t="shared" si="74"/>
        <v>0</v>
      </c>
      <c r="X232" s="710">
        <f t="shared" si="75"/>
        <v>0</v>
      </c>
      <c r="Y232" s="141">
        <f t="shared" si="66"/>
        <v>0</v>
      </c>
      <c r="AB232" s="777"/>
      <c r="AC232" s="777"/>
      <c r="AD232" t="e">
        <f t="shared" si="65"/>
        <v>#N/A</v>
      </c>
    </row>
    <row r="233" spans="1:30" x14ac:dyDescent="0.2">
      <c r="A233" s="916" t="s">
        <v>174</v>
      </c>
      <c r="B233" t="s">
        <v>2089</v>
      </c>
      <c r="C233" t="s">
        <v>1173</v>
      </c>
      <c r="D233">
        <v>4362901</v>
      </c>
      <c r="E233" t="s">
        <v>1143</v>
      </c>
      <c r="F233" s="854">
        <v>37196</v>
      </c>
      <c r="G233" s="854"/>
      <c r="H233" s="854"/>
      <c r="I233" s="854" t="s">
        <v>245</v>
      </c>
      <c r="J233">
        <f t="shared" si="62"/>
        <v>0</v>
      </c>
      <c r="K233">
        <f t="shared" si="63"/>
        <v>0</v>
      </c>
      <c r="L233" s="251">
        <f t="shared" si="69"/>
        <v>2.2800000000000001E-2</v>
      </c>
      <c r="M233" s="557">
        <f t="shared" si="70"/>
        <v>0</v>
      </c>
      <c r="N233" s="557">
        <f t="shared" si="67"/>
        <v>0</v>
      </c>
      <c r="O233" s="557">
        <f t="shared" si="59"/>
        <v>0</v>
      </c>
      <c r="P233" s="557">
        <f t="shared" si="71"/>
        <v>0</v>
      </c>
      <c r="Q233" s="226" t="str">
        <f t="shared" si="60"/>
        <v>Y</v>
      </c>
      <c r="R233" s="226">
        <f t="shared" si="61"/>
        <v>0</v>
      </c>
      <c r="S233">
        <f t="shared" si="68"/>
        <v>0</v>
      </c>
      <c r="T233" s="141">
        <f t="shared" si="64"/>
        <v>0</v>
      </c>
      <c r="U233" s="710">
        <f t="shared" si="72"/>
        <v>0</v>
      </c>
      <c r="V233" s="710">
        <f t="shared" si="73"/>
        <v>0</v>
      </c>
      <c r="W233" s="710">
        <f t="shared" si="74"/>
        <v>0</v>
      </c>
      <c r="X233" s="710">
        <f t="shared" si="75"/>
        <v>0</v>
      </c>
      <c r="Y233" s="141">
        <f t="shared" si="66"/>
        <v>0</v>
      </c>
      <c r="AB233" s="777"/>
      <c r="AC233" s="777"/>
      <c r="AD233" t="e">
        <f t="shared" si="65"/>
        <v>#N/A</v>
      </c>
    </row>
    <row r="234" spans="1:30" x14ac:dyDescent="0.2">
      <c r="A234" s="916" t="s">
        <v>174</v>
      </c>
      <c r="B234" t="s">
        <v>2089</v>
      </c>
      <c r="C234" t="s">
        <v>1174</v>
      </c>
      <c r="D234">
        <v>4364001</v>
      </c>
      <c r="E234" t="s">
        <v>1126</v>
      </c>
      <c r="F234" s="854">
        <v>37196</v>
      </c>
      <c r="G234" s="854"/>
      <c r="H234" s="854"/>
      <c r="I234" s="854" t="s">
        <v>245</v>
      </c>
      <c r="J234">
        <f t="shared" si="62"/>
        <v>0</v>
      </c>
      <c r="K234">
        <f t="shared" si="63"/>
        <v>0</v>
      </c>
      <c r="L234" s="251">
        <f t="shared" si="69"/>
        <v>2.2800000000000001E-2</v>
      </c>
      <c r="M234" s="557">
        <f t="shared" si="70"/>
        <v>0</v>
      </c>
      <c r="N234" s="557">
        <f t="shared" si="67"/>
        <v>0</v>
      </c>
      <c r="O234" s="557">
        <f t="shared" si="59"/>
        <v>0</v>
      </c>
      <c r="P234" s="557">
        <f t="shared" si="71"/>
        <v>0</v>
      </c>
      <c r="Q234" s="226" t="str">
        <f t="shared" si="60"/>
        <v>Y</v>
      </c>
      <c r="R234" s="226">
        <f t="shared" si="61"/>
        <v>0</v>
      </c>
      <c r="S234">
        <f t="shared" si="68"/>
        <v>0</v>
      </c>
      <c r="T234" s="141">
        <f t="shared" si="64"/>
        <v>0</v>
      </c>
      <c r="U234" s="710">
        <f t="shared" si="72"/>
        <v>0</v>
      </c>
      <c r="V234" s="710">
        <f t="shared" si="73"/>
        <v>0</v>
      </c>
      <c r="W234" s="710">
        <f t="shared" si="74"/>
        <v>0</v>
      </c>
      <c r="X234" s="710">
        <f t="shared" si="75"/>
        <v>0</v>
      </c>
      <c r="Y234" s="141">
        <f t="shared" si="66"/>
        <v>0</v>
      </c>
      <c r="AB234" s="777"/>
      <c r="AC234" s="777"/>
      <c r="AD234" t="e">
        <f t="shared" si="65"/>
        <v>#N/A</v>
      </c>
    </row>
    <row r="235" spans="1:30" x14ac:dyDescent="0.2">
      <c r="A235" s="916" t="s">
        <v>174</v>
      </c>
      <c r="B235" t="s">
        <v>2089</v>
      </c>
      <c r="C235" t="s">
        <v>1176</v>
      </c>
      <c r="D235">
        <v>4366901</v>
      </c>
      <c r="E235" t="s">
        <v>1177</v>
      </c>
      <c r="F235" s="854">
        <v>37196</v>
      </c>
      <c r="G235" s="854"/>
      <c r="H235" s="854"/>
      <c r="I235" s="854" t="s">
        <v>245</v>
      </c>
      <c r="J235">
        <f t="shared" si="62"/>
        <v>0</v>
      </c>
      <c r="K235">
        <f t="shared" si="63"/>
        <v>0</v>
      </c>
      <c r="L235" s="251">
        <f t="shared" si="69"/>
        <v>2.2800000000000001E-2</v>
      </c>
      <c r="M235" s="557">
        <f t="shared" si="70"/>
        <v>0</v>
      </c>
      <c r="N235" s="557">
        <f t="shared" si="67"/>
        <v>0</v>
      </c>
      <c r="O235" s="557">
        <f t="shared" si="59"/>
        <v>0</v>
      </c>
      <c r="P235" s="557">
        <f t="shared" si="71"/>
        <v>0</v>
      </c>
      <c r="Q235" s="226" t="str">
        <f t="shared" si="60"/>
        <v>Y</v>
      </c>
      <c r="R235" s="226">
        <f t="shared" si="61"/>
        <v>0</v>
      </c>
      <c r="S235">
        <f t="shared" si="68"/>
        <v>0</v>
      </c>
      <c r="T235" s="141">
        <f t="shared" si="64"/>
        <v>0</v>
      </c>
      <c r="U235" s="710">
        <f t="shared" si="72"/>
        <v>0</v>
      </c>
      <c r="V235" s="710">
        <f t="shared" si="73"/>
        <v>0</v>
      </c>
      <c r="W235" s="710">
        <f t="shared" si="74"/>
        <v>0</v>
      </c>
      <c r="X235" s="710">
        <f t="shared" si="75"/>
        <v>0</v>
      </c>
      <c r="Y235" s="141">
        <f t="shared" si="66"/>
        <v>0</v>
      </c>
      <c r="AB235" s="777"/>
      <c r="AC235" s="777"/>
      <c r="AD235" t="e">
        <f t="shared" si="65"/>
        <v>#N/A</v>
      </c>
    </row>
    <row r="236" spans="1:30" x14ac:dyDescent="0.2">
      <c r="A236" s="916" t="s">
        <v>174</v>
      </c>
      <c r="B236" t="s">
        <v>2091</v>
      </c>
      <c r="C236" t="s">
        <v>910</v>
      </c>
      <c r="D236">
        <v>4370801</v>
      </c>
      <c r="E236" t="s">
        <v>549</v>
      </c>
      <c r="F236" s="854">
        <v>37196</v>
      </c>
      <c r="G236" s="854"/>
      <c r="H236" s="854"/>
      <c r="I236" s="854" t="s">
        <v>244</v>
      </c>
      <c r="J236">
        <f t="shared" si="62"/>
        <v>0</v>
      </c>
      <c r="K236">
        <f t="shared" si="63"/>
        <v>0</v>
      </c>
      <c r="L236" s="251">
        <f t="shared" si="69"/>
        <v>2.2800000000000001E-2</v>
      </c>
      <c r="M236" s="557">
        <f t="shared" si="70"/>
        <v>0</v>
      </c>
      <c r="N236" s="557">
        <f t="shared" si="67"/>
        <v>0</v>
      </c>
      <c r="O236" s="557">
        <f t="shared" si="59"/>
        <v>0</v>
      </c>
      <c r="P236" s="557">
        <f t="shared" si="71"/>
        <v>0</v>
      </c>
      <c r="Q236" s="226" t="str">
        <f t="shared" si="60"/>
        <v>Y</v>
      </c>
      <c r="R236" s="226">
        <f t="shared" si="61"/>
        <v>0</v>
      </c>
      <c r="S236">
        <f t="shared" si="68"/>
        <v>0</v>
      </c>
      <c r="T236" s="141">
        <f t="shared" si="64"/>
        <v>0</v>
      </c>
      <c r="U236" s="710">
        <f t="shared" si="72"/>
        <v>0</v>
      </c>
      <c r="V236" s="710">
        <f t="shared" si="73"/>
        <v>0</v>
      </c>
      <c r="W236" s="710">
        <f t="shared" si="74"/>
        <v>0</v>
      </c>
      <c r="X236" s="710">
        <f t="shared" si="75"/>
        <v>0</v>
      </c>
      <c r="Y236" s="141">
        <f t="shared" si="66"/>
        <v>0</v>
      </c>
      <c r="AB236" s="777"/>
      <c r="AC236" s="777"/>
      <c r="AD236" t="e">
        <f t="shared" si="65"/>
        <v>#N/A</v>
      </c>
    </row>
    <row r="237" spans="1:30" x14ac:dyDescent="0.2">
      <c r="A237" s="916" t="s">
        <v>174</v>
      </c>
      <c r="B237" t="s">
        <v>2089</v>
      </c>
      <c r="C237" t="s">
        <v>911</v>
      </c>
      <c r="D237">
        <v>4370901</v>
      </c>
      <c r="E237" t="s">
        <v>549</v>
      </c>
      <c r="F237" s="854">
        <v>37196</v>
      </c>
      <c r="G237" s="854"/>
      <c r="H237" s="854"/>
      <c r="I237" s="854" t="s">
        <v>245</v>
      </c>
      <c r="J237">
        <f t="shared" si="62"/>
        <v>0</v>
      </c>
      <c r="K237">
        <f t="shared" si="63"/>
        <v>0</v>
      </c>
      <c r="L237" s="251">
        <f t="shared" si="69"/>
        <v>2.2800000000000001E-2</v>
      </c>
      <c r="M237" s="557">
        <f t="shared" si="70"/>
        <v>0</v>
      </c>
      <c r="N237" s="557">
        <f t="shared" si="67"/>
        <v>0</v>
      </c>
      <c r="O237" s="557">
        <f t="shared" si="59"/>
        <v>0</v>
      </c>
      <c r="P237" s="557">
        <f t="shared" si="71"/>
        <v>0</v>
      </c>
      <c r="Q237" s="226" t="str">
        <f t="shared" si="60"/>
        <v>Y</v>
      </c>
      <c r="R237" s="226">
        <f t="shared" si="61"/>
        <v>0</v>
      </c>
      <c r="S237">
        <f t="shared" si="68"/>
        <v>0</v>
      </c>
      <c r="T237" s="141">
        <f t="shared" si="64"/>
        <v>0</v>
      </c>
      <c r="U237" s="710">
        <f t="shared" si="72"/>
        <v>0</v>
      </c>
      <c r="V237" s="710">
        <f t="shared" si="73"/>
        <v>0</v>
      </c>
      <c r="W237" s="710">
        <f t="shared" si="74"/>
        <v>0</v>
      </c>
      <c r="X237" s="710">
        <f t="shared" si="75"/>
        <v>0</v>
      </c>
      <c r="Y237" s="141">
        <f t="shared" si="66"/>
        <v>0</v>
      </c>
      <c r="AB237" s="777"/>
      <c r="AC237" s="777"/>
      <c r="AD237" t="e">
        <f t="shared" si="65"/>
        <v>#N/A</v>
      </c>
    </row>
    <row r="238" spans="1:30" x14ac:dyDescent="0.2">
      <c r="A238" s="916" t="s">
        <v>174</v>
      </c>
      <c r="B238" t="s">
        <v>2091</v>
      </c>
      <c r="C238" t="s">
        <v>550</v>
      </c>
      <c r="D238">
        <v>4371101</v>
      </c>
      <c r="E238" t="s">
        <v>1877</v>
      </c>
      <c r="F238" s="854">
        <v>37196</v>
      </c>
      <c r="G238" s="854"/>
      <c r="H238" s="854"/>
      <c r="I238" s="854" t="s">
        <v>244</v>
      </c>
      <c r="J238">
        <f t="shared" si="62"/>
        <v>0</v>
      </c>
      <c r="K238">
        <f t="shared" si="63"/>
        <v>0</v>
      </c>
      <c r="L238" s="251">
        <f t="shared" si="69"/>
        <v>2.2800000000000001E-2</v>
      </c>
      <c r="M238" s="557">
        <f t="shared" si="70"/>
        <v>0</v>
      </c>
      <c r="N238" s="557">
        <f t="shared" si="67"/>
        <v>0</v>
      </c>
      <c r="O238" s="557">
        <f t="shared" si="59"/>
        <v>0</v>
      </c>
      <c r="P238" s="557">
        <f t="shared" si="71"/>
        <v>0</v>
      </c>
      <c r="Q238" s="226" t="str">
        <f t="shared" si="60"/>
        <v>Y</v>
      </c>
      <c r="R238" s="226">
        <f t="shared" si="61"/>
        <v>0</v>
      </c>
      <c r="S238">
        <f t="shared" si="68"/>
        <v>0</v>
      </c>
      <c r="T238" s="141">
        <f t="shared" si="64"/>
        <v>0</v>
      </c>
      <c r="U238" s="710">
        <f t="shared" si="72"/>
        <v>0</v>
      </c>
      <c r="V238" s="710">
        <f t="shared" si="73"/>
        <v>0</v>
      </c>
      <c r="W238" s="710">
        <f t="shared" si="74"/>
        <v>0</v>
      </c>
      <c r="X238" s="710">
        <f t="shared" si="75"/>
        <v>0</v>
      </c>
      <c r="Y238" s="141">
        <f t="shared" si="66"/>
        <v>0</v>
      </c>
      <c r="AB238" s="777"/>
      <c r="AC238" s="777"/>
      <c r="AD238" t="e">
        <f t="shared" si="65"/>
        <v>#N/A</v>
      </c>
    </row>
    <row r="239" spans="1:30" x14ac:dyDescent="0.2">
      <c r="A239" s="916" t="s">
        <v>174</v>
      </c>
      <c r="B239" t="s">
        <v>2091</v>
      </c>
      <c r="C239" t="s">
        <v>2280</v>
      </c>
      <c r="D239">
        <v>4371201</v>
      </c>
      <c r="E239" t="s">
        <v>549</v>
      </c>
      <c r="F239" s="854">
        <v>37196</v>
      </c>
      <c r="G239" s="854"/>
      <c r="H239" s="854"/>
      <c r="I239" s="854" t="s">
        <v>244</v>
      </c>
      <c r="J239">
        <f t="shared" si="62"/>
        <v>0</v>
      </c>
      <c r="K239">
        <f t="shared" si="63"/>
        <v>0</v>
      </c>
      <c r="L239" s="251">
        <f t="shared" si="69"/>
        <v>2.2800000000000001E-2</v>
      </c>
      <c r="M239" s="557">
        <f t="shared" si="70"/>
        <v>0</v>
      </c>
      <c r="N239" s="557">
        <f t="shared" si="67"/>
        <v>0</v>
      </c>
      <c r="O239" s="557">
        <f t="shared" si="59"/>
        <v>0</v>
      </c>
      <c r="P239" s="557">
        <f t="shared" si="71"/>
        <v>0</v>
      </c>
      <c r="Q239" s="226" t="str">
        <f t="shared" si="60"/>
        <v>Y</v>
      </c>
      <c r="R239" s="226">
        <f t="shared" si="61"/>
        <v>0</v>
      </c>
      <c r="S239">
        <f t="shared" si="68"/>
        <v>0</v>
      </c>
      <c r="T239" s="141">
        <f t="shared" si="64"/>
        <v>0</v>
      </c>
      <c r="U239" s="710">
        <f t="shared" si="72"/>
        <v>0</v>
      </c>
      <c r="V239" s="710">
        <f t="shared" si="73"/>
        <v>0</v>
      </c>
      <c r="W239" s="710">
        <f t="shared" si="74"/>
        <v>0</v>
      </c>
      <c r="X239" s="710">
        <f t="shared" si="75"/>
        <v>0</v>
      </c>
      <c r="Y239" s="141">
        <f t="shared" si="66"/>
        <v>0</v>
      </c>
      <c r="AB239" s="777"/>
      <c r="AC239" s="777"/>
      <c r="AD239" t="e">
        <f t="shared" si="65"/>
        <v>#N/A</v>
      </c>
    </row>
    <row r="240" spans="1:30" x14ac:dyDescent="0.2">
      <c r="A240" s="916" t="s">
        <v>174</v>
      </c>
      <c r="B240" t="s">
        <v>2091</v>
      </c>
      <c r="C240" t="s">
        <v>947</v>
      </c>
      <c r="D240">
        <v>4371701</v>
      </c>
      <c r="E240" t="s">
        <v>549</v>
      </c>
      <c r="F240" s="854">
        <v>37196</v>
      </c>
      <c r="G240" s="854"/>
      <c r="H240" s="854"/>
      <c r="I240" s="854" t="s">
        <v>244</v>
      </c>
      <c r="J240">
        <f t="shared" si="62"/>
        <v>0</v>
      </c>
      <c r="K240">
        <f t="shared" si="63"/>
        <v>0</v>
      </c>
      <c r="L240" s="251">
        <f t="shared" si="69"/>
        <v>2.2800000000000001E-2</v>
      </c>
      <c r="M240" s="557">
        <f t="shared" si="70"/>
        <v>0</v>
      </c>
      <c r="N240" s="557">
        <f t="shared" si="67"/>
        <v>0</v>
      </c>
      <c r="O240" s="557">
        <f t="shared" ref="O240:O247" si="76">J240-ROUND(+$J240*(VLOOKUP($I240,cngded,6,FALSE)),0)</f>
        <v>0</v>
      </c>
      <c r="P240" s="557">
        <f t="shared" si="71"/>
        <v>0</v>
      </c>
      <c r="Q240" s="226" t="str">
        <f t="shared" si="60"/>
        <v>Y</v>
      </c>
      <c r="R240" s="226">
        <f t="shared" si="61"/>
        <v>0</v>
      </c>
      <c r="S240">
        <f t="shared" si="68"/>
        <v>0</v>
      </c>
      <c r="T240" s="141">
        <f t="shared" si="64"/>
        <v>0</v>
      </c>
      <c r="U240" s="710">
        <f t="shared" si="72"/>
        <v>0</v>
      </c>
      <c r="V240" s="710">
        <f t="shared" si="73"/>
        <v>0</v>
      </c>
      <c r="W240" s="710">
        <f t="shared" si="74"/>
        <v>0</v>
      </c>
      <c r="X240" s="710">
        <f t="shared" si="75"/>
        <v>0</v>
      </c>
      <c r="Y240" s="141">
        <f t="shared" si="66"/>
        <v>0</v>
      </c>
      <c r="AB240" s="777"/>
      <c r="AC240" s="777"/>
      <c r="AD240" t="e">
        <f t="shared" si="65"/>
        <v>#N/A</v>
      </c>
    </row>
    <row r="241" spans="1:30" x14ac:dyDescent="0.2">
      <c r="A241" s="916" t="s">
        <v>174</v>
      </c>
      <c r="B241" t="s">
        <v>2091</v>
      </c>
      <c r="C241" t="s">
        <v>551</v>
      </c>
      <c r="D241">
        <v>4373001</v>
      </c>
      <c r="E241" t="s">
        <v>549</v>
      </c>
      <c r="F241" s="854">
        <v>37196</v>
      </c>
      <c r="G241" s="854"/>
      <c r="H241" s="854"/>
      <c r="I241" s="854" t="s">
        <v>244</v>
      </c>
      <c r="J241">
        <f t="shared" si="62"/>
        <v>0</v>
      </c>
      <c r="K241">
        <f t="shared" si="63"/>
        <v>0</v>
      </c>
      <c r="L241" s="251">
        <f t="shared" si="69"/>
        <v>2.2800000000000001E-2</v>
      </c>
      <c r="M241" s="557">
        <f t="shared" si="70"/>
        <v>0</v>
      </c>
      <c r="N241" s="557">
        <f t="shared" si="67"/>
        <v>0</v>
      </c>
      <c r="O241" s="557">
        <f t="shared" si="76"/>
        <v>0</v>
      </c>
      <c r="P241" s="557">
        <f t="shared" si="71"/>
        <v>0</v>
      </c>
      <c r="Q241" s="226" t="str">
        <f t="shared" si="60"/>
        <v>Y</v>
      </c>
      <c r="R241" s="226">
        <f t="shared" si="61"/>
        <v>0</v>
      </c>
      <c r="S241">
        <f t="shared" si="68"/>
        <v>0</v>
      </c>
      <c r="T241" s="141">
        <f t="shared" si="64"/>
        <v>0</v>
      </c>
      <c r="U241" s="710">
        <f t="shared" si="72"/>
        <v>0</v>
      </c>
      <c r="V241" s="710">
        <f t="shared" si="73"/>
        <v>0</v>
      </c>
      <c r="W241" s="710">
        <f t="shared" si="74"/>
        <v>0</v>
      </c>
      <c r="X241" s="710">
        <f t="shared" si="75"/>
        <v>0</v>
      </c>
      <c r="Y241" s="141">
        <f t="shared" si="66"/>
        <v>0</v>
      </c>
      <c r="AB241" s="777"/>
      <c r="AC241" s="777"/>
      <c r="AD241" t="e">
        <f t="shared" si="65"/>
        <v>#N/A</v>
      </c>
    </row>
    <row r="242" spans="1:30" x14ac:dyDescent="0.2">
      <c r="A242" s="916" t="s">
        <v>174</v>
      </c>
      <c r="B242" t="s">
        <v>2093</v>
      </c>
      <c r="C242" t="s">
        <v>152</v>
      </c>
      <c r="D242">
        <v>5156201</v>
      </c>
      <c r="E242" t="s">
        <v>110</v>
      </c>
      <c r="F242" s="854">
        <v>37196</v>
      </c>
      <c r="G242" s="854"/>
      <c r="H242" s="854"/>
      <c r="I242" s="854" t="s">
        <v>244</v>
      </c>
      <c r="J242">
        <f t="shared" si="62"/>
        <v>0</v>
      </c>
      <c r="K242">
        <f t="shared" si="63"/>
        <v>0</v>
      </c>
      <c r="L242" s="251">
        <f t="shared" si="69"/>
        <v>2.2800000000000001E-2</v>
      </c>
      <c r="M242" s="557">
        <f t="shared" si="70"/>
        <v>0</v>
      </c>
      <c r="N242" s="557">
        <f t="shared" si="67"/>
        <v>0</v>
      </c>
      <c r="O242" s="557">
        <f t="shared" si="76"/>
        <v>0</v>
      </c>
      <c r="P242" s="557">
        <f t="shared" si="71"/>
        <v>0</v>
      </c>
      <c r="Q242" s="226" t="str">
        <f t="shared" si="60"/>
        <v>Y</v>
      </c>
      <c r="R242" s="226">
        <f t="shared" si="61"/>
        <v>0</v>
      </c>
      <c r="S242">
        <f t="shared" si="68"/>
        <v>0</v>
      </c>
      <c r="T242" s="141">
        <f t="shared" si="64"/>
        <v>0</v>
      </c>
      <c r="U242" s="710">
        <f t="shared" si="72"/>
        <v>0</v>
      </c>
      <c r="V242" s="710">
        <f t="shared" si="73"/>
        <v>0</v>
      </c>
      <c r="W242" s="710">
        <f t="shared" si="74"/>
        <v>0</v>
      </c>
      <c r="X242" s="710">
        <f t="shared" si="75"/>
        <v>0</v>
      </c>
      <c r="Y242" s="141">
        <f t="shared" si="66"/>
        <v>0</v>
      </c>
      <c r="AB242" s="777"/>
      <c r="AC242" s="777"/>
      <c r="AD242" t="e">
        <f t="shared" si="65"/>
        <v>#N/A</v>
      </c>
    </row>
    <row r="243" spans="1:30" x14ac:dyDescent="0.2">
      <c r="A243" s="916" t="s">
        <v>174</v>
      </c>
      <c r="B243" t="s">
        <v>2093</v>
      </c>
      <c r="C243" t="s">
        <v>153</v>
      </c>
      <c r="D243">
        <v>5171101</v>
      </c>
      <c r="E243" t="s">
        <v>110</v>
      </c>
      <c r="F243" s="854">
        <v>37196</v>
      </c>
      <c r="G243" s="854"/>
      <c r="H243" s="854"/>
      <c r="I243" s="854" t="s">
        <v>244</v>
      </c>
      <c r="J243">
        <f t="shared" si="62"/>
        <v>0</v>
      </c>
      <c r="K243">
        <f t="shared" si="63"/>
        <v>0</v>
      </c>
      <c r="L243" s="251">
        <f t="shared" si="69"/>
        <v>2.2800000000000001E-2</v>
      </c>
      <c r="M243" s="557">
        <f t="shared" si="70"/>
        <v>0</v>
      </c>
      <c r="N243" s="557">
        <f t="shared" si="67"/>
        <v>0</v>
      </c>
      <c r="O243" s="557">
        <f t="shared" si="76"/>
        <v>0</v>
      </c>
      <c r="P243" s="557">
        <f t="shared" si="71"/>
        <v>0</v>
      </c>
      <c r="Q243" s="226" t="str">
        <f t="shared" si="60"/>
        <v>Y</v>
      </c>
      <c r="R243" s="226">
        <f t="shared" si="61"/>
        <v>0</v>
      </c>
      <c r="S243">
        <f t="shared" si="68"/>
        <v>0</v>
      </c>
      <c r="T243" s="141">
        <f t="shared" si="64"/>
        <v>0</v>
      </c>
      <c r="U243" s="710">
        <f t="shared" si="72"/>
        <v>0</v>
      </c>
      <c r="V243" s="710">
        <f t="shared" si="73"/>
        <v>0</v>
      </c>
      <c r="W243" s="710">
        <f t="shared" si="74"/>
        <v>0</v>
      </c>
      <c r="X243" s="710">
        <f t="shared" si="75"/>
        <v>0</v>
      </c>
      <c r="Y243" s="141">
        <f t="shared" si="66"/>
        <v>0</v>
      </c>
      <c r="AB243" s="777"/>
      <c r="AC243" s="777"/>
      <c r="AD243" t="e">
        <f t="shared" si="65"/>
        <v>#N/A</v>
      </c>
    </row>
    <row r="244" spans="1:30" x14ac:dyDescent="0.2">
      <c r="A244" s="916" t="s">
        <v>174</v>
      </c>
      <c r="B244" t="s">
        <v>2089</v>
      </c>
      <c r="C244" t="s">
        <v>1178</v>
      </c>
      <c r="D244" t="s">
        <v>1179</v>
      </c>
      <c r="E244" t="s">
        <v>1092</v>
      </c>
      <c r="F244" s="854">
        <v>37196</v>
      </c>
      <c r="G244" s="854"/>
      <c r="H244" s="854"/>
      <c r="I244" s="854" t="s">
        <v>245</v>
      </c>
      <c r="J244">
        <f t="shared" si="62"/>
        <v>0</v>
      </c>
      <c r="K244">
        <f t="shared" si="63"/>
        <v>0</v>
      </c>
      <c r="L244" s="251">
        <f t="shared" si="69"/>
        <v>2.2800000000000001E-2</v>
      </c>
      <c r="M244" s="557">
        <f t="shared" si="70"/>
        <v>0</v>
      </c>
      <c r="N244" s="557">
        <f t="shared" si="67"/>
        <v>0</v>
      </c>
      <c r="O244" s="557">
        <f t="shared" si="76"/>
        <v>0</v>
      </c>
      <c r="P244" s="557">
        <f t="shared" si="71"/>
        <v>0</v>
      </c>
      <c r="Q244" s="226" t="str">
        <f t="shared" si="60"/>
        <v>Y</v>
      </c>
      <c r="R244" s="226">
        <f t="shared" si="61"/>
        <v>0</v>
      </c>
      <c r="S244">
        <f t="shared" si="68"/>
        <v>0</v>
      </c>
      <c r="T244" s="141">
        <f t="shared" si="64"/>
        <v>0</v>
      </c>
      <c r="U244" s="710">
        <f t="shared" si="72"/>
        <v>0</v>
      </c>
      <c r="V244" s="710">
        <f t="shared" si="73"/>
        <v>0</v>
      </c>
      <c r="W244" s="710">
        <f t="shared" si="74"/>
        <v>0</v>
      </c>
      <c r="X244" s="710">
        <f t="shared" si="75"/>
        <v>0</v>
      </c>
      <c r="Y244" s="141">
        <f t="shared" si="66"/>
        <v>0</v>
      </c>
      <c r="AB244" s="777"/>
      <c r="AC244" s="777"/>
      <c r="AD244" t="e">
        <f t="shared" si="65"/>
        <v>#N/A</v>
      </c>
    </row>
    <row r="245" spans="1:30" x14ac:dyDescent="0.2">
      <c r="A245" s="916" t="s">
        <v>174</v>
      </c>
      <c r="B245" t="s">
        <v>2090</v>
      </c>
      <c r="C245" t="s">
        <v>1364</v>
      </c>
      <c r="D245" t="s">
        <v>1365</v>
      </c>
      <c r="E245" t="s">
        <v>1100</v>
      </c>
      <c r="F245" s="854">
        <v>37196</v>
      </c>
      <c r="G245" s="854"/>
      <c r="H245" s="854"/>
      <c r="I245" s="854" t="s">
        <v>252</v>
      </c>
      <c r="J245">
        <f t="shared" si="62"/>
        <v>0</v>
      </c>
      <c r="K245">
        <f t="shared" si="63"/>
        <v>0</v>
      </c>
      <c r="L245" s="251">
        <f t="shared" si="69"/>
        <v>0</v>
      </c>
      <c r="M245" s="557">
        <f t="shared" si="70"/>
        <v>0</v>
      </c>
      <c r="N245" s="557">
        <f t="shared" si="67"/>
        <v>0</v>
      </c>
      <c r="O245" s="557">
        <f t="shared" si="76"/>
        <v>0</v>
      </c>
      <c r="P245" s="557">
        <f t="shared" si="71"/>
        <v>0</v>
      </c>
      <c r="Q245" s="226" t="str">
        <f t="shared" si="60"/>
        <v>Y</v>
      </c>
      <c r="R245" s="226">
        <f t="shared" si="61"/>
        <v>0</v>
      </c>
      <c r="S245">
        <f t="shared" si="68"/>
        <v>0</v>
      </c>
      <c r="T245" s="141">
        <f t="shared" si="64"/>
        <v>0</v>
      </c>
      <c r="U245" s="710">
        <f t="shared" si="72"/>
        <v>0</v>
      </c>
      <c r="V245" s="710">
        <f t="shared" si="73"/>
        <v>0</v>
      </c>
      <c r="W245" s="710">
        <f t="shared" si="74"/>
        <v>0</v>
      </c>
      <c r="X245" s="710">
        <f t="shared" si="75"/>
        <v>0</v>
      </c>
      <c r="Y245" s="141">
        <f t="shared" si="66"/>
        <v>0</v>
      </c>
      <c r="AB245" s="777"/>
      <c r="AC245" s="777"/>
      <c r="AD245" t="e">
        <f t="shared" si="65"/>
        <v>#N/A</v>
      </c>
    </row>
    <row r="246" spans="1:30" x14ac:dyDescent="0.2">
      <c r="A246" s="916" t="s">
        <v>174</v>
      </c>
      <c r="B246" t="s">
        <v>2090</v>
      </c>
      <c r="C246" t="s">
        <v>2281</v>
      </c>
      <c r="D246" t="s">
        <v>2282</v>
      </c>
      <c r="E246" t="s">
        <v>2283</v>
      </c>
      <c r="F246" s="854">
        <v>37196</v>
      </c>
      <c r="G246" s="854"/>
      <c r="H246" s="854"/>
      <c r="I246" s="854" t="s">
        <v>252</v>
      </c>
      <c r="J246">
        <f t="shared" si="62"/>
        <v>0</v>
      </c>
      <c r="K246">
        <f t="shared" si="63"/>
        <v>0</v>
      </c>
      <c r="L246" s="251">
        <f t="shared" si="69"/>
        <v>0</v>
      </c>
      <c r="M246" s="557">
        <f t="shared" si="70"/>
        <v>0</v>
      </c>
      <c r="N246" s="557">
        <f t="shared" si="67"/>
        <v>0</v>
      </c>
      <c r="O246" s="557">
        <f t="shared" si="76"/>
        <v>0</v>
      </c>
      <c r="P246" s="557">
        <f t="shared" si="71"/>
        <v>0</v>
      </c>
      <c r="Q246" s="226" t="str">
        <f t="shared" si="60"/>
        <v>Y</v>
      </c>
      <c r="R246" s="226">
        <f t="shared" si="61"/>
        <v>0</v>
      </c>
      <c r="S246">
        <f t="shared" si="68"/>
        <v>0</v>
      </c>
      <c r="T246" s="141">
        <f t="shared" si="64"/>
        <v>0</v>
      </c>
      <c r="U246" s="710">
        <f t="shared" si="72"/>
        <v>0</v>
      </c>
      <c r="V246" s="710">
        <f t="shared" si="73"/>
        <v>0</v>
      </c>
      <c r="W246" s="710">
        <f t="shared" si="74"/>
        <v>0</v>
      </c>
      <c r="X246" s="710">
        <f t="shared" si="75"/>
        <v>0</v>
      </c>
      <c r="Y246" s="141">
        <f t="shared" si="66"/>
        <v>0</v>
      </c>
      <c r="AB246" s="777"/>
      <c r="AC246" s="777"/>
      <c r="AD246" t="e">
        <f t="shared" si="65"/>
        <v>#N/A</v>
      </c>
    </row>
    <row r="247" spans="1:30" x14ac:dyDescent="0.2">
      <c r="A247" s="916" t="s">
        <v>174</v>
      </c>
      <c r="B247" t="s">
        <v>2092</v>
      </c>
      <c r="C247" t="s">
        <v>1096</v>
      </c>
      <c r="D247" t="s">
        <v>1097</v>
      </c>
      <c r="E247" t="s">
        <v>1100</v>
      </c>
      <c r="F247" s="854">
        <v>37196</v>
      </c>
      <c r="G247" s="854"/>
      <c r="H247" s="854"/>
      <c r="I247" s="854" t="s">
        <v>246</v>
      </c>
      <c r="J247">
        <f t="shared" si="62"/>
        <v>0</v>
      </c>
      <c r="K247">
        <f t="shared" si="63"/>
        <v>0</v>
      </c>
      <c r="L247" s="251">
        <f t="shared" si="69"/>
        <v>0</v>
      </c>
      <c r="M247" s="557">
        <f t="shared" si="70"/>
        <v>0</v>
      </c>
      <c r="N247" s="557">
        <f t="shared" si="67"/>
        <v>0</v>
      </c>
      <c r="O247" s="557">
        <f t="shared" si="76"/>
        <v>0</v>
      </c>
      <c r="P247" s="557">
        <f t="shared" si="71"/>
        <v>0</v>
      </c>
      <c r="Q247" s="226" t="str">
        <f t="shared" si="60"/>
        <v>Y</v>
      </c>
      <c r="R247" s="226">
        <f t="shared" si="61"/>
        <v>0</v>
      </c>
      <c r="S247">
        <f t="shared" si="68"/>
        <v>0</v>
      </c>
      <c r="T247" s="141">
        <f t="shared" si="64"/>
        <v>0</v>
      </c>
      <c r="U247" s="710">
        <f t="shared" si="72"/>
        <v>0</v>
      </c>
      <c r="V247" s="710">
        <f t="shared" si="73"/>
        <v>0</v>
      </c>
      <c r="W247" s="710">
        <f t="shared" si="74"/>
        <v>0</v>
      </c>
      <c r="X247" s="710">
        <f t="shared" si="75"/>
        <v>0</v>
      </c>
      <c r="Y247" s="141">
        <f t="shared" si="66"/>
        <v>0</v>
      </c>
      <c r="AB247" s="777"/>
      <c r="AC247" s="777"/>
      <c r="AD247" t="e">
        <f t="shared" si="65"/>
        <v>#N/A</v>
      </c>
    </row>
    <row r="248" spans="1:30" x14ac:dyDescent="0.2">
      <c r="M248" s="558"/>
    </row>
    <row r="249" spans="1:30" x14ac:dyDescent="0.2">
      <c r="J249">
        <f>SUM(J2:J248)</f>
        <v>0</v>
      </c>
      <c r="K249">
        <f>SUM(K2:K248)</f>
        <v>0</v>
      </c>
      <c r="M249" s="558">
        <f t="shared" si="70"/>
        <v>0</v>
      </c>
      <c r="N249" s="558">
        <f>SUM(N2:N248)</f>
        <v>0</v>
      </c>
      <c r="O249" s="558" t="e">
        <f>SUM(O2:O248)</f>
        <v>#VALUE!</v>
      </c>
      <c r="P249" s="558">
        <f>SUM(P2:P248)</f>
        <v>0</v>
      </c>
      <c r="R249" t="e">
        <f t="shared" ref="R249:X249" si="77">SUM(R2:R248)</f>
        <v>#VALUE!</v>
      </c>
      <c r="S249" t="e">
        <f t="shared" si="77"/>
        <v>#VALUE!</v>
      </c>
      <c r="T249" t="e">
        <f t="shared" si="77"/>
        <v>#VALUE!</v>
      </c>
      <c r="U249" s="711">
        <f t="shared" si="77"/>
        <v>0</v>
      </c>
      <c r="V249" s="711">
        <f t="shared" si="77"/>
        <v>0</v>
      </c>
      <c r="W249" s="711">
        <f t="shared" si="77"/>
        <v>0</v>
      </c>
      <c r="X249" s="711">
        <f t="shared" si="77"/>
        <v>0</v>
      </c>
      <c r="Y249" s="711">
        <f>SUM(U249:X249)</f>
        <v>0</v>
      </c>
    </row>
    <row r="253" spans="1:30" x14ac:dyDescent="0.2">
      <c r="A253">
        <v>200110</v>
      </c>
      <c r="B253" t="s">
        <v>2089</v>
      </c>
      <c r="C253" t="s">
        <v>27</v>
      </c>
      <c r="D253">
        <v>1059901</v>
      </c>
      <c r="E253" t="s">
        <v>25</v>
      </c>
      <c r="F253" s="854">
        <v>37224</v>
      </c>
      <c r="G253" s="854">
        <v>37225</v>
      </c>
      <c r="H253" t="s">
        <v>802</v>
      </c>
      <c r="I253" t="s">
        <v>1646</v>
      </c>
      <c r="J253">
        <v>26</v>
      </c>
      <c r="K253">
        <v>28</v>
      </c>
      <c r="L253" s="226"/>
      <c r="M253" s="557"/>
      <c r="N253"/>
      <c r="O253"/>
      <c r="P253"/>
      <c r="Q253"/>
      <c r="W253" s="777"/>
      <c r="X253" s="777"/>
      <c r="AB253"/>
      <c r="AC253"/>
    </row>
    <row r="254" spans="1:30" x14ac:dyDescent="0.2">
      <c r="A254">
        <v>200110</v>
      </c>
      <c r="B254" t="s">
        <v>2089</v>
      </c>
      <c r="C254" t="s">
        <v>1124</v>
      </c>
      <c r="D254">
        <v>3508401</v>
      </c>
      <c r="E254" t="s">
        <v>1122</v>
      </c>
      <c r="F254" s="854">
        <v>37225</v>
      </c>
      <c r="G254" s="854">
        <v>37225</v>
      </c>
      <c r="H254" t="s">
        <v>802</v>
      </c>
      <c r="I254" t="s">
        <v>1646</v>
      </c>
      <c r="J254">
        <v>2</v>
      </c>
      <c r="K254">
        <v>2</v>
      </c>
      <c r="L254" s="226"/>
      <c r="M254" s="557"/>
      <c r="N254"/>
      <c r="O254"/>
      <c r="P254"/>
      <c r="Q254"/>
      <c r="W254" s="777"/>
      <c r="X254" s="777"/>
      <c r="AB254"/>
      <c r="AC254"/>
    </row>
    <row r="255" spans="1:30" x14ac:dyDescent="0.2">
      <c r="A255">
        <v>200110</v>
      </c>
      <c r="B255" t="s">
        <v>2089</v>
      </c>
      <c r="C255" t="s">
        <v>102</v>
      </c>
      <c r="D255">
        <v>3549701</v>
      </c>
      <c r="E255" t="s">
        <v>25</v>
      </c>
      <c r="F255" s="854">
        <v>37224</v>
      </c>
      <c r="G255" s="854">
        <v>37225</v>
      </c>
      <c r="H255" t="s">
        <v>802</v>
      </c>
      <c r="I255" t="s">
        <v>1646</v>
      </c>
      <c r="J255">
        <v>14</v>
      </c>
      <c r="K255">
        <v>15</v>
      </c>
      <c r="L255" s="226"/>
      <c r="M255" s="557"/>
      <c r="N255"/>
      <c r="O255"/>
      <c r="P255"/>
      <c r="Q255"/>
      <c r="W255" s="777"/>
      <c r="X255" s="777"/>
      <c r="AB255"/>
      <c r="AC255"/>
    </row>
    <row r="256" spans="1:30" x14ac:dyDescent="0.2">
      <c r="A256">
        <v>200110</v>
      </c>
      <c r="B256" t="s">
        <v>2089</v>
      </c>
      <c r="C256" t="s">
        <v>103</v>
      </c>
      <c r="D256">
        <v>3552201</v>
      </c>
      <c r="E256" t="s">
        <v>25</v>
      </c>
      <c r="F256" s="854">
        <v>37224</v>
      </c>
      <c r="G256" s="854">
        <v>37225</v>
      </c>
      <c r="H256" t="s">
        <v>802</v>
      </c>
      <c r="I256" t="s">
        <v>1646</v>
      </c>
      <c r="J256">
        <v>2</v>
      </c>
      <c r="K256">
        <v>2</v>
      </c>
      <c r="L256" s="226"/>
      <c r="M256" s="557"/>
      <c r="N256"/>
      <c r="O256"/>
      <c r="P256"/>
      <c r="Q256"/>
      <c r="W256" s="777"/>
      <c r="X256" s="777"/>
      <c r="AB256"/>
      <c r="AC256"/>
    </row>
    <row r="257" spans="1:29" x14ac:dyDescent="0.2">
      <c r="A257">
        <v>200110</v>
      </c>
      <c r="B257" t="s">
        <v>2089</v>
      </c>
      <c r="C257" t="s">
        <v>1149</v>
      </c>
      <c r="D257">
        <v>3565501</v>
      </c>
      <c r="E257" t="s">
        <v>1150</v>
      </c>
      <c r="F257" s="854">
        <v>37225</v>
      </c>
      <c r="G257" s="854">
        <v>37225</v>
      </c>
      <c r="H257" t="s">
        <v>802</v>
      </c>
      <c r="I257" t="s">
        <v>1646</v>
      </c>
      <c r="J257">
        <v>4</v>
      </c>
      <c r="K257">
        <v>4</v>
      </c>
      <c r="L257" s="226"/>
      <c r="M257" s="557"/>
      <c r="N257"/>
      <c r="O257"/>
      <c r="P257"/>
      <c r="Q257"/>
      <c r="W257" s="777"/>
      <c r="X257" s="777"/>
      <c r="AB257"/>
      <c r="AC257"/>
    </row>
    <row r="258" spans="1:29" x14ac:dyDescent="0.2">
      <c r="A258">
        <v>200110</v>
      </c>
      <c r="B258" t="s">
        <v>2089</v>
      </c>
      <c r="C258" t="s">
        <v>1762</v>
      </c>
      <c r="D258">
        <v>3584401</v>
      </c>
      <c r="E258" t="s">
        <v>901</v>
      </c>
      <c r="F258" s="854">
        <v>37225</v>
      </c>
      <c r="G258" s="854">
        <v>37225</v>
      </c>
      <c r="H258" t="s">
        <v>802</v>
      </c>
      <c r="I258" t="s">
        <v>1646</v>
      </c>
      <c r="J258">
        <v>1</v>
      </c>
      <c r="K258">
        <v>2</v>
      </c>
      <c r="L258" s="226"/>
      <c r="M258" s="557"/>
      <c r="N258"/>
      <c r="O258"/>
      <c r="P258"/>
      <c r="Q258"/>
      <c r="W258" s="777"/>
      <c r="X258" s="777"/>
      <c r="AB258"/>
      <c r="AC258"/>
    </row>
    <row r="259" spans="1:29" x14ac:dyDescent="0.2">
      <c r="A259">
        <v>200110</v>
      </c>
      <c r="B259" t="s">
        <v>2089</v>
      </c>
      <c r="C259" t="s">
        <v>948</v>
      </c>
      <c r="D259">
        <v>3585801</v>
      </c>
      <c r="E259" t="s">
        <v>1150</v>
      </c>
      <c r="F259" s="854">
        <v>37106</v>
      </c>
      <c r="G259" s="854">
        <v>37134</v>
      </c>
      <c r="H259" t="s">
        <v>803</v>
      </c>
      <c r="I259" t="s">
        <v>1647</v>
      </c>
      <c r="J259">
        <v>-44</v>
      </c>
      <c r="K259">
        <v>-55</v>
      </c>
      <c r="L259" s="226"/>
      <c r="M259" s="557"/>
      <c r="N259"/>
      <c r="O259"/>
      <c r="P259"/>
      <c r="Q259"/>
      <c r="W259" s="777"/>
      <c r="X259" s="777"/>
      <c r="AB259"/>
      <c r="AC259"/>
    </row>
    <row r="260" spans="1:29" x14ac:dyDescent="0.2">
      <c r="A260">
        <v>200110</v>
      </c>
      <c r="B260" t="s">
        <v>2089</v>
      </c>
      <c r="C260" t="s">
        <v>948</v>
      </c>
      <c r="D260">
        <v>3585801</v>
      </c>
      <c r="E260" t="s">
        <v>1150</v>
      </c>
      <c r="F260" s="854">
        <v>37135</v>
      </c>
      <c r="G260" s="854">
        <v>37164</v>
      </c>
      <c r="H260" t="s">
        <v>803</v>
      </c>
      <c r="I260" t="s">
        <v>1647</v>
      </c>
      <c r="J260">
        <v>-58</v>
      </c>
      <c r="K260">
        <v>-74</v>
      </c>
      <c r="L260" s="226"/>
      <c r="M260" s="557"/>
      <c r="N260"/>
      <c r="O260"/>
      <c r="P260"/>
      <c r="Q260"/>
      <c r="W260" s="777"/>
      <c r="X260" s="777"/>
      <c r="AB260"/>
      <c r="AC260"/>
    </row>
    <row r="261" spans="1:29" x14ac:dyDescent="0.2">
      <c r="A261">
        <v>200110</v>
      </c>
      <c r="B261" t="s">
        <v>2089</v>
      </c>
      <c r="C261" t="s">
        <v>948</v>
      </c>
      <c r="D261">
        <v>3585801</v>
      </c>
      <c r="E261" t="s">
        <v>1150</v>
      </c>
      <c r="F261" s="854">
        <v>37165</v>
      </c>
      <c r="G261" s="854">
        <v>37195</v>
      </c>
      <c r="H261" t="s">
        <v>803</v>
      </c>
      <c r="I261" t="s">
        <v>1647</v>
      </c>
      <c r="J261">
        <v>-46</v>
      </c>
      <c r="K261">
        <v>-59</v>
      </c>
      <c r="L261" s="226"/>
      <c r="M261" s="557"/>
      <c r="N261"/>
      <c r="O261"/>
      <c r="P261"/>
      <c r="Q261"/>
      <c r="W261" s="777"/>
      <c r="X261" s="777"/>
      <c r="AB261"/>
      <c r="AC261"/>
    </row>
    <row r="262" spans="1:29" x14ac:dyDescent="0.2">
      <c r="A262">
        <v>200110</v>
      </c>
      <c r="B262" t="s">
        <v>2089</v>
      </c>
      <c r="C262" t="s">
        <v>948</v>
      </c>
      <c r="D262">
        <v>3585801</v>
      </c>
      <c r="E262" t="s">
        <v>1150</v>
      </c>
      <c r="F262" s="854">
        <v>37196</v>
      </c>
      <c r="G262" s="854">
        <v>37202</v>
      </c>
      <c r="H262" t="s">
        <v>803</v>
      </c>
      <c r="I262" t="s">
        <v>1647</v>
      </c>
      <c r="J262">
        <v>-10</v>
      </c>
      <c r="K262">
        <v>-14</v>
      </c>
      <c r="L262" s="226"/>
      <c r="M262" s="557"/>
      <c r="N262"/>
      <c r="O262"/>
      <c r="P262"/>
      <c r="Q262"/>
      <c r="W262" s="777"/>
      <c r="X262" s="777"/>
      <c r="AB262"/>
      <c r="AC262"/>
    </row>
    <row r="263" spans="1:29" x14ac:dyDescent="0.2">
      <c r="A263">
        <v>200110</v>
      </c>
      <c r="B263" t="s">
        <v>2089</v>
      </c>
      <c r="C263" t="s">
        <v>1178</v>
      </c>
      <c r="D263" t="s">
        <v>1179</v>
      </c>
      <c r="E263" t="s">
        <v>1092</v>
      </c>
      <c r="F263" s="854">
        <v>37196</v>
      </c>
      <c r="G263" s="854">
        <v>37225</v>
      </c>
      <c r="H263" t="s">
        <v>804</v>
      </c>
      <c r="I263" t="s">
        <v>805</v>
      </c>
      <c r="J263">
        <v>-49</v>
      </c>
      <c r="K263">
        <v>-52</v>
      </c>
      <c r="L263" s="226"/>
      <c r="M263" s="557"/>
      <c r="N263"/>
      <c r="O263"/>
      <c r="P263"/>
      <c r="Q263"/>
      <c r="W263" s="777"/>
      <c r="X263" s="777"/>
      <c r="AB263"/>
      <c r="AC263"/>
    </row>
    <row r="264" spans="1:29" x14ac:dyDescent="0.2">
      <c r="A264">
        <v>200110</v>
      </c>
      <c r="B264" t="s">
        <v>2089</v>
      </c>
      <c r="C264" t="s">
        <v>123</v>
      </c>
      <c r="D264">
        <v>4085901</v>
      </c>
      <c r="E264" t="s">
        <v>176</v>
      </c>
      <c r="F264" s="854">
        <v>37224</v>
      </c>
      <c r="G264" s="854">
        <v>37225</v>
      </c>
      <c r="H264" t="s">
        <v>802</v>
      </c>
      <c r="I264" t="s">
        <v>1646</v>
      </c>
      <c r="J264">
        <v>8</v>
      </c>
      <c r="K264">
        <v>8</v>
      </c>
      <c r="L264" s="226"/>
      <c r="M264" s="557"/>
      <c r="N264"/>
      <c r="O264"/>
      <c r="P264"/>
      <c r="Q264"/>
      <c r="W264" s="777"/>
      <c r="X264" s="777"/>
      <c r="AB264"/>
      <c r="AC264"/>
    </row>
    <row r="265" spans="1:29" x14ac:dyDescent="0.2">
      <c r="A265">
        <v>200110</v>
      </c>
      <c r="B265" t="s">
        <v>2089</v>
      </c>
      <c r="C265" t="s">
        <v>1199</v>
      </c>
      <c r="D265">
        <v>3294701</v>
      </c>
      <c r="E265" t="s">
        <v>1262</v>
      </c>
      <c r="F265" s="854">
        <v>37225</v>
      </c>
      <c r="G265" s="854">
        <v>37225</v>
      </c>
      <c r="H265" t="s">
        <v>802</v>
      </c>
      <c r="I265" t="s">
        <v>1646</v>
      </c>
      <c r="J265">
        <v>4</v>
      </c>
      <c r="K265">
        <v>5</v>
      </c>
      <c r="L265" s="226"/>
      <c r="M265" s="557"/>
      <c r="N265"/>
      <c r="O265"/>
      <c r="P265"/>
      <c r="Q265"/>
      <c r="W265" s="777"/>
      <c r="X265" s="777"/>
      <c r="AB265"/>
      <c r="AC265"/>
    </row>
    <row r="266" spans="1:29" x14ac:dyDescent="0.2">
      <c r="A266">
        <v>200110</v>
      </c>
      <c r="B266" t="s">
        <v>2089</v>
      </c>
      <c r="C266" t="s">
        <v>1266</v>
      </c>
      <c r="D266">
        <v>4058801</v>
      </c>
      <c r="E266" t="s">
        <v>1267</v>
      </c>
      <c r="F266" s="854">
        <v>37225</v>
      </c>
      <c r="G266" s="854">
        <v>37225</v>
      </c>
      <c r="H266" t="s">
        <v>802</v>
      </c>
      <c r="I266" t="s">
        <v>1646</v>
      </c>
      <c r="J266">
        <v>9</v>
      </c>
      <c r="K266">
        <v>10</v>
      </c>
      <c r="L266" s="226"/>
      <c r="M266" s="557"/>
      <c r="N266"/>
      <c r="O266"/>
      <c r="P266"/>
      <c r="Q266"/>
      <c r="W266" s="777"/>
      <c r="X266" s="777"/>
      <c r="AB266"/>
      <c r="AC266"/>
    </row>
    <row r="267" spans="1:29" x14ac:dyDescent="0.2">
      <c r="A267">
        <v>200110</v>
      </c>
      <c r="B267" t="s">
        <v>2089</v>
      </c>
      <c r="C267" t="s">
        <v>1268</v>
      </c>
      <c r="D267">
        <v>3234701</v>
      </c>
      <c r="E267" t="s">
        <v>1269</v>
      </c>
      <c r="F267" s="854">
        <v>37186</v>
      </c>
      <c r="G267" s="854">
        <v>37195</v>
      </c>
      <c r="H267" t="s">
        <v>802</v>
      </c>
      <c r="I267" t="s">
        <v>1646</v>
      </c>
      <c r="J267">
        <v>39</v>
      </c>
      <c r="K267">
        <v>50</v>
      </c>
      <c r="L267" s="226"/>
      <c r="M267" s="557"/>
      <c r="N267"/>
      <c r="O267"/>
      <c r="P267"/>
      <c r="Q267"/>
      <c r="W267" s="777"/>
      <c r="X267" s="777"/>
      <c r="AB267"/>
      <c r="AC267"/>
    </row>
    <row r="268" spans="1:29" x14ac:dyDescent="0.2">
      <c r="A268">
        <v>200110</v>
      </c>
      <c r="B268" t="s">
        <v>2089</v>
      </c>
      <c r="C268" t="s">
        <v>1268</v>
      </c>
      <c r="D268">
        <v>3234701</v>
      </c>
      <c r="E268" t="s">
        <v>1269</v>
      </c>
      <c r="F268" s="854">
        <v>37196</v>
      </c>
      <c r="G268" s="854">
        <v>37219</v>
      </c>
      <c r="H268" t="s">
        <v>802</v>
      </c>
      <c r="I268" t="s">
        <v>1646</v>
      </c>
      <c r="J268">
        <v>66</v>
      </c>
      <c r="K268">
        <v>88</v>
      </c>
      <c r="L268" s="226"/>
      <c r="M268" s="557"/>
      <c r="N268"/>
      <c r="O268"/>
      <c r="P268"/>
      <c r="Q268"/>
      <c r="W268" s="777"/>
      <c r="X268" s="777"/>
      <c r="AB268"/>
      <c r="AC268"/>
    </row>
    <row r="269" spans="1:29" x14ac:dyDescent="0.2">
      <c r="A269">
        <v>200110</v>
      </c>
      <c r="B269" t="s">
        <v>2089</v>
      </c>
      <c r="C269" t="s">
        <v>1270</v>
      </c>
      <c r="D269">
        <v>4043501</v>
      </c>
      <c r="E269" t="s">
        <v>1267</v>
      </c>
      <c r="F269" s="854">
        <v>37225</v>
      </c>
      <c r="G269" s="854">
        <v>37225</v>
      </c>
      <c r="H269" t="s">
        <v>802</v>
      </c>
      <c r="I269" t="s">
        <v>1646</v>
      </c>
      <c r="J269">
        <v>5</v>
      </c>
      <c r="K269">
        <v>6</v>
      </c>
      <c r="L269" s="226"/>
      <c r="M269" s="557"/>
      <c r="N269"/>
      <c r="O269"/>
      <c r="P269"/>
      <c r="Q269"/>
      <c r="W269" s="777"/>
      <c r="X269" s="777"/>
      <c r="AB269"/>
      <c r="AC269"/>
    </row>
    <row r="270" spans="1:29" x14ac:dyDescent="0.2">
      <c r="A270">
        <v>200110</v>
      </c>
      <c r="B270" t="s">
        <v>2089</v>
      </c>
      <c r="C270" t="s">
        <v>47</v>
      </c>
      <c r="D270">
        <v>3024701</v>
      </c>
      <c r="E270" t="s">
        <v>25</v>
      </c>
      <c r="F270" s="854">
        <v>37224</v>
      </c>
      <c r="G270" s="854">
        <v>37225</v>
      </c>
      <c r="H270" t="s">
        <v>802</v>
      </c>
      <c r="I270" t="s">
        <v>1646</v>
      </c>
      <c r="J270">
        <v>2</v>
      </c>
      <c r="K270">
        <v>3</v>
      </c>
      <c r="L270" s="226"/>
      <c r="M270" s="557"/>
      <c r="N270"/>
      <c r="O270"/>
      <c r="P270"/>
      <c r="Q270"/>
      <c r="W270" s="777"/>
      <c r="X270" s="777"/>
      <c r="AB270"/>
      <c r="AC270"/>
    </row>
    <row r="271" spans="1:29" x14ac:dyDescent="0.2">
      <c r="A271">
        <v>200110</v>
      </c>
      <c r="B271" t="s">
        <v>2089</v>
      </c>
      <c r="C271" t="s">
        <v>49</v>
      </c>
      <c r="D271">
        <v>3025701</v>
      </c>
      <c r="E271" t="s">
        <v>25</v>
      </c>
      <c r="F271" s="854">
        <v>37225</v>
      </c>
      <c r="G271" s="854">
        <v>37225</v>
      </c>
      <c r="H271" t="s">
        <v>802</v>
      </c>
      <c r="I271" t="s">
        <v>1646</v>
      </c>
      <c r="J271">
        <v>4</v>
      </c>
      <c r="K271">
        <v>5</v>
      </c>
      <c r="L271" s="226"/>
      <c r="M271" s="557"/>
      <c r="N271"/>
      <c r="O271"/>
      <c r="P271"/>
      <c r="Q271"/>
      <c r="W271" s="777"/>
      <c r="X271" s="777"/>
      <c r="AB271"/>
      <c r="AC271"/>
    </row>
    <row r="272" spans="1:29" x14ac:dyDescent="0.2">
      <c r="A272">
        <v>200110</v>
      </c>
      <c r="B272" t="s">
        <v>2089</v>
      </c>
      <c r="C272" t="s">
        <v>112</v>
      </c>
      <c r="D272">
        <v>4017601</v>
      </c>
      <c r="E272" t="s">
        <v>110</v>
      </c>
      <c r="F272" s="854">
        <v>37225</v>
      </c>
      <c r="G272" s="854">
        <v>37225</v>
      </c>
      <c r="H272" t="s">
        <v>802</v>
      </c>
      <c r="I272" t="s">
        <v>1646</v>
      </c>
      <c r="J272">
        <v>12</v>
      </c>
      <c r="K272">
        <v>15</v>
      </c>
      <c r="L272" s="226"/>
      <c r="M272" s="557"/>
      <c r="N272"/>
      <c r="O272"/>
      <c r="P272"/>
      <c r="Q272"/>
      <c r="W272" s="777"/>
      <c r="X272" s="777"/>
      <c r="AB272"/>
      <c r="AC272"/>
    </row>
    <row r="273" spans="1:29" x14ac:dyDescent="0.2">
      <c r="A273">
        <v>200110</v>
      </c>
      <c r="B273" t="s">
        <v>2089</v>
      </c>
      <c r="C273" t="s">
        <v>109</v>
      </c>
      <c r="D273">
        <v>4004301</v>
      </c>
      <c r="E273" t="s">
        <v>110</v>
      </c>
      <c r="F273" s="854">
        <v>37225</v>
      </c>
      <c r="G273" s="854">
        <v>37225</v>
      </c>
      <c r="H273" t="s">
        <v>802</v>
      </c>
      <c r="I273" t="s">
        <v>1646</v>
      </c>
      <c r="J273">
        <v>9</v>
      </c>
      <c r="K273">
        <v>11</v>
      </c>
      <c r="L273" s="226"/>
      <c r="M273" s="557"/>
      <c r="N273"/>
      <c r="O273"/>
      <c r="P273"/>
      <c r="Q273"/>
      <c r="W273" s="777"/>
      <c r="X273" s="777"/>
      <c r="AB273"/>
      <c r="AC273"/>
    </row>
    <row r="274" spans="1:29" x14ac:dyDescent="0.2">
      <c r="A274">
        <v>200110</v>
      </c>
      <c r="B274" t="s">
        <v>2089</v>
      </c>
      <c r="C274" t="s">
        <v>121</v>
      </c>
      <c r="D274">
        <v>4075401</v>
      </c>
      <c r="E274" t="s">
        <v>110</v>
      </c>
      <c r="F274" s="854">
        <v>37225</v>
      </c>
      <c r="G274" s="854">
        <v>37225</v>
      </c>
      <c r="H274" t="s">
        <v>802</v>
      </c>
      <c r="I274" t="s">
        <v>1646</v>
      </c>
      <c r="J274">
        <v>13</v>
      </c>
      <c r="K274">
        <v>15</v>
      </c>
      <c r="L274" s="226"/>
      <c r="M274" s="557"/>
      <c r="N274"/>
      <c r="O274"/>
      <c r="P274"/>
      <c r="Q274"/>
      <c r="W274" s="777"/>
      <c r="X274" s="777"/>
      <c r="AB274"/>
      <c r="AC274"/>
    </row>
    <row r="275" spans="1:29" x14ac:dyDescent="0.2">
      <c r="A275">
        <v>200110</v>
      </c>
      <c r="B275" t="s">
        <v>2089</v>
      </c>
      <c r="C275" t="s">
        <v>120</v>
      </c>
      <c r="D275">
        <v>4065201</v>
      </c>
      <c r="E275" t="s">
        <v>110</v>
      </c>
      <c r="F275" s="854">
        <v>37225</v>
      </c>
      <c r="G275" s="854">
        <v>37225</v>
      </c>
      <c r="H275" t="s">
        <v>802</v>
      </c>
      <c r="I275" t="s">
        <v>1646</v>
      </c>
      <c r="J275">
        <v>16</v>
      </c>
      <c r="K275">
        <v>19</v>
      </c>
      <c r="L275" s="226"/>
      <c r="M275" s="557"/>
      <c r="N275"/>
      <c r="O275"/>
      <c r="P275"/>
      <c r="Q275"/>
      <c r="W275" s="777"/>
      <c r="X275" s="777"/>
      <c r="AB275"/>
      <c r="AC275"/>
    </row>
    <row r="276" spans="1:29" x14ac:dyDescent="0.2">
      <c r="A276">
        <v>200110</v>
      </c>
      <c r="B276" t="s">
        <v>2089</v>
      </c>
      <c r="C276" t="s">
        <v>54</v>
      </c>
      <c r="D276">
        <v>3031301</v>
      </c>
      <c r="E276" t="s">
        <v>25</v>
      </c>
      <c r="F276" s="854">
        <v>37224</v>
      </c>
      <c r="G276" s="854">
        <v>37225</v>
      </c>
      <c r="H276" t="s">
        <v>802</v>
      </c>
      <c r="I276" t="s">
        <v>1646</v>
      </c>
      <c r="J276">
        <v>20</v>
      </c>
      <c r="K276">
        <v>22</v>
      </c>
      <c r="L276" s="226"/>
      <c r="M276" s="557"/>
      <c r="N276"/>
      <c r="O276"/>
      <c r="P276"/>
      <c r="Q276"/>
      <c r="W276" s="777"/>
      <c r="X276" s="777"/>
      <c r="AB276"/>
      <c r="AC276"/>
    </row>
    <row r="277" spans="1:29" x14ac:dyDescent="0.2">
      <c r="A277">
        <v>200110</v>
      </c>
      <c r="B277" t="s">
        <v>2089</v>
      </c>
      <c r="C277" t="s">
        <v>1284</v>
      </c>
      <c r="D277">
        <v>3223401</v>
      </c>
      <c r="E277" t="s">
        <v>1108</v>
      </c>
      <c r="F277" s="854">
        <v>37225</v>
      </c>
      <c r="G277" s="854">
        <v>37225</v>
      </c>
      <c r="H277" t="s">
        <v>802</v>
      </c>
      <c r="I277" t="s">
        <v>1646</v>
      </c>
      <c r="J277">
        <v>1</v>
      </c>
      <c r="K277">
        <v>2</v>
      </c>
      <c r="L277" s="226"/>
      <c r="M277" s="557"/>
      <c r="N277"/>
      <c r="O277"/>
      <c r="P277"/>
      <c r="Q277"/>
      <c r="W277" s="777"/>
      <c r="X277" s="777"/>
      <c r="AB277"/>
      <c r="AC277"/>
    </row>
    <row r="278" spans="1:29" x14ac:dyDescent="0.2">
      <c r="A278">
        <v>200110</v>
      </c>
      <c r="B278" t="s">
        <v>2089</v>
      </c>
      <c r="C278" t="s">
        <v>1306</v>
      </c>
      <c r="D278">
        <v>4023601</v>
      </c>
      <c r="E278" t="s">
        <v>1126</v>
      </c>
      <c r="F278" s="854">
        <v>37200</v>
      </c>
      <c r="G278" s="854">
        <v>37225</v>
      </c>
      <c r="H278" t="s">
        <v>802</v>
      </c>
      <c r="I278" t="s">
        <v>1646</v>
      </c>
      <c r="J278">
        <v>185</v>
      </c>
      <c r="K278">
        <v>210</v>
      </c>
      <c r="L278" s="226"/>
      <c r="M278" s="557"/>
      <c r="N278"/>
      <c r="O278"/>
      <c r="P278"/>
      <c r="Q278"/>
      <c r="W278" s="777"/>
      <c r="X278" s="777"/>
      <c r="AB278"/>
      <c r="AC278"/>
    </row>
    <row r="279" spans="1:29" x14ac:dyDescent="0.2">
      <c r="A279">
        <v>200110</v>
      </c>
      <c r="B279" t="s">
        <v>2089</v>
      </c>
      <c r="C279" t="s">
        <v>37</v>
      </c>
      <c r="D279">
        <v>3013701</v>
      </c>
      <c r="E279" t="s">
        <v>62</v>
      </c>
      <c r="F279" s="854">
        <v>37196</v>
      </c>
      <c r="G279" s="854">
        <v>37225</v>
      </c>
      <c r="H279" t="s">
        <v>802</v>
      </c>
      <c r="I279" t="s">
        <v>1646</v>
      </c>
      <c r="J279">
        <v>34</v>
      </c>
      <c r="K279">
        <v>60</v>
      </c>
      <c r="L279" s="226"/>
      <c r="M279" s="557"/>
      <c r="N279"/>
      <c r="O279"/>
      <c r="P279"/>
      <c r="Q279"/>
      <c r="W279" s="777"/>
      <c r="X279" s="777"/>
      <c r="AB279"/>
      <c r="AC279"/>
    </row>
    <row r="280" spans="1:29" x14ac:dyDescent="0.2">
      <c r="A280">
        <v>200110</v>
      </c>
      <c r="B280" t="s">
        <v>2089</v>
      </c>
      <c r="C280" t="s">
        <v>2107</v>
      </c>
      <c r="D280">
        <v>4244501</v>
      </c>
      <c r="E280" t="s">
        <v>2108</v>
      </c>
      <c r="F280" s="854">
        <v>37225</v>
      </c>
      <c r="G280" s="854">
        <v>37225</v>
      </c>
      <c r="H280" t="s">
        <v>802</v>
      </c>
      <c r="I280" t="s">
        <v>1646</v>
      </c>
      <c r="J280">
        <v>6</v>
      </c>
      <c r="K280">
        <v>7</v>
      </c>
      <c r="L280" s="226"/>
      <c r="M280" s="557"/>
      <c r="N280"/>
      <c r="O280"/>
      <c r="P280"/>
      <c r="Q280"/>
      <c r="W280" s="777"/>
      <c r="X280" s="777"/>
      <c r="AB280"/>
      <c r="AC280"/>
    </row>
    <row r="281" spans="1:29" x14ac:dyDescent="0.2">
      <c r="A281">
        <v>200110</v>
      </c>
      <c r="B281" t="s">
        <v>2089</v>
      </c>
      <c r="C281" t="s">
        <v>1307</v>
      </c>
      <c r="D281">
        <v>3427001</v>
      </c>
      <c r="E281" t="s">
        <v>1122</v>
      </c>
      <c r="F281" s="854">
        <v>37225</v>
      </c>
      <c r="G281" s="854">
        <v>37225</v>
      </c>
      <c r="H281" t="s">
        <v>802</v>
      </c>
      <c r="I281" t="s">
        <v>1646</v>
      </c>
      <c r="J281">
        <v>9</v>
      </c>
      <c r="K281">
        <v>11</v>
      </c>
      <c r="L281" s="226"/>
      <c r="M281" s="557"/>
      <c r="N281"/>
      <c r="O281"/>
      <c r="P281"/>
      <c r="Q281"/>
      <c r="W281" s="777"/>
      <c r="X281" s="777"/>
      <c r="AB281"/>
      <c r="AC281"/>
    </row>
    <row r="282" spans="1:29" x14ac:dyDescent="0.2">
      <c r="A282">
        <v>200110</v>
      </c>
      <c r="B282" t="s">
        <v>2089</v>
      </c>
      <c r="C282" t="s">
        <v>1309</v>
      </c>
      <c r="D282">
        <v>4324601</v>
      </c>
      <c r="E282" t="s">
        <v>1310</v>
      </c>
      <c r="F282" s="854">
        <v>37225</v>
      </c>
      <c r="G282" s="854">
        <v>37225</v>
      </c>
      <c r="H282" t="s">
        <v>802</v>
      </c>
      <c r="I282" t="s">
        <v>1646</v>
      </c>
      <c r="J282">
        <v>4</v>
      </c>
      <c r="K282">
        <v>5</v>
      </c>
      <c r="L282" s="226"/>
      <c r="M282" s="557"/>
      <c r="N282"/>
      <c r="O282"/>
      <c r="P282"/>
      <c r="Q282"/>
      <c r="W282" s="777"/>
      <c r="X282" s="777"/>
      <c r="AB282"/>
      <c r="AC282"/>
    </row>
    <row r="283" spans="1:29" x14ac:dyDescent="0.2">
      <c r="A283">
        <v>200110</v>
      </c>
      <c r="B283" t="s">
        <v>2089</v>
      </c>
      <c r="C283" t="s">
        <v>2106</v>
      </c>
      <c r="D283">
        <v>3410301</v>
      </c>
      <c r="E283" t="s">
        <v>1083</v>
      </c>
      <c r="F283" s="854">
        <v>37137</v>
      </c>
      <c r="G283" s="854">
        <v>37164</v>
      </c>
      <c r="H283" t="s">
        <v>802</v>
      </c>
      <c r="I283" t="s">
        <v>1646</v>
      </c>
      <c r="J283">
        <v>84</v>
      </c>
      <c r="K283">
        <v>125</v>
      </c>
      <c r="L283" s="226"/>
      <c r="M283" s="557"/>
      <c r="N283"/>
      <c r="O283"/>
      <c r="P283"/>
      <c r="Q283"/>
      <c r="W283" s="777"/>
      <c r="X283" s="777"/>
      <c r="AB283"/>
      <c r="AC283"/>
    </row>
    <row r="284" spans="1:29" x14ac:dyDescent="0.2">
      <c r="A284">
        <v>200110</v>
      </c>
      <c r="B284" t="s">
        <v>2089</v>
      </c>
      <c r="C284" t="s">
        <v>2106</v>
      </c>
      <c r="D284">
        <v>3410301</v>
      </c>
      <c r="E284" t="s">
        <v>1083</v>
      </c>
      <c r="F284" s="854">
        <v>37165</v>
      </c>
      <c r="G284" s="854">
        <v>37195</v>
      </c>
      <c r="H284" t="s">
        <v>802</v>
      </c>
      <c r="I284" t="s">
        <v>1646</v>
      </c>
      <c r="J284">
        <v>93</v>
      </c>
      <c r="K284">
        <v>124</v>
      </c>
      <c r="L284" s="550"/>
      <c r="M284" s="557"/>
      <c r="N284" s="226"/>
      <c r="O284"/>
      <c r="P284"/>
      <c r="Q284"/>
      <c r="AB284"/>
      <c r="AC284"/>
    </row>
    <row r="285" spans="1:29" x14ac:dyDescent="0.2">
      <c r="A285">
        <v>200110</v>
      </c>
      <c r="B285" t="s">
        <v>2089</v>
      </c>
      <c r="C285" t="s">
        <v>2106</v>
      </c>
      <c r="D285">
        <v>3410301</v>
      </c>
      <c r="E285" t="s">
        <v>1083</v>
      </c>
      <c r="F285" s="854">
        <v>37196</v>
      </c>
      <c r="G285" s="854">
        <v>37225</v>
      </c>
      <c r="H285" t="s">
        <v>802</v>
      </c>
      <c r="I285" t="s">
        <v>1646</v>
      </c>
      <c r="J285">
        <v>90</v>
      </c>
      <c r="K285">
        <v>120</v>
      </c>
      <c r="L285" s="550"/>
      <c r="M285" s="557"/>
      <c r="N285" s="226"/>
      <c r="O285"/>
      <c r="P285"/>
      <c r="Q285"/>
      <c r="AB285"/>
      <c r="AC285"/>
    </row>
    <row r="286" spans="1:29" x14ac:dyDescent="0.2">
      <c r="A286">
        <v>200110</v>
      </c>
      <c r="B286" t="s">
        <v>2090</v>
      </c>
      <c r="C286" t="s">
        <v>1371</v>
      </c>
      <c r="D286">
        <v>3124201</v>
      </c>
      <c r="E286" t="s">
        <v>1108</v>
      </c>
      <c r="F286" s="854">
        <v>37225</v>
      </c>
      <c r="G286" s="854">
        <v>37225</v>
      </c>
      <c r="H286" t="s">
        <v>802</v>
      </c>
      <c r="I286" t="s">
        <v>1646</v>
      </c>
      <c r="J286">
        <v>41</v>
      </c>
      <c r="K286">
        <v>49</v>
      </c>
      <c r="L286" s="550"/>
      <c r="M286" s="557"/>
      <c r="N286" s="226"/>
      <c r="O286"/>
      <c r="P286"/>
      <c r="Q286"/>
      <c r="AB286"/>
      <c r="AC286"/>
    </row>
    <row r="287" spans="1:29" x14ac:dyDescent="0.2">
      <c r="A287"/>
      <c r="B287"/>
      <c r="C287"/>
      <c r="D287"/>
      <c r="E287"/>
      <c r="F287" s="180"/>
      <c r="G287" s="180"/>
      <c r="H287"/>
      <c r="AB287"/>
      <c r="AC287"/>
    </row>
    <row r="288" spans="1:29" x14ac:dyDescent="0.2">
      <c r="A288"/>
      <c r="B288"/>
      <c r="C288"/>
      <c r="D288"/>
      <c r="E288"/>
      <c r="F288" s="180"/>
      <c r="G288" s="180"/>
      <c r="H288"/>
      <c r="AB288"/>
      <c r="AC288"/>
    </row>
    <row r="289" spans="1:29" x14ac:dyDescent="0.2">
      <c r="A289"/>
      <c r="B289"/>
      <c r="C289"/>
      <c r="D289"/>
      <c r="E289"/>
      <c r="F289" s="180"/>
      <c r="G289" s="180"/>
      <c r="H289"/>
      <c r="AB289"/>
      <c r="AC289"/>
    </row>
    <row r="290" spans="1:29" x14ac:dyDescent="0.2">
      <c r="A290"/>
      <c r="B290"/>
      <c r="C290"/>
      <c r="D290"/>
      <c r="E290"/>
      <c r="F290" s="180"/>
      <c r="G290" s="180"/>
      <c r="H290"/>
      <c r="AB290"/>
      <c r="AC290"/>
    </row>
    <row r="291" spans="1:29" x14ac:dyDescent="0.2">
      <c r="A291"/>
      <c r="B291"/>
      <c r="C291"/>
      <c r="D291"/>
      <c r="E291"/>
      <c r="F291" s="180"/>
      <c r="G291" s="180"/>
      <c r="H291"/>
      <c r="AB291"/>
      <c r="AC291"/>
    </row>
    <row r="292" spans="1:29" x14ac:dyDescent="0.2">
      <c r="A292"/>
      <c r="B292"/>
      <c r="C292"/>
      <c r="D292"/>
      <c r="E292"/>
      <c r="F292" s="180"/>
      <c r="G292" s="180"/>
      <c r="H292"/>
      <c r="AB292"/>
      <c r="AC292"/>
    </row>
    <row r="293" spans="1:29" x14ac:dyDescent="0.2">
      <c r="A293"/>
      <c r="B293"/>
      <c r="C293"/>
      <c r="D293"/>
      <c r="E293"/>
      <c r="F293" s="180"/>
      <c r="G293" s="180"/>
      <c r="H293"/>
      <c r="AB293"/>
      <c r="AC293"/>
    </row>
    <row r="294" spans="1:29" x14ac:dyDescent="0.2">
      <c r="A294"/>
      <c r="B294"/>
      <c r="C294"/>
      <c r="D294"/>
      <c r="E294"/>
      <c r="F294" s="180"/>
      <c r="G294" s="180"/>
      <c r="H294"/>
      <c r="AB294"/>
      <c r="AC294"/>
    </row>
    <row r="295" spans="1:29" x14ac:dyDescent="0.2">
      <c r="A295"/>
      <c r="B295"/>
      <c r="C295"/>
      <c r="D295"/>
      <c r="E295"/>
      <c r="F295" s="180"/>
      <c r="G295" s="180"/>
      <c r="H295"/>
      <c r="AB295"/>
      <c r="AC295"/>
    </row>
    <row r="296" spans="1:29" x14ac:dyDescent="0.2">
      <c r="A296"/>
      <c r="B296"/>
      <c r="C296"/>
      <c r="D296"/>
      <c r="E296"/>
      <c r="F296" s="180"/>
      <c r="G296" s="180"/>
      <c r="H296"/>
      <c r="AB296"/>
      <c r="AC296"/>
    </row>
  </sheetData>
  <phoneticPr fontId="0" type="noConversion"/>
  <pageMargins left="0.5" right="0.5" top="0.5" bottom="0.5" header="0.5" footer="0.5"/>
  <pageSetup paperSize="5" scale="75" fitToHeight="8"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A333"/>
  <sheetViews>
    <sheetView zoomScale="90" workbookViewId="0">
      <pane ySplit="4" topLeftCell="A92" activePane="bottomLeft" state="frozen"/>
      <selection pane="bottomLeft" activeCell="M3" sqref="M3"/>
    </sheetView>
  </sheetViews>
  <sheetFormatPr defaultRowHeight="15" customHeight="1" x14ac:dyDescent="0.2"/>
  <cols>
    <col min="1" max="1" width="9.7109375" customWidth="1"/>
    <col min="2" max="2" width="12" style="90" customWidth="1"/>
    <col min="3" max="3" width="9.5703125" customWidth="1"/>
    <col min="4" max="4" width="16.28515625" style="149" customWidth="1"/>
    <col min="5" max="5" width="8.7109375" style="939" bestFit="1" customWidth="1"/>
    <col min="6" max="6" width="7.28515625" style="149" customWidth="1"/>
    <col min="7" max="7" width="7.42578125" style="91" customWidth="1"/>
    <col min="8" max="8" width="3.28515625" style="226" customWidth="1"/>
    <col min="9" max="9" width="12.5703125" style="226" customWidth="1"/>
    <col min="10" max="10" width="4.42578125" style="226" customWidth="1"/>
    <col min="11" max="11" width="8.5703125" style="149" customWidth="1"/>
    <col min="12" max="12" width="9" customWidth="1"/>
    <col min="13" max="13" width="9.5703125" style="154" bestFit="1" customWidth="1"/>
    <col min="14" max="14" width="6.7109375" style="149" customWidth="1"/>
    <col min="15" max="15" width="8.28515625" style="136" bestFit="1" customWidth="1"/>
    <col min="16" max="16" width="11.28515625" style="173" customWidth="1"/>
    <col min="17" max="17" width="8.85546875" style="391" customWidth="1"/>
    <col min="19" max="19" width="4.28515625" bestFit="1" customWidth="1"/>
    <col min="20" max="20" width="8.28515625" bestFit="1" customWidth="1"/>
  </cols>
  <sheetData>
    <row r="1" spans="1:53" s="231" customFormat="1" ht="15" customHeight="1" x14ac:dyDescent="0.2">
      <c r="A1" s="230" t="s">
        <v>160</v>
      </c>
      <c r="B1" s="232"/>
      <c r="E1" s="936"/>
      <c r="G1" s="233"/>
      <c r="H1" s="234"/>
      <c r="I1" s="234"/>
      <c r="J1" s="234"/>
      <c r="K1" s="235"/>
      <c r="L1" s="492">
        <f>+cgas!J6</f>
        <v>37258</v>
      </c>
      <c r="M1" s="237"/>
      <c r="N1" s="235"/>
      <c r="O1" s="238"/>
      <c r="P1" s="239"/>
      <c r="Q1" s="391"/>
      <c r="R1"/>
      <c r="S1" s="244" t="s">
        <v>245</v>
      </c>
      <c r="T1" s="244">
        <v>2.2800000000000001E-2</v>
      </c>
      <c r="U1" s="244">
        <v>7.0599999999999996E-2</v>
      </c>
      <c r="V1" s="244">
        <v>0.03</v>
      </c>
      <c r="W1" s="244">
        <v>9.1000000000000004E-3</v>
      </c>
      <c r="X1" s="708">
        <v>0.13250000000000001</v>
      </c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s="231" customFormat="1" ht="15" customHeight="1" x14ac:dyDescent="0.2">
      <c r="A2" s="722" t="s">
        <v>496</v>
      </c>
      <c r="B2" s="723"/>
      <c r="C2" s="723"/>
      <c r="D2" s="723"/>
      <c r="E2" s="937"/>
      <c r="F2" s="724"/>
      <c r="G2" s="233"/>
      <c r="H2" s="234"/>
      <c r="I2" s="234"/>
      <c r="J2" s="234"/>
      <c r="K2" s="235"/>
      <c r="L2" s="235" t="s">
        <v>1428</v>
      </c>
      <c r="M2" s="241">
        <v>2.2000000000000002</v>
      </c>
      <c r="N2" s="235"/>
      <c r="O2" s="238"/>
      <c r="P2" s="239"/>
      <c r="Q2" s="391"/>
      <c r="R2"/>
      <c r="S2" s="244" t="s">
        <v>244</v>
      </c>
      <c r="T2" s="244">
        <v>2.2800000000000001E-2</v>
      </c>
      <c r="U2" s="244">
        <v>7.0599999999999996E-2</v>
      </c>
      <c r="V2" s="244">
        <v>0</v>
      </c>
      <c r="W2" s="244">
        <v>0</v>
      </c>
      <c r="X2" s="708">
        <v>9.3399999999999997E-2</v>
      </c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3" s="231" customFormat="1" ht="15" customHeight="1" thickBot="1" x14ac:dyDescent="0.25">
      <c r="B3" s="232"/>
      <c r="E3" s="936"/>
      <c r="G3" s="233"/>
      <c r="H3" s="234"/>
      <c r="I3" s="234"/>
      <c r="J3" s="234"/>
      <c r="K3" s="235"/>
      <c r="L3" s="235" t="s">
        <v>1404</v>
      </c>
      <c r="M3" s="241">
        <v>2.16</v>
      </c>
      <c r="N3" s="721" t="s">
        <v>1472</v>
      </c>
      <c r="O3" s="238"/>
      <c r="P3" s="239"/>
      <c r="Q3" s="391"/>
      <c r="R3"/>
      <c r="S3" s="244" t="s">
        <v>252</v>
      </c>
      <c r="T3" s="244">
        <v>0</v>
      </c>
      <c r="U3" s="244">
        <v>0</v>
      </c>
      <c r="V3" s="244">
        <v>0.03</v>
      </c>
      <c r="W3" s="244">
        <v>9.1000000000000004E-3</v>
      </c>
      <c r="X3" s="708">
        <v>3.9100000000000003E-2</v>
      </c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53" s="231" customFormat="1" ht="15" customHeight="1" thickBot="1" x14ac:dyDescent="0.25">
      <c r="A4" s="242" t="s">
        <v>16</v>
      </c>
      <c r="B4" s="243" t="s">
        <v>17</v>
      </c>
      <c r="C4" s="242" t="s">
        <v>18</v>
      </c>
      <c r="D4" s="933" t="s">
        <v>19</v>
      </c>
      <c r="E4" s="938" t="s">
        <v>286</v>
      </c>
      <c r="F4" s="242" t="s">
        <v>184</v>
      </c>
      <c r="G4" s="242" t="s">
        <v>161</v>
      </c>
      <c r="H4" s="242" t="s">
        <v>1433</v>
      </c>
      <c r="I4" s="242" t="s">
        <v>163</v>
      </c>
      <c r="J4" s="242"/>
      <c r="K4" s="235" t="s">
        <v>1416</v>
      </c>
      <c r="L4" s="235" t="s">
        <v>164</v>
      </c>
      <c r="M4" s="237" t="s">
        <v>165</v>
      </c>
      <c r="N4" s="721" t="s">
        <v>166</v>
      </c>
      <c r="O4" s="238" t="s">
        <v>1406</v>
      </c>
      <c r="P4" s="239" t="s">
        <v>167</v>
      </c>
      <c r="Q4" s="391"/>
      <c r="R4"/>
      <c r="S4" s="244" t="s">
        <v>246</v>
      </c>
      <c r="T4" s="244">
        <v>0</v>
      </c>
      <c r="U4" s="244">
        <v>0</v>
      </c>
      <c r="V4" s="244">
        <v>0</v>
      </c>
      <c r="W4" s="244">
        <v>0</v>
      </c>
      <c r="X4" s="708">
        <v>0</v>
      </c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</row>
    <row r="5" spans="1:53" s="1" customFormat="1" ht="15" customHeight="1" thickBot="1" x14ac:dyDescent="0.25">
      <c r="A5" s="6" t="s">
        <v>1103</v>
      </c>
      <c r="B5" s="336" t="s">
        <v>1319</v>
      </c>
      <c r="C5" s="6">
        <v>3326301</v>
      </c>
      <c r="D5" s="6" t="s">
        <v>1320</v>
      </c>
      <c r="E5" s="938" t="s">
        <v>1403</v>
      </c>
      <c r="F5" s="6"/>
      <c r="G5" s="1">
        <v>129</v>
      </c>
      <c r="H5" s="1" t="s">
        <v>829</v>
      </c>
      <c r="I5" s="1" t="s">
        <v>507</v>
      </c>
      <c r="J5" s="245" t="str">
        <f t="shared" ref="J5:J62" si="0">IF(ISNA(VLOOKUP(B5,cngdata,7,FALSE)),"na",VLOOKUP(B5,cngdata,7,FALSE))</f>
        <v>GW</v>
      </c>
      <c r="K5" s="245">
        <f t="shared" ref="K5:K62" si="1">IF(ISNA(VLOOKUP(B5,cngdata,13,FALSE)),"na",VLOOKUP(B5,cngdata,13,FALSE))</f>
        <v>0</v>
      </c>
      <c r="L5" s="245">
        <f t="shared" ref="L5:L62" si="2">IF(ISNA(VLOOKUP(B5,cngdata,14,FALSE)),0,VLOOKUP(B5,cngdata,14,FALSE))</f>
        <v>0</v>
      </c>
      <c r="M5" s="249">
        <f>$M$3*98%</f>
        <v>2.1168</v>
      </c>
      <c r="N5" s="720">
        <v>0</v>
      </c>
      <c r="O5" s="247">
        <f t="shared" ref="O5:O62" si="3">M5-N5</f>
        <v>2.1168</v>
      </c>
      <c r="P5" s="248">
        <f t="shared" ref="P5:P30" si="4">L5*O5</f>
        <v>0</v>
      </c>
      <c r="Q5" s="391"/>
      <c r="R5"/>
      <c r="S5" s="244" t="s">
        <v>889</v>
      </c>
      <c r="T5" s="244">
        <v>0</v>
      </c>
      <c r="U5" s="244">
        <v>0</v>
      </c>
      <c r="V5" s="244">
        <v>0</v>
      </c>
      <c r="W5" s="244">
        <v>0</v>
      </c>
      <c r="X5" s="708">
        <v>0</v>
      </c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53" ht="15" customHeight="1" thickBot="1" x14ac:dyDescent="0.25">
      <c r="A6" s="1" t="s">
        <v>21</v>
      </c>
      <c r="B6" s="1" t="s">
        <v>247</v>
      </c>
      <c r="C6" s="1">
        <v>3564701</v>
      </c>
      <c r="D6" s="6" t="s">
        <v>985</v>
      </c>
      <c r="E6" s="938" t="s">
        <v>1403</v>
      </c>
      <c r="F6" s="186" t="s">
        <v>248</v>
      </c>
      <c r="G6" s="224">
        <v>306954</v>
      </c>
      <c r="H6" s="224">
        <v>96029563</v>
      </c>
      <c r="I6" s="252" t="s">
        <v>1395</v>
      </c>
      <c r="J6" s="245" t="str">
        <f t="shared" si="0"/>
        <v>GW</v>
      </c>
      <c r="K6" s="245" t="e">
        <f t="shared" si="1"/>
        <v>#VALUE!</v>
      </c>
      <c r="L6" s="245">
        <f t="shared" si="2"/>
        <v>0</v>
      </c>
      <c r="M6" s="249">
        <f>$M$2*0.98</f>
        <v>2.1560000000000001</v>
      </c>
      <c r="N6" s="720">
        <v>0</v>
      </c>
      <c r="O6" s="247">
        <f t="shared" si="3"/>
        <v>2.1560000000000001</v>
      </c>
      <c r="P6" s="248">
        <f t="shared" si="4"/>
        <v>0</v>
      </c>
    </row>
    <row r="7" spans="1:53" ht="15" customHeight="1" thickBot="1" x14ac:dyDescent="0.25">
      <c r="A7" s="1" t="s">
        <v>21</v>
      </c>
      <c r="B7" s="1" t="s">
        <v>249</v>
      </c>
      <c r="C7" s="1">
        <v>3564801</v>
      </c>
      <c r="D7" s="6" t="s">
        <v>985</v>
      </c>
      <c r="E7" s="938" t="s">
        <v>1403</v>
      </c>
      <c r="F7" s="186" t="s">
        <v>248</v>
      </c>
      <c r="G7" s="224">
        <v>306954</v>
      </c>
      <c r="H7" s="224">
        <v>96029563</v>
      </c>
      <c r="I7" s="252" t="s">
        <v>1395</v>
      </c>
      <c r="J7" s="245" t="str">
        <f t="shared" si="0"/>
        <v>GW</v>
      </c>
      <c r="K7" s="245" t="e">
        <f t="shared" si="1"/>
        <v>#VALUE!</v>
      </c>
      <c r="L7" s="245">
        <f t="shared" si="2"/>
        <v>0</v>
      </c>
      <c r="M7" s="249">
        <f>$M$2*0.98</f>
        <v>2.1560000000000001</v>
      </c>
      <c r="N7" s="720">
        <v>0</v>
      </c>
      <c r="O7" s="247">
        <f t="shared" si="3"/>
        <v>2.1560000000000001</v>
      </c>
      <c r="P7" s="248">
        <f t="shared" si="4"/>
        <v>0</v>
      </c>
    </row>
    <row r="8" spans="1:53" ht="15" customHeight="1" thickBot="1" x14ac:dyDescent="0.25">
      <c r="A8" s="1" t="s">
        <v>21</v>
      </c>
      <c r="B8" s="1" t="s">
        <v>82</v>
      </c>
      <c r="C8" s="224">
        <v>3505301</v>
      </c>
      <c r="D8" s="941" t="s">
        <v>83</v>
      </c>
      <c r="E8" s="942">
        <v>37257</v>
      </c>
      <c r="F8" s="1" t="s">
        <v>83</v>
      </c>
      <c r="G8" s="224">
        <v>243624</v>
      </c>
      <c r="H8" s="224"/>
      <c r="I8" s="252" t="s">
        <v>168</v>
      </c>
      <c r="J8" s="245" t="str">
        <f t="shared" si="0"/>
        <v>GW</v>
      </c>
      <c r="K8" s="245">
        <f t="shared" si="1"/>
        <v>0</v>
      </c>
      <c r="L8" s="245">
        <f t="shared" si="2"/>
        <v>0</v>
      </c>
      <c r="M8" s="249">
        <f>$M$2</f>
        <v>2.2000000000000002</v>
      </c>
      <c r="N8" s="720">
        <v>0</v>
      </c>
      <c r="O8" s="247">
        <f t="shared" si="3"/>
        <v>2.2000000000000002</v>
      </c>
      <c r="P8" s="248">
        <f t="shared" si="4"/>
        <v>0</v>
      </c>
    </row>
    <row r="9" spans="1:53" ht="15" customHeight="1" thickBot="1" x14ac:dyDescent="0.25">
      <c r="A9" s="1" t="s">
        <v>21</v>
      </c>
      <c r="B9" s="1" t="s">
        <v>98</v>
      </c>
      <c r="C9" s="224">
        <v>3540501</v>
      </c>
      <c r="D9" s="941" t="s">
        <v>83</v>
      </c>
      <c r="E9" s="942">
        <v>37257</v>
      </c>
      <c r="F9" s="1" t="s">
        <v>83</v>
      </c>
      <c r="G9" s="224">
        <v>243624</v>
      </c>
      <c r="H9" s="224"/>
      <c r="I9" s="252" t="s">
        <v>168</v>
      </c>
      <c r="J9" s="245" t="str">
        <f t="shared" si="0"/>
        <v>GW</v>
      </c>
      <c r="K9" s="245">
        <f t="shared" si="1"/>
        <v>0</v>
      </c>
      <c r="L9" s="245">
        <f t="shared" si="2"/>
        <v>0</v>
      </c>
      <c r="M9" s="249">
        <f t="shared" ref="M9:M26" si="5">$M$2</f>
        <v>2.2000000000000002</v>
      </c>
      <c r="N9" s="720">
        <v>0</v>
      </c>
      <c r="O9" s="247">
        <f t="shared" si="3"/>
        <v>2.2000000000000002</v>
      </c>
      <c r="P9" s="248">
        <f t="shared" si="4"/>
        <v>0</v>
      </c>
    </row>
    <row r="10" spans="1:53" ht="15" customHeight="1" thickBot="1" x14ac:dyDescent="0.25">
      <c r="A10" s="1" t="s">
        <v>21</v>
      </c>
      <c r="B10" s="1" t="s">
        <v>95</v>
      </c>
      <c r="C10" s="224">
        <v>3529101</v>
      </c>
      <c r="D10" s="941" t="s">
        <v>83</v>
      </c>
      <c r="E10" s="942">
        <v>37257</v>
      </c>
      <c r="F10" s="1" t="s">
        <v>83</v>
      </c>
      <c r="G10" s="224">
        <v>243624</v>
      </c>
      <c r="H10" s="224"/>
      <c r="I10" s="252" t="s">
        <v>168</v>
      </c>
      <c r="J10" s="245" t="str">
        <f t="shared" si="0"/>
        <v>GW</v>
      </c>
      <c r="K10" s="245">
        <f t="shared" si="1"/>
        <v>0</v>
      </c>
      <c r="L10" s="245">
        <f t="shared" si="2"/>
        <v>0</v>
      </c>
      <c r="M10" s="249">
        <f t="shared" si="5"/>
        <v>2.2000000000000002</v>
      </c>
      <c r="N10" s="720">
        <v>0</v>
      </c>
      <c r="O10" s="247">
        <f t="shared" si="3"/>
        <v>2.2000000000000002</v>
      </c>
      <c r="P10" s="248">
        <f t="shared" si="4"/>
        <v>0</v>
      </c>
    </row>
    <row r="11" spans="1:53" ht="15" customHeight="1" thickBot="1" x14ac:dyDescent="0.25">
      <c r="A11" s="1" t="s">
        <v>21</v>
      </c>
      <c r="B11" s="1" t="s">
        <v>88</v>
      </c>
      <c r="C11" s="224">
        <v>3511801</v>
      </c>
      <c r="D11" s="941" t="s">
        <v>83</v>
      </c>
      <c r="E11" s="942">
        <v>37257</v>
      </c>
      <c r="F11" s="1" t="s">
        <v>83</v>
      </c>
      <c r="G11" s="224">
        <v>243624</v>
      </c>
      <c r="H11" s="224"/>
      <c r="I11" s="252" t="s">
        <v>168</v>
      </c>
      <c r="J11" s="245" t="str">
        <f t="shared" si="0"/>
        <v>GW</v>
      </c>
      <c r="K11" s="245">
        <f t="shared" si="1"/>
        <v>0</v>
      </c>
      <c r="L11" s="245">
        <f t="shared" si="2"/>
        <v>0</v>
      </c>
      <c r="M11" s="249">
        <f t="shared" si="5"/>
        <v>2.2000000000000002</v>
      </c>
      <c r="N11" s="720">
        <v>0</v>
      </c>
      <c r="O11" s="247">
        <f t="shared" si="3"/>
        <v>2.2000000000000002</v>
      </c>
      <c r="P11" s="248">
        <f t="shared" si="4"/>
        <v>0</v>
      </c>
    </row>
    <row r="12" spans="1:53" ht="15" customHeight="1" thickBot="1" x14ac:dyDescent="0.25">
      <c r="A12" s="1" t="s">
        <v>21</v>
      </c>
      <c r="B12" s="1" t="s">
        <v>93</v>
      </c>
      <c r="C12" s="224">
        <v>3528901</v>
      </c>
      <c r="D12" s="941" t="s">
        <v>83</v>
      </c>
      <c r="E12" s="942">
        <v>37257</v>
      </c>
      <c r="F12" s="1" t="s">
        <v>83</v>
      </c>
      <c r="G12" s="224">
        <v>243624</v>
      </c>
      <c r="H12" s="224"/>
      <c r="I12" s="252" t="s">
        <v>168</v>
      </c>
      <c r="J12" s="245" t="str">
        <f t="shared" si="0"/>
        <v>GW</v>
      </c>
      <c r="K12" s="245">
        <f t="shared" si="1"/>
        <v>0</v>
      </c>
      <c r="L12" s="245">
        <f t="shared" si="2"/>
        <v>0</v>
      </c>
      <c r="M12" s="249">
        <f t="shared" si="5"/>
        <v>2.2000000000000002</v>
      </c>
      <c r="N12" s="720">
        <v>0</v>
      </c>
      <c r="O12" s="247">
        <f t="shared" si="3"/>
        <v>2.2000000000000002</v>
      </c>
      <c r="P12" s="248">
        <f t="shared" si="4"/>
        <v>0</v>
      </c>
    </row>
    <row r="13" spans="1:53" ht="15" customHeight="1" thickBot="1" x14ac:dyDescent="0.25">
      <c r="A13" s="1" t="s">
        <v>21</v>
      </c>
      <c r="B13" s="1" t="s">
        <v>90</v>
      </c>
      <c r="C13" s="224">
        <v>3517001</v>
      </c>
      <c r="D13" s="941" t="s">
        <v>83</v>
      </c>
      <c r="E13" s="942">
        <v>37257</v>
      </c>
      <c r="F13" s="1" t="s">
        <v>83</v>
      </c>
      <c r="G13" s="224">
        <v>243624</v>
      </c>
      <c r="H13" s="224"/>
      <c r="I13" s="252" t="s">
        <v>168</v>
      </c>
      <c r="J13" s="245" t="str">
        <f t="shared" si="0"/>
        <v>GW</v>
      </c>
      <c r="K13" s="245">
        <f t="shared" si="1"/>
        <v>0</v>
      </c>
      <c r="L13" s="245">
        <f t="shared" si="2"/>
        <v>0</v>
      </c>
      <c r="M13" s="249">
        <f t="shared" si="5"/>
        <v>2.2000000000000002</v>
      </c>
      <c r="N13" s="720">
        <v>0</v>
      </c>
      <c r="O13" s="247">
        <f t="shared" si="3"/>
        <v>2.2000000000000002</v>
      </c>
      <c r="P13" s="248">
        <f t="shared" si="4"/>
        <v>0</v>
      </c>
    </row>
    <row r="14" spans="1:53" ht="15" customHeight="1" thickBot="1" x14ac:dyDescent="0.25">
      <c r="A14" s="1" t="s">
        <v>21</v>
      </c>
      <c r="B14" s="1" t="s">
        <v>91</v>
      </c>
      <c r="C14" s="224">
        <v>3522201</v>
      </c>
      <c r="D14" s="941" t="s">
        <v>83</v>
      </c>
      <c r="E14" s="942">
        <v>37257</v>
      </c>
      <c r="F14" s="1" t="s">
        <v>83</v>
      </c>
      <c r="G14" s="224">
        <v>243624</v>
      </c>
      <c r="H14" s="224"/>
      <c r="I14" s="252" t="s">
        <v>168</v>
      </c>
      <c r="J14" s="245" t="str">
        <f t="shared" si="0"/>
        <v>GW</v>
      </c>
      <c r="K14" s="245">
        <f t="shared" si="1"/>
        <v>0</v>
      </c>
      <c r="L14" s="245">
        <f t="shared" si="2"/>
        <v>0</v>
      </c>
      <c r="M14" s="249">
        <f t="shared" si="5"/>
        <v>2.2000000000000002</v>
      </c>
      <c r="N14" s="720">
        <v>0</v>
      </c>
      <c r="O14" s="247">
        <f t="shared" si="3"/>
        <v>2.2000000000000002</v>
      </c>
      <c r="P14" s="248">
        <f t="shared" si="4"/>
        <v>0</v>
      </c>
    </row>
    <row r="15" spans="1:53" ht="15" customHeight="1" thickBot="1" x14ac:dyDescent="0.25">
      <c r="A15" s="1" t="s">
        <v>21</v>
      </c>
      <c r="B15" s="1" t="s">
        <v>92</v>
      </c>
      <c r="C15" s="224">
        <v>3522901</v>
      </c>
      <c r="D15" s="941" t="s">
        <v>83</v>
      </c>
      <c r="E15" s="942">
        <v>37257</v>
      </c>
      <c r="F15" s="1" t="s">
        <v>83</v>
      </c>
      <c r="G15" s="224">
        <v>243624</v>
      </c>
      <c r="H15" s="224"/>
      <c r="I15" s="252" t="s">
        <v>168</v>
      </c>
      <c r="J15" s="245" t="str">
        <f t="shared" si="0"/>
        <v>GW</v>
      </c>
      <c r="K15" s="245">
        <f t="shared" si="1"/>
        <v>0</v>
      </c>
      <c r="L15" s="245">
        <f t="shared" si="2"/>
        <v>0</v>
      </c>
      <c r="M15" s="249">
        <f t="shared" si="5"/>
        <v>2.2000000000000002</v>
      </c>
      <c r="N15" s="720">
        <v>0</v>
      </c>
      <c r="O15" s="247">
        <f t="shared" si="3"/>
        <v>2.2000000000000002</v>
      </c>
      <c r="P15" s="248">
        <f t="shared" si="4"/>
        <v>0</v>
      </c>
    </row>
    <row r="16" spans="1:53" ht="15" customHeight="1" thickBot="1" x14ac:dyDescent="0.25">
      <c r="A16" s="1" t="s">
        <v>21</v>
      </c>
      <c r="B16" s="1" t="s">
        <v>94</v>
      </c>
      <c r="C16" s="224">
        <v>3529001</v>
      </c>
      <c r="D16" s="941" t="s">
        <v>83</v>
      </c>
      <c r="E16" s="942">
        <v>37257</v>
      </c>
      <c r="F16" s="935" t="s">
        <v>83</v>
      </c>
      <c r="G16" s="224">
        <v>243624</v>
      </c>
      <c r="H16" s="224"/>
      <c r="I16" s="252" t="s">
        <v>168</v>
      </c>
      <c r="J16" s="245" t="str">
        <f t="shared" si="0"/>
        <v>GW</v>
      </c>
      <c r="K16" s="245">
        <f t="shared" si="1"/>
        <v>0</v>
      </c>
      <c r="L16" s="245">
        <f t="shared" si="2"/>
        <v>0</v>
      </c>
      <c r="M16" s="249">
        <f t="shared" si="5"/>
        <v>2.2000000000000002</v>
      </c>
      <c r="N16" s="720">
        <v>0</v>
      </c>
      <c r="O16" s="247">
        <f t="shared" si="3"/>
        <v>2.2000000000000002</v>
      </c>
      <c r="P16" s="248">
        <f t="shared" si="4"/>
        <v>0</v>
      </c>
    </row>
    <row r="17" spans="1:16" ht="15" customHeight="1" thickBot="1" x14ac:dyDescent="0.25">
      <c r="A17" s="1" t="s">
        <v>21</v>
      </c>
      <c r="B17" s="1" t="s">
        <v>99</v>
      </c>
      <c r="C17" s="224">
        <v>3542401</v>
      </c>
      <c r="D17" s="941" t="s">
        <v>83</v>
      </c>
      <c r="E17" s="942">
        <v>37257</v>
      </c>
      <c r="F17" s="1" t="s">
        <v>83</v>
      </c>
      <c r="G17" s="224">
        <v>243624</v>
      </c>
      <c r="H17" s="224"/>
      <c r="I17" s="252" t="s">
        <v>168</v>
      </c>
      <c r="J17" s="245" t="str">
        <f t="shared" si="0"/>
        <v>GW</v>
      </c>
      <c r="K17" s="245">
        <f t="shared" si="1"/>
        <v>0</v>
      </c>
      <c r="L17" s="245">
        <f t="shared" si="2"/>
        <v>0</v>
      </c>
      <c r="M17" s="249">
        <f t="shared" si="5"/>
        <v>2.2000000000000002</v>
      </c>
      <c r="N17" s="720">
        <v>0</v>
      </c>
      <c r="O17" s="247">
        <f t="shared" si="3"/>
        <v>2.2000000000000002</v>
      </c>
      <c r="P17" s="248">
        <f t="shared" si="4"/>
        <v>0</v>
      </c>
    </row>
    <row r="18" spans="1:16" ht="15" customHeight="1" thickBot="1" x14ac:dyDescent="0.25">
      <c r="A18" s="1" t="s">
        <v>21</v>
      </c>
      <c r="B18" s="1" t="s">
        <v>96</v>
      </c>
      <c r="C18" s="224">
        <v>3532301</v>
      </c>
      <c r="D18" s="941" t="s">
        <v>83</v>
      </c>
      <c r="E18" s="942">
        <v>37257</v>
      </c>
      <c r="F18" s="1" t="s">
        <v>83</v>
      </c>
      <c r="G18" s="224">
        <v>243624</v>
      </c>
      <c r="H18" s="224"/>
      <c r="I18" s="252" t="s">
        <v>168</v>
      </c>
      <c r="J18" s="245" t="str">
        <f t="shared" si="0"/>
        <v>GW</v>
      </c>
      <c r="K18" s="245">
        <f t="shared" si="1"/>
        <v>0</v>
      </c>
      <c r="L18" s="245">
        <f t="shared" si="2"/>
        <v>0</v>
      </c>
      <c r="M18" s="249">
        <f t="shared" si="5"/>
        <v>2.2000000000000002</v>
      </c>
      <c r="N18" s="720">
        <v>0</v>
      </c>
      <c r="O18" s="247">
        <f t="shared" si="3"/>
        <v>2.2000000000000002</v>
      </c>
      <c r="P18" s="248">
        <f t="shared" si="4"/>
        <v>0</v>
      </c>
    </row>
    <row r="19" spans="1:16" ht="15" customHeight="1" thickBot="1" x14ac:dyDescent="0.25">
      <c r="A19" s="1" t="s">
        <v>21</v>
      </c>
      <c r="B19" s="1" t="s">
        <v>89</v>
      </c>
      <c r="C19" s="224">
        <v>3516301</v>
      </c>
      <c r="D19" s="941" t="s">
        <v>83</v>
      </c>
      <c r="E19" s="942">
        <v>37257</v>
      </c>
      <c r="F19" s="1" t="s">
        <v>83</v>
      </c>
      <c r="G19" s="224">
        <v>243624</v>
      </c>
      <c r="H19" s="224"/>
      <c r="I19" s="252" t="s">
        <v>168</v>
      </c>
      <c r="J19" s="245" t="str">
        <f t="shared" si="0"/>
        <v>GW</v>
      </c>
      <c r="K19" s="245">
        <f t="shared" si="1"/>
        <v>0</v>
      </c>
      <c r="L19" s="245">
        <f t="shared" si="2"/>
        <v>0</v>
      </c>
      <c r="M19" s="249">
        <f t="shared" si="5"/>
        <v>2.2000000000000002</v>
      </c>
      <c r="N19" s="720">
        <v>0</v>
      </c>
      <c r="O19" s="247">
        <f t="shared" si="3"/>
        <v>2.2000000000000002</v>
      </c>
      <c r="P19" s="248">
        <f t="shared" si="4"/>
        <v>0</v>
      </c>
    </row>
    <row r="20" spans="1:16" ht="15" customHeight="1" thickBot="1" x14ac:dyDescent="0.25">
      <c r="A20" s="6" t="s">
        <v>1103</v>
      </c>
      <c r="B20" s="336" t="s">
        <v>1271</v>
      </c>
      <c r="C20" s="6">
        <v>4044401</v>
      </c>
      <c r="D20" s="16" t="s">
        <v>917</v>
      </c>
      <c r="E20" s="938" t="s">
        <v>1403</v>
      </c>
      <c r="F20" s="774" t="s">
        <v>875</v>
      </c>
      <c r="G20" s="336">
        <v>744</v>
      </c>
      <c r="H20" s="336" t="s">
        <v>837</v>
      </c>
      <c r="I20" s="668" t="s">
        <v>1989</v>
      </c>
      <c r="J20" s="245" t="str">
        <f t="shared" si="0"/>
        <v>GW</v>
      </c>
      <c r="K20" s="245">
        <f t="shared" si="1"/>
        <v>0</v>
      </c>
      <c r="L20" s="245">
        <f t="shared" si="2"/>
        <v>0</v>
      </c>
      <c r="M20" s="667">
        <f>M$2-0.01</f>
        <v>2.1900000000000004</v>
      </c>
      <c r="N20" s="720">
        <v>0</v>
      </c>
      <c r="O20" s="376">
        <f t="shared" si="3"/>
        <v>2.1900000000000004</v>
      </c>
      <c r="P20" s="377">
        <f t="shared" si="4"/>
        <v>0</v>
      </c>
    </row>
    <row r="21" spans="1:16" ht="15" customHeight="1" thickBot="1" x14ac:dyDescent="0.25">
      <c r="A21" s="1" t="s">
        <v>21</v>
      </c>
      <c r="B21" s="1" t="s">
        <v>105</v>
      </c>
      <c r="C21" s="224">
        <v>3559801</v>
      </c>
      <c r="D21" s="6" t="s">
        <v>1070</v>
      </c>
      <c r="E21" s="938" t="s">
        <v>1403</v>
      </c>
      <c r="F21" s="186" t="s">
        <v>106</v>
      </c>
      <c r="G21" s="224">
        <v>266852</v>
      </c>
      <c r="H21" s="224"/>
      <c r="I21" s="224" t="s">
        <v>1395</v>
      </c>
      <c r="J21" s="245" t="str">
        <f t="shared" si="0"/>
        <v>na</v>
      </c>
      <c r="K21" s="245" t="str">
        <f t="shared" si="1"/>
        <v>na</v>
      </c>
      <c r="L21" s="245">
        <f t="shared" si="2"/>
        <v>0</v>
      </c>
      <c r="M21" s="249">
        <f>$M$2*0.98</f>
        <v>2.1560000000000001</v>
      </c>
      <c r="N21" s="720">
        <v>0</v>
      </c>
      <c r="O21" s="247">
        <f t="shared" si="3"/>
        <v>2.1560000000000001</v>
      </c>
      <c r="P21" s="248">
        <f t="shared" si="4"/>
        <v>0</v>
      </c>
    </row>
    <row r="22" spans="1:16" ht="15" customHeight="1" thickBot="1" x14ac:dyDescent="0.25">
      <c r="A22" s="6" t="s">
        <v>831</v>
      </c>
      <c r="B22" s="336" t="s">
        <v>832</v>
      </c>
      <c r="C22" s="6" t="s">
        <v>831</v>
      </c>
      <c r="D22" s="6" t="s">
        <v>833</v>
      </c>
      <c r="E22" s="938" t="s">
        <v>1403</v>
      </c>
      <c r="F22" s="6"/>
      <c r="G22" s="1">
        <v>8249</v>
      </c>
      <c r="H22" s="1" t="s">
        <v>834</v>
      </c>
      <c r="I22" s="1" t="s">
        <v>836</v>
      </c>
      <c r="J22" s="245" t="str">
        <f t="shared" si="0"/>
        <v>na</v>
      </c>
      <c r="K22" s="245" t="str">
        <f t="shared" si="1"/>
        <v>na</v>
      </c>
      <c r="L22" s="245">
        <f t="shared" si="2"/>
        <v>0</v>
      </c>
      <c r="M22" s="249">
        <f>M$2-0.08</f>
        <v>2.12</v>
      </c>
      <c r="N22" s="720">
        <v>0</v>
      </c>
      <c r="O22" s="247">
        <f t="shared" si="3"/>
        <v>2.12</v>
      </c>
      <c r="P22" s="248">
        <f t="shared" si="4"/>
        <v>0</v>
      </c>
    </row>
    <row r="23" spans="1:16" ht="15" customHeight="1" thickBot="1" x14ac:dyDescent="0.25">
      <c r="A23" s="1" t="s">
        <v>21</v>
      </c>
      <c r="B23" s="1" t="s">
        <v>35</v>
      </c>
      <c r="C23" s="224">
        <v>3008001</v>
      </c>
      <c r="D23" s="941" t="s">
        <v>494</v>
      </c>
      <c r="E23" s="942">
        <v>37257</v>
      </c>
      <c r="F23" s="186" t="s">
        <v>36</v>
      </c>
      <c r="G23" s="224">
        <v>212169</v>
      </c>
      <c r="H23" s="224"/>
      <c r="I23" s="252" t="s">
        <v>182</v>
      </c>
      <c r="J23" s="245" t="str">
        <f t="shared" si="0"/>
        <v>GW</v>
      </c>
      <c r="K23" s="245">
        <f t="shared" si="1"/>
        <v>0</v>
      </c>
      <c r="L23" s="245">
        <f t="shared" si="2"/>
        <v>0</v>
      </c>
      <c r="M23" s="249">
        <f>$M$2*0.98</f>
        <v>2.1560000000000001</v>
      </c>
      <c r="N23" s="720">
        <v>0</v>
      </c>
      <c r="O23" s="247">
        <f t="shared" si="3"/>
        <v>2.1560000000000001</v>
      </c>
      <c r="P23" s="248">
        <f t="shared" si="4"/>
        <v>0</v>
      </c>
    </row>
    <row r="24" spans="1:16" ht="15" customHeight="1" thickBot="1" x14ac:dyDescent="0.25">
      <c r="A24" s="1" t="s">
        <v>21</v>
      </c>
      <c r="B24" s="1" t="s">
        <v>39</v>
      </c>
      <c r="C24" s="224">
        <v>3015901</v>
      </c>
      <c r="D24" s="941" t="s">
        <v>494</v>
      </c>
      <c r="E24" s="942">
        <v>37257</v>
      </c>
      <c r="F24" s="186" t="s">
        <v>36</v>
      </c>
      <c r="G24" s="224">
        <v>212169</v>
      </c>
      <c r="H24" s="224"/>
      <c r="I24" s="252" t="s">
        <v>182</v>
      </c>
      <c r="J24" s="245" t="str">
        <f t="shared" si="0"/>
        <v>GW</v>
      </c>
      <c r="K24" s="245">
        <f t="shared" si="1"/>
        <v>0</v>
      </c>
      <c r="L24" s="245">
        <f t="shared" si="2"/>
        <v>0</v>
      </c>
      <c r="M24" s="249">
        <f>$M$2*0.98</f>
        <v>2.1560000000000001</v>
      </c>
      <c r="N24" s="720">
        <v>0</v>
      </c>
      <c r="O24" s="247">
        <f t="shared" si="3"/>
        <v>2.1560000000000001</v>
      </c>
      <c r="P24" s="248">
        <f t="shared" si="4"/>
        <v>0</v>
      </c>
    </row>
    <row r="25" spans="1:16" ht="15" customHeight="1" thickBot="1" x14ac:dyDescent="0.25">
      <c r="A25" s="1" t="s">
        <v>21</v>
      </c>
      <c r="B25" s="1" t="s">
        <v>100</v>
      </c>
      <c r="C25" s="224">
        <v>3543801</v>
      </c>
      <c r="D25" s="941" t="s">
        <v>494</v>
      </c>
      <c r="E25" s="942">
        <v>37257</v>
      </c>
      <c r="F25" s="1" t="s">
        <v>101</v>
      </c>
      <c r="G25" s="224">
        <v>212169</v>
      </c>
      <c r="H25" s="224"/>
      <c r="I25" s="252" t="s">
        <v>182</v>
      </c>
      <c r="J25" s="245" t="str">
        <f t="shared" si="0"/>
        <v>GW</v>
      </c>
      <c r="K25" s="245">
        <f t="shared" si="1"/>
        <v>0</v>
      </c>
      <c r="L25" s="245">
        <f t="shared" si="2"/>
        <v>0</v>
      </c>
      <c r="M25" s="249">
        <f>$M$2*0.98</f>
        <v>2.1560000000000001</v>
      </c>
      <c r="N25" s="720">
        <v>0</v>
      </c>
      <c r="O25" s="247">
        <f t="shared" si="3"/>
        <v>2.1560000000000001</v>
      </c>
      <c r="P25" s="248">
        <f t="shared" si="4"/>
        <v>0</v>
      </c>
    </row>
    <row r="26" spans="1:16" ht="15" customHeight="1" thickBot="1" x14ac:dyDescent="0.25">
      <c r="A26" s="583" t="s">
        <v>21</v>
      </c>
      <c r="B26" s="583" t="s">
        <v>107</v>
      </c>
      <c r="C26" s="585">
        <v>3562701</v>
      </c>
      <c r="D26" s="6" t="s">
        <v>169</v>
      </c>
      <c r="E26" s="938" t="s">
        <v>1403</v>
      </c>
      <c r="F26" s="583" t="s">
        <v>108</v>
      </c>
      <c r="G26" s="585">
        <v>168966</v>
      </c>
      <c r="H26" s="585"/>
      <c r="I26" s="585" t="s">
        <v>168</v>
      </c>
      <c r="J26" s="591" t="str">
        <f t="shared" si="0"/>
        <v>na</v>
      </c>
      <c r="K26" s="591" t="str">
        <f t="shared" si="1"/>
        <v>na</v>
      </c>
      <c r="L26" s="591">
        <f t="shared" si="2"/>
        <v>0</v>
      </c>
      <c r="M26" s="249">
        <f t="shared" si="5"/>
        <v>2.2000000000000002</v>
      </c>
      <c r="N26" s="720">
        <v>0</v>
      </c>
      <c r="O26" s="247">
        <f t="shared" si="3"/>
        <v>2.2000000000000002</v>
      </c>
      <c r="P26" s="248">
        <f t="shared" si="4"/>
        <v>0</v>
      </c>
    </row>
    <row r="27" spans="1:16" ht="15" customHeight="1" thickBot="1" x14ac:dyDescent="0.25">
      <c r="A27" s="6" t="s">
        <v>1103</v>
      </c>
      <c r="B27" s="336" t="s">
        <v>1125</v>
      </c>
      <c r="C27" s="6">
        <v>3545501</v>
      </c>
      <c r="D27" s="941" t="s">
        <v>1126</v>
      </c>
      <c r="E27" s="942">
        <v>37254</v>
      </c>
      <c r="F27" s="250"/>
      <c r="G27" s="250">
        <v>10486</v>
      </c>
      <c r="H27" s="250" t="s">
        <v>837</v>
      </c>
      <c r="I27" s="250" t="s">
        <v>838</v>
      </c>
      <c r="J27" s="430" t="str">
        <f t="shared" si="0"/>
        <v>na</v>
      </c>
      <c r="K27" s="245" t="str">
        <f t="shared" si="1"/>
        <v>na</v>
      </c>
      <c r="L27" s="245">
        <f t="shared" si="2"/>
        <v>0</v>
      </c>
      <c r="M27" s="246">
        <f>+CNGPricing!$H$21</f>
        <v>3.2</v>
      </c>
      <c r="N27" s="720">
        <v>0</v>
      </c>
      <c r="O27" s="247">
        <f t="shared" si="3"/>
        <v>3.2</v>
      </c>
      <c r="P27" s="248">
        <f t="shared" si="4"/>
        <v>0</v>
      </c>
    </row>
    <row r="28" spans="1:16" ht="15" customHeight="1" thickBot="1" x14ac:dyDescent="0.25">
      <c r="A28" s="6" t="s">
        <v>831</v>
      </c>
      <c r="B28" s="336" t="s">
        <v>839</v>
      </c>
      <c r="C28" s="6" t="s">
        <v>831</v>
      </c>
      <c r="D28" s="941" t="s">
        <v>1126</v>
      </c>
      <c r="E28" s="942">
        <v>37254</v>
      </c>
      <c r="F28" s="250"/>
      <c r="G28" s="250">
        <v>10486</v>
      </c>
      <c r="H28" s="250" t="s">
        <v>837</v>
      </c>
      <c r="I28" s="250" t="s">
        <v>838</v>
      </c>
      <c r="J28" s="430" t="str">
        <f t="shared" si="0"/>
        <v>na</v>
      </c>
      <c r="K28" s="245" t="str">
        <f t="shared" si="1"/>
        <v>na</v>
      </c>
      <c r="L28" s="245">
        <f t="shared" si="2"/>
        <v>0</v>
      </c>
      <c r="M28" s="246">
        <f>+CNGPricing!$H$21</f>
        <v>3.2</v>
      </c>
      <c r="N28" s="720">
        <v>0</v>
      </c>
      <c r="O28" s="247">
        <f t="shared" si="3"/>
        <v>3.2</v>
      </c>
      <c r="P28" s="248">
        <f t="shared" si="4"/>
        <v>0</v>
      </c>
    </row>
    <row r="29" spans="1:16" ht="15" customHeight="1" thickBot="1" x14ac:dyDescent="0.25">
      <c r="A29" s="6" t="s">
        <v>1103</v>
      </c>
      <c r="B29" s="336" t="s">
        <v>1169</v>
      </c>
      <c r="C29" s="6">
        <v>4357101</v>
      </c>
      <c r="D29" s="941" t="s">
        <v>1126</v>
      </c>
      <c r="E29" s="942">
        <v>37254</v>
      </c>
      <c r="F29" s="250"/>
      <c r="G29" s="250">
        <v>10486</v>
      </c>
      <c r="H29" s="250" t="s">
        <v>837</v>
      </c>
      <c r="I29" s="250" t="s">
        <v>838</v>
      </c>
      <c r="J29" s="430" t="str">
        <f t="shared" si="0"/>
        <v>na</v>
      </c>
      <c r="K29" s="245" t="str">
        <f t="shared" si="1"/>
        <v>na</v>
      </c>
      <c r="L29" s="245">
        <f t="shared" si="2"/>
        <v>0</v>
      </c>
      <c r="M29" s="246">
        <f>+CNGPricing!$H$21</f>
        <v>3.2</v>
      </c>
      <c r="N29" s="720">
        <v>0</v>
      </c>
      <c r="O29" s="247">
        <f t="shared" si="3"/>
        <v>3.2</v>
      </c>
      <c r="P29" s="248">
        <f t="shared" si="4"/>
        <v>0</v>
      </c>
    </row>
    <row r="30" spans="1:16" ht="15" customHeight="1" thickBot="1" x14ac:dyDescent="0.25">
      <c r="A30" s="6" t="s">
        <v>1103</v>
      </c>
      <c r="B30" s="336" t="s">
        <v>1171</v>
      </c>
      <c r="C30" s="6">
        <v>4362701</v>
      </c>
      <c r="D30" s="941" t="s">
        <v>1126</v>
      </c>
      <c r="E30" s="942">
        <v>37254</v>
      </c>
      <c r="F30" s="250"/>
      <c r="G30" s="250">
        <v>10486</v>
      </c>
      <c r="H30" s="250" t="s">
        <v>837</v>
      </c>
      <c r="I30" s="250" t="s">
        <v>838</v>
      </c>
      <c r="J30" s="430" t="str">
        <f t="shared" si="0"/>
        <v>na</v>
      </c>
      <c r="K30" s="245" t="str">
        <f t="shared" si="1"/>
        <v>na</v>
      </c>
      <c r="L30" s="245">
        <f t="shared" si="2"/>
        <v>0</v>
      </c>
      <c r="M30" s="246">
        <f>+CNGPricing!$H$21</f>
        <v>3.2</v>
      </c>
      <c r="N30" s="720">
        <v>0</v>
      </c>
      <c r="O30" s="247">
        <f t="shared" si="3"/>
        <v>3.2</v>
      </c>
      <c r="P30" s="248">
        <f t="shared" si="4"/>
        <v>0</v>
      </c>
    </row>
    <row r="31" spans="1:16" ht="15" customHeight="1" thickBot="1" x14ac:dyDescent="0.25">
      <c r="A31" s="6" t="s">
        <v>1103</v>
      </c>
      <c r="B31" s="336" t="s">
        <v>1175</v>
      </c>
      <c r="C31" s="6">
        <v>4366601</v>
      </c>
      <c r="D31" s="941" t="s">
        <v>1126</v>
      </c>
      <c r="E31" s="942">
        <v>37254</v>
      </c>
      <c r="F31" s="250"/>
      <c r="G31" s="250">
        <v>10486</v>
      </c>
      <c r="H31" s="250" t="s">
        <v>837</v>
      </c>
      <c r="I31" s="250" t="s">
        <v>838</v>
      </c>
      <c r="J31" s="430" t="str">
        <f t="shared" si="0"/>
        <v>na</v>
      </c>
      <c r="K31" s="245" t="str">
        <f t="shared" si="1"/>
        <v>na</v>
      </c>
      <c r="L31" s="245">
        <f t="shared" si="2"/>
        <v>0</v>
      </c>
      <c r="M31" s="246">
        <f>+CNGPricing!$H$21</f>
        <v>3.2</v>
      </c>
      <c r="N31" s="720">
        <v>0</v>
      </c>
      <c r="O31" s="247">
        <f t="shared" si="3"/>
        <v>3.2</v>
      </c>
      <c r="P31" s="248">
        <f t="shared" ref="P31:P62" si="6">L31*O31</f>
        <v>0</v>
      </c>
    </row>
    <row r="32" spans="1:16" ht="15" customHeight="1" thickBot="1" x14ac:dyDescent="0.25">
      <c r="A32" s="6" t="s">
        <v>1103</v>
      </c>
      <c r="B32" s="336" t="s">
        <v>1186</v>
      </c>
      <c r="C32" s="6">
        <v>4006101</v>
      </c>
      <c r="D32" s="941" t="s">
        <v>1126</v>
      </c>
      <c r="E32" s="942">
        <v>37254</v>
      </c>
      <c r="F32" s="250"/>
      <c r="G32" s="250">
        <v>10486</v>
      </c>
      <c r="H32" s="250" t="s">
        <v>837</v>
      </c>
      <c r="I32" s="250" t="s">
        <v>838</v>
      </c>
      <c r="J32" s="430" t="str">
        <f t="shared" si="0"/>
        <v>na</v>
      </c>
      <c r="K32" s="245" t="str">
        <f t="shared" si="1"/>
        <v>na</v>
      </c>
      <c r="L32" s="245">
        <f t="shared" si="2"/>
        <v>0</v>
      </c>
      <c r="M32" s="246">
        <f>+CNGPricing!$H$21</f>
        <v>3.2</v>
      </c>
      <c r="N32" s="720">
        <v>0</v>
      </c>
      <c r="O32" s="247">
        <f t="shared" si="3"/>
        <v>3.2</v>
      </c>
      <c r="P32" s="248">
        <f t="shared" si="6"/>
        <v>0</v>
      </c>
    </row>
    <row r="33" spans="1:16" ht="15" customHeight="1" thickBot="1" x14ac:dyDescent="0.25">
      <c r="A33" s="6" t="s">
        <v>1103</v>
      </c>
      <c r="B33" s="336" t="s">
        <v>1353</v>
      </c>
      <c r="C33" s="6">
        <v>4354601</v>
      </c>
      <c r="D33" s="941" t="s">
        <v>1126</v>
      </c>
      <c r="E33" s="942">
        <v>37254</v>
      </c>
      <c r="F33" s="250"/>
      <c r="G33" s="250">
        <v>10486</v>
      </c>
      <c r="H33" s="250" t="s">
        <v>837</v>
      </c>
      <c r="I33" s="250" t="s">
        <v>838</v>
      </c>
      <c r="J33" s="430" t="str">
        <f t="shared" si="0"/>
        <v>na</v>
      </c>
      <c r="K33" s="245" t="str">
        <f t="shared" si="1"/>
        <v>na</v>
      </c>
      <c r="L33" s="245">
        <f t="shared" si="2"/>
        <v>0</v>
      </c>
      <c r="M33" s="246">
        <f>+CNGPricing!$H$21</f>
        <v>3.2</v>
      </c>
      <c r="N33" s="720">
        <v>0</v>
      </c>
      <c r="O33" s="247">
        <f t="shared" si="3"/>
        <v>3.2</v>
      </c>
      <c r="P33" s="248">
        <f t="shared" si="6"/>
        <v>0</v>
      </c>
    </row>
    <row r="34" spans="1:16" ht="15" customHeight="1" thickBot="1" x14ac:dyDescent="0.25">
      <c r="A34" s="6" t="s">
        <v>1103</v>
      </c>
      <c r="B34" s="336" t="s">
        <v>1148</v>
      </c>
      <c r="C34" s="6">
        <v>3565301</v>
      </c>
      <c r="D34" s="941" t="s">
        <v>840</v>
      </c>
      <c r="E34" s="942">
        <v>37254</v>
      </c>
      <c r="F34" s="250"/>
      <c r="G34" s="250">
        <v>10486</v>
      </c>
      <c r="H34" s="250" t="s">
        <v>837</v>
      </c>
      <c r="I34" s="250" t="s">
        <v>838</v>
      </c>
      <c r="J34" s="430" t="str">
        <f t="shared" si="0"/>
        <v>na</v>
      </c>
      <c r="K34" s="245" t="str">
        <f t="shared" si="1"/>
        <v>na</v>
      </c>
      <c r="L34" s="245">
        <f t="shared" si="2"/>
        <v>0</v>
      </c>
      <c r="M34" s="246">
        <f>+CNGPricing!$H$21</f>
        <v>3.2</v>
      </c>
      <c r="N34" s="720">
        <v>0</v>
      </c>
      <c r="O34" s="247">
        <f t="shared" si="3"/>
        <v>3.2</v>
      </c>
      <c r="P34" s="248">
        <f t="shared" si="6"/>
        <v>0</v>
      </c>
    </row>
    <row r="35" spans="1:16" ht="15" customHeight="1" thickBot="1" x14ac:dyDescent="0.25">
      <c r="A35" s="1" t="s">
        <v>21</v>
      </c>
      <c r="B35" s="1" t="s">
        <v>22</v>
      </c>
      <c r="C35" s="224">
        <v>1055201</v>
      </c>
      <c r="D35" s="666" t="s">
        <v>25</v>
      </c>
      <c r="E35" s="940">
        <v>37228</v>
      </c>
      <c r="F35" s="6" t="s">
        <v>25</v>
      </c>
      <c r="G35" s="9">
        <v>141089</v>
      </c>
      <c r="H35" s="9"/>
      <c r="I35" s="9" t="s">
        <v>170</v>
      </c>
      <c r="J35" s="245" t="str">
        <f t="shared" si="0"/>
        <v>GW</v>
      </c>
      <c r="K35" s="245">
        <f t="shared" si="1"/>
        <v>0</v>
      </c>
      <c r="L35" s="245">
        <f t="shared" si="2"/>
        <v>0</v>
      </c>
      <c r="M35" s="259" t="e">
        <f>+CNGPricing!$H$32</f>
        <v>#DIV/0!</v>
      </c>
      <c r="N35" s="720">
        <v>0</v>
      </c>
      <c r="O35" s="247" t="e">
        <f t="shared" si="3"/>
        <v>#DIV/0!</v>
      </c>
      <c r="P35" s="248" t="e">
        <f t="shared" si="6"/>
        <v>#DIV/0!</v>
      </c>
    </row>
    <row r="36" spans="1:16" ht="15" customHeight="1" thickBot="1" x14ac:dyDescent="0.25">
      <c r="A36" s="1" t="s">
        <v>21</v>
      </c>
      <c r="B36" s="1" t="s">
        <v>26</v>
      </c>
      <c r="C36" s="224">
        <v>1058501</v>
      </c>
      <c r="D36" s="666" t="s">
        <v>25</v>
      </c>
      <c r="E36" s="940">
        <v>37228</v>
      </c>
      <c r="F36" s="6" t="s">
        <v>25</v>
      </c>
      <c r="G36" s="9">
        <v>141089</v>
      </c>
      <c r="H36" s="9"/>
      <c r="I36" s="9" t="s">
        <v>170</v>
      </c>
      <c r="J36" s="245" t="str">
        <f t="shared" si="0"/>
        <v>GW</v>
      </c>
      <c r="K36" s="245">
        <f t="shared" si="1"/>
        <v>0</v>
      </c>
      <c r="L36" s="245">
        <f t="shared" si="2"/>
        <v>0</v>
      </c>
      <c r="M36" s="259" t="e">
        <f>+CNGPricing!$H$32</f>
        <v>#DIV/0!</v>
      </c>
      <c r="N36" s="720">
        <v>0</v>
      </c>
      <c r="O36" s="247" t="e">
        <f t="shared" si="3"/>
        <v>#DIV/0!</v>
      </c>
      <c r="P36" s="248" t="e">
        <f t="shared" si="6"/>
        <v>#DIV/0!</v>
      </c>
    </row>
    <row r="37" spans="1:16" ht="15" customHeight="1" thickBot="1" x14ac:dyDescent="0.25">
      <c r="A37" s="1" t="s">
        <v>21</v>
      </c>
      <c r="B37" s="1" t="s">
        <v>27</v>
      </c>
      <c r="C37" s="224">
        <v>1059901</v>
      </c>
      <c r="D37" s="666" t="s">
        <v>25</v>
      </c>
      <c r="E37" s="940">
        <v>37228</v>
      </c>
      <c r="F37" s="6" t="s">
        <v>25</v>
      </c>
      <c r="G37" s="9">
        <v>141089</v>
      </c>
      <c r="H37" s="9"/>
      <c r="I37" s="9" t="s">
        <v>170</v>
      </c>
      <c r="J37" s="245" t="str">
        <f t="shared" si="0"/>
        <v>GW</v>
      </c>
      <c r="K37" s="245">
        <f t="shared" si="1"/>
        <v>0</v>
      </c>
      <c r="L37" s="245">
        <f t="shared" si="2"/>
        <v>0</v>
      </c>
      <c r="M37" s="259" t="e">
        <f>+CNGPricing!$H$32</f>
        <v>#DIV/0!</v>
      </c>
      <c r="N37" s="720">
        <v>0</v>
      </c>
      <c r="O37" s="247" t="e">
        <f t="shared" si="3"/>
        <v>#DIV/0!</v>
      </c>
      <c r="P37" s="248" t="e">
        <f t="shared" si="6"/>
        <v>#DIV/0!</v>
      </c>
    </row>
    <row r="38" spans="1:16" ht="15" customHeight="1" thickBot="1" x14ac:dyDescent="0.25">
      <c r="A38" s="1" t="s">
        <v>21</v>
      </c>
      <c r="B38" s="1" t="s">
        <v>28</v>
      </c>
      <c r="C38" s="224">
        <v>1063501</v>
      </c>
      <c r="D38" s="666" t="s">
        <v>25</v>
      </c>
      <c r="E38" s="940">
        <v>37228</v>
      </c>
      <c r="F38" s="6" t="s">
        <v>25</v>
      </c>
      <c r="G38" s="9">
        <v>141089</v>
      </c>
      <c r="H38" s="9"/>
      <c r="I38" s="9" t="s">
        <v>170</v>
      </c>
      <c r="J38" s="245" t="str">
        <f t="shared" si="0"/>
        <v>GW</v>
      </c>
      <c r="K38" s="245">
        <f t="shared" si="1"/>
        <v>0</v>
      </c>
      <c r="L38" s="245">
        <f t="shared" si="2"/>
        <v>0</v>
      </c>
      <c r="M38" s="259" t="e">
        <f>+CNGPricing!$H$32</f>
        <v>#DIV/0!</v>
      </c>
      <c r="N38" s="720">
        <v>0</v>
      </c>
      <c r="O38" s="247" t="e">
        <f t="shared" si="3"/>
        <v>#DIV/0!</v>
      </c>
      <c r="P38" s="248" t="e">
        <f t="shared" si="6"/>
        <v>#DIV/0!</v>
      </c>
    </row>
    <row r="39" spans="1:16" ht="15" customHeight="1" thickBot="1" x14ac:dyDescent="0.25">
      <c r="A39" s="1" t="s">
        <v>21</v>
      </c>
      <c r="B39" s="1" t="s">
        <v>102</v>
      </c>
      <c r="C39" s="224">
        <v>3549701</v>
      </c>
      <c r="D39" s="666" t="s">
        <v>25</v>
      </c>
      <c r="E39" s="940">
        <v>37228</v>
      </c>
      <c r="F39" s="6" t="s">
        <v>25</v>
      </c>
      <c r="G39" s="9">
        <v>141089</v>
      </c>
      <c r="H39" s="9"/>
      <c r="I39" s="9" t="s">
        <v>170</v>
      </c>
      <c r="J39" s="245" t="str">
        <f t="shared" si="0"/>
        <v>GW</v>
      </c>
      <c r="K39" s="245">
        <f t="shared" si="1"/>
        <v>0</v>
      </c>
      <c r="L39" s="245">
        <f t="shared" si="2"/>
        <v>0</v>
      </c>
      <c r="M39" s="259" t="e">
        <f>+CNGPricing!$H$32</f>
        <v>#DIV/0!</v>
      </c>
      <c r="N39" s="720">
        <v>0</v>
      </c>
      <c r="O39" s="247" t="e">
        <f t="shared" si="3"/>
        <v>#DIV/0!</v>
      </c>
      <c r="P39" s="248" t="e">
        <f t="shared" si="6"/>
        <v>#DIV/0!</v>
      </c>
    </row>
    <row r="40" spans="1:16" ht="15" customHeight="1" thickBot="1" x14ac:dyDescent="0.25">
      <c r="A40" s="1" t="s">
        <v>21</v>
      </c>
      <c r="B40" s="1" t="s">
        <v>103</v>
      </c>
      <c r="C40" s="224">
        <v>3552201</v>
      </c>
      <c r="D40" s="666" t="s">
        <v>25</v>
      </c>
      <c r="E40" s="940">
        <v>37228</v>
      </c>
      <c r="F40" s="6" t="s">
        <v>25</v>
      </c>
      <c r="G40" s="9">
        <v>141089</v>
      </c>
      <c r="H40" s="9"/>
      <c r="I40" s="9" t="s">
        <v>170</v>
      </c>
      <c r="J40" s="245" t="str">
        <f t="shared" si="0"/>
        <v>GW</v>
      </c>
      <c r="K40" s="245">
        <f t="shared" si="1"/>
        <v>0</v>
      </c>
      <c r="L40" s="245">
        <f t="shared" si="2"/>
        <v>0</v>
      </c>
      <c r="M40" s="259" t="e">
        <f>+CNGPricing!$H$32</f>
        <v>#DIV/0!</v>
      </c>
      <c r="N40" s="720">
        <v>0</v>
      </c>
      <c r="O40" s="247" t="e">
        <f t="shared" si="3"/>
        <v>#DIV/0!</v>
      </c>
      <c r="P40" s="248" t="e">
        <f t="shared" si="6"/>
        <v>#DIV/0!</v>
      </c>
    </row>
    <row r="41" spans="1:16" ht="15" customHeight="1" thickBot="1" x14ac:dyDescent="0.25">
      <c r="A41" s="1" t="s">
        <v>21</v>
      </c>
      <c r="B41" s="1" t="s">
        <v>104</v>
      </c>
      <c r="C41" s="224">
        <v>3557101</v>
      </c>
      <c r="D41" s="666" t="s">
        <v>25</v>
      </c>
      <c r="E41" s="940">
        <v>37228</v>
      </c>
      <c r="F41" s="6" t="s">
        <v>25</v>
      </c>
      <c r="G41" s="9">
        <v>141089</v>
      </c>
      <c r="H41" s="9"/>
      <c r="I41" s="9" t="s">
        <v>170</v>
      </c>
      <c r="J41" s="245" t="str">
        <f t="shared" si="0"/>
        <v>GW</v>
      </c>
      <c r="K41" s="245">
        <f t="shared" si="1"/>
        <v>0</v>
      </c>
      <c r="L41" s="245">
        <f t="shared" si="2"/>
        <v>0</v>
      </c>
      <c r="M41" s="259" t="e">
        <f>+CNGPricing!$H$32</f>
        <v>#DIV/0!</v>
      </c>
      <c r="N41" s="720">
        <v>0</v>
      </c>
      <c r="O41" s="247" t="e">
        <f t="shared" si="3"/>
        <v>#DIV/0!</v>
      </c>
      <c r="P41" s="248" t="e">
        <f t="shared" si="6"/>
        <v>#DIV/0!</v>
      </c>
    </row>
    <row r="42" spans="1:16" ht="15" customHeight="1" thickBot="1" x14ac:dyDescent="0.25">
      <c r="A42" s="1" t="s">
        <v>21</v>
      </c>
      <c r="B42" s="1" t="s">
        <v>47</v>
      </c>
      <c r="C42" s="224">
        <v>3024701</v>
      </c>
      <c r="D42" s="666" t="s">
        <v>25</v>
      </c>
      <c r="E42" s="940">
        <v>37228</v>
      </c>
      <c r="F42" s="6" t="s">
        <v>25</v>
      </c>
      <c r="G42" s="9">
        <v>141089</v>
      </c>
      <c r="H42" s="9"/>
      <c r="I42" s="9" t="s">
        <v>170</v>
      </c>
      <c r="J42" s="245" t="str">
        <f t="shared" si="0"/>
        <v>GW</v>
      </c>
      <c r="K42" s="245">
        <f t="shared" si="1"/>
        <v>0</v>
      </c>
      <c r="L42" s="245">
        <f t="shared" si="2"/>
        <v>0</v>
      </c>
      <c r="M42" s="259" t="e">
        <f>+CNGPricing!$H$32</f>
        <v>#DIV/0!</v>
      </c>
      <c r="N42" s="720">
        <v>0</v>
      </c>
      <c r="O42" s="247" t="e">
        <f t="shared" si="3"/>
        <v>#DIV/0!</v>
      </c>
      <c r="P42" s="248" t="e">
        <f t="shared" si="6"/>
        <v>#DIV/0!</v>
      </c>
    </row>
    <row r="43" spans="1:16" ht="15" customHeight="1" thickBot="1" x14ac:dyDescent="0.25">
      <c r="A43" s="1" t="s">
        <v>21</v>
      </c>
      <c r="B43" s="1" t="s">
        <v>48</v>
      </c>
      <c r="C43" s="224">
        <v>3024901</v>
      </c>
      <c r="D43" s="666" t="s">
        <v>25</v>
      </c>
      <c r="E43" s="940">
        <v>37228</v>
      </c>
      <c r="F43" s="6" t="s">
        <v>25</v>
      </c>
      <c r="G43" s="9">
        <v>141089</v>
      </c>
      <c r="H43" s="9"/>
      <c r="I43" s="9" t="s">
        <v>170</v>
      </c>
      <c r="J43" s="245" t="str">
        <f t="shared" si="0"/>
        <v>GW</v>
      </c>
      <c r="K43" s="245">
        <f t="shared" si="1"/>
        <v>0</v>
      </c>
      <c r="L43" s="245">
        <f t="shared" si="2"/>
        <v>0</v>
      </c>
      <c r="M43" s="259" t="e">
        <f>+CNGPricing!$H$32</f>
        <v>#DIV/0!</v>
      </c>
      <c r="N43" s="720">
        <v>0</v>
      </c>
      <c r="O43" s="247" t="e">
        <f t="shared" si="3"/>
        <v>#DIV/0!</v>
      </c>
      <c r="P43" s="248" t="e">
        <f t="shared" si="6"/>
        <v>#DIV/0!</v>
      </c>
    </row>
    <row r="44" spans="1:16" ht="15" customHeight="1" thickBot="1" x14ac:dyDescent="0.25">
      <c r="A44" s="1" t="s">
        <v>21</v>
      </c>
      <c r="B44" s="1" t="s">
        <v>250</v>
      </c>
      <c r="C44" s="224">
        <v>3026101</v>
      </c>
      <c r="D44" s="666" t="s">
        <v>25</v>
      </c>
      <c r="E44" s="940">
        <v>37228</v>
      </c>
      <c r="F44" s="6" t="s">
        <v>25</v>
      </c>
      <c r="G44" s="9">
        <v>141089</v>
      </c>
      <c r="H44" s="9"/>
      <c r="I44" s="9" t="s">
        <v>170</v>
      </c>
      <c r="J44" s="245" t="str">
        <f t="shared" si="0"/>
        <v>GW</v>
      </c>
      <c r="K44" s="245">
        <f t="shared" si="1"/>
        <v>0</v>
      </c>
      <c r="L44" s="245">
        <f t="shared" si="2"/>
        <v>0</v>
      </c>
      <c r="M44" s="259" t="e">
        <f>+CNGPricing!$H$32</f>
        <v>#DIV/0!</v>
      </c>
      <c r="N44" s="720">
        <v>0</v>
      </c>
      <c r="O44" s="247" t="e">
        <f t="shared" si="3"/>
        <v>#DIV/0!</v>
      </c>
      <c r="P44" s="248" t="e">
        <f t="shared" si="6"/>
        <v>#DIV/0!</v>
      </c>
    </row>
    <row r="45" spans="1:16" ht="15" customHeight="1" thickBot="1" x14ac:dyDescent="0.25">
      <c r="A45" s="1" t="s">
        <v>21</v>
      </c>
      <c r="B45" s="1" t="s">
        <v>50</v>
      </c>
      <c r="C45" s="224">
        <v>3026401</v>
      </c>
      <c r="D45" s="666" t="s">
        <v>25</v>
      </c>
      <c r="E45" s="940">
        <v>37228</v>
      </c>
      <c r="F45" s="6" t="s">
        <v>25</v>
      </c>
      <c r="G45" s="9">
        <v>141089</v>
      </c>
      <c r="H45" s="9"/>
      <c r="I45" s="9" t="s">
        <v>170</v>
      </c>
      <c r="J45" s="245" t="str">
        <f t="shared" si="0"/>
        <v>GW</v>
      </c>
      <c r="K45" s="245">
        <f t="shared" si="1"/>
        <v>0</v>
      </c>
      <c r="L45" s="245">
        <f t="shared" si="2"/>
        <v>0</v>
      </c>
      <c r="M45" s="259" t="e">
        <f>+CNGPricing!$H$32</f>
        <v>#DIV/0!</v>
      </c>
      <c r="N45" s="720">
        <v>0</v>
      </c>
      <c r="O45" s="247" t="e">
        <f t="shared" si="3"/>
        <v>#DIV/0!</v>
      </c>
      <c r="P45" s="248" t="e">
        <f t="shared" si="6"/>
        <v>#DIV/0!</v>
      </c>
    </row>
    <row r="46" spans="1:16" ht="15" customHeight="1" thickBot="1" x14ac:dyDescent="0.25">
      <c r="A46" s="1" t="s">
        <v>21</v>
      </c>
      <c r="B46" s="1" t="s">
        <v>49</v>
      </c>
      <c r="C46" s="224">
        <v>3025701</v>
      </c>
      <c r="D46" s="666" t="s">
        <v>25</v>
      </c>
      <c r="E46" s="940">
        <v>37228</v>
      </c>
      <c r="F46" s="6" t="s">
        <v>25</v>
      </c>
      <c r="G46" s="9">
        <v>141089</v>
      </c>
      <c r="H46" s="9"/>
      <c r="I46" s="9" t="s">
        <v>170</v>
      </c>
      <c r="J46" s="245" t="str">
        <f t="shared" si="0"/>
        <v>GW</v>
      </c>
      <c r="K46" s="245">
        <f t="shared" si="1"/>
        <v>0</v>
      </c>
      <c r="L46" s="245">
        <f t="shared" si="2"/>
        <v>0</v>
      </c>
      <c r="M46" s="259" t="e">
        <f>+CNGPricing!$H$32</f>
        <v>#DIV/0!</v>
      </c>
      <c r="N46" s="720">
        <v>0</v>
      </c>
      <c r="O46" s="247" t="e">
        <f t="shared" si="3"/>
        <v>#DIV/0!</v>
      </c>
      <c r="P46" s="248" t="e">
        <f t="shared" si="6"/>
        <v>#DIV/0!</v>
      </c>
    </row>
    <row r="47" spans="1:16" ht="15" customHeight="1" thickBot="1" x14ac:dyDescent="0.25">
      <c r="A47" s="1" t="s">
        <v>21</v>
      </c>
      <c r="B47" s="1" t="s">
        <v>51</v>
      </c>
      <c r="C47" s="224">
        <v>3026601</v>
      </c>
      <c r="D47" s="666" t="s">
        <v>25</v>
      </c>
      <c r="E47" s="940">
        <v>37228</v>
      </c>
      <c r="F47" s="6" t="s">
        <v>25</v>
      </c>
      <c r="G47" s="9">
        <v>141089</v>
      </c>
      <c r="H47" s="9"/>
      <c r="I47" s="9" t="s">
        <v>170</v>
      </c>
      <c r="J47" s="245" t="str">
        <f t="shared" si="0"/>
        <v>GW</v>
      </c>
      <c r="K47" s="245">
        <f t="shared" si="1"/>
        <v>0</v>
      </c>
      <c r="L47" s="245">
        <f t="shared" si="2"/>
        <v>0</v>
      </c>
      <c r="M47" s="259" t="e">
        <f>+CNGPricing!$H$32</f>
        <v>#DIV/0!</v>
      </c>
      <c r="N47" s="720">
        <v>0</v>
      </c>
      <c r="O47" s="247" t="e">
        <f t="shared" si="3"/>
        <v>#DIV/0!</v>
      </c>
      <c r="P47" s="248" t="e">
        <f t="shared" si="6"/>
        <v>#DIV/0!</v>
      </c>
    </row>
    <row r="48" spans="1:16" ht="15" customHeight="1" thickBot="1" x14ac:dyDescent="0.25">
      <c r="A48" s="1" t="s">
        <v>43</v>
      </c>
      <c r="B48" s="1" t="s">
        <v>44</v>
      </c>
      <c r="C48" s="224">
        <v>3021701</v>
      </c>
      <c r="D48" s="666" t="s">
        <v>25</v>
      </c>
      <c r="E48" s="940">
        <v>37228</v>
      </c>
      <c r="F48" s="6" t="s">
        <v>25</v>
      </c>
      <c r="G48" s="9">
        <v>141089</v>
      </c>
      <c r="H48" s="9"/>
      <c r="I48" s="9" t="s">
        <v>170</v>
      </c>
      <c r="J48" s="245" t="str">
        <f t="shared" si="0"/>
        <v>TW</v>
      </c>
      <c r="K48" s="245">
        <f t="shared" si="1"/>
        <v>0</v>
      </c>
      <c r="L48" s="245">
        <f t="shared" si="2"/>
        <v>0</v>
      </c>
      <c r="M48" s="259" t="e">
        <f>+CNGPricing!$H$32</f>
        <v>#DIV/0!</v>
      </c>
      <c r="N48" s="720">
        <v>0</v>
      </c>
      <c r="O48" s="247" t="e">
        <f t="shared" si="3"/>
        <v>#DIV/0!</v>
      </c>
      <c r="P48" s="248" t="e">
        <f t="shared" si="6"/>
        <v>#DIV/0!</v>
      </c>
    </row>
    <row r="49" spans="1:16" ht="15" customHeight="1" thickBot="1" x14ac:dyDescent="0.25">
      <c r="A49" s="1" t="s">
        <v>21</v>
      </c>
      <c r="B49" s="1" t="s">
        <v>53</v>
      </c>
      <c r="C49" s="224">
        <v>3029801</v>
      </c>
      <c r="D49" s="666" t="s">
        <v>25</v>
      </c>
      <c r="E49" s="940">
        <v>37228</v>
      </c>
      <c r="F49" s="6" t="s">
        <v>25</v>
      </c>
      <c r="G49" s="9">
        <v>141089</v>
      </c>
      <c r="H49" s="9"/>
      <c r="I49" s="9" t="s">
        <v>170</v>
      </c>
      <c r="J49" s="245" t="str">
        <f t="shared" si="0"/>
        <v>GW</v>
      </c>
      <c r="K49" s="245">
        <f t="shared" si="1"/>
        <v>0</v>
      </c>
      <c r="L49" s="245">
        <f t="shared" si="2"/>
        <v>0</v>
      </c>
      <c r="M49" s="259" t="e">
        <f>+CNGPricing!$H$32</f>
        <v>#DIV/0!</v>
      </c>
      <c r="N49" s="720">
        <v>0</v>
      </c>
      <c r="O49" s="247" t="e">
        <f t="shared" si="3"/>
        <v>#DIV/0!</v>
      </c>
      <c r="P49" s="248" t="e">
        <f t="shared" si="6"/>
        <v>#DIV/0!</v>
      </c>
    </row>
    <row r="50" spans="1:16" ht="15" customHeight="1" thickBot="1" x14ac:dyDescent="0.25">
      <c r="A50" s="1" t="s">
        <v>21</v>
      </c>
      <c r="B50" s="1" t="s">
        <v>52</v>
      </c>
      <c r="C50" s="224">
        <v>3029601</v>
      </c>
      <c r="D50" s="666" t="s">
        <v>25</v>
      </c>
      <c r="E50" s="940">
        <v>37228</v>
      </c>
      <c r="F50" s="6" t="s">
        <v>25</v>
      </c>
      <c r="G50" s="9">
        <v>141089</v>
      </c>
      <c r="H50" s="9"/>
      <c r="I50" s="9" t="s">
        <v>170</v>
      </c>
      <c r="J50" s="245" t="str">
        <f t="shared" si="0"/>
        <v>GW</v>
      </c>
      <c r="K50" s="245">
        <f t="shared" si="1"/>
        <v>0</v>
      </c>
      <c r="L50" s="245">
        <f t="shared" si="2"/>
        <v>0</v>
      </c>
      <c r="M50" s="259" t="e">
        <f>+CNGPricing!$H$32</f>
        <v>#DIV/0!</v>
      </c>
      <c r="N50" s="720">
        <v>0</v>
      </c>
      <c r="O50" s="247" t="e">
        <f t="shared" si="3"/>
        <v>#DIV/0!</v>
      </c>
      <c r="P50" s="248" t="e">
        <f t="shared" si="6"/>
        <v>#DIV/0!</v>
      </c>
    </row>
    <row r="51" spans="1:16" ht="15" customHeight="1" thickBot="1" x14ac:dyDescent="0.25">
      <c r="A51" s="1" t="s">
        <v>21</v>
      </c>
      <c r="B51" s="1" t="s">
        <v>55</v>
      </c>
      <c r="C51" s="224">
        <v>3031701</v>
      </c>
      <c r="D51" s="666" t="s">
        <v>25</v>
      </c>
      <c r="E51" s="940">
        <v>37228</v>
      </c>
      <c r="F51" s="6" t="s">
        <v>25</v>
      </c>
      <c r="G51" s="9">
        <v>141089</v>
      </c>
      <c r="H51" s="9"/>
      <c r="I51" s="9" t="s">
        <v>170</v>
      </c>
      <c r="J51" s="245" t="str">
        <f t="shared" si="0"/>
        <v>GW</v>
      </c>
      <c r="K51" s="245">
        <f t="shared" si="1"/>
        <v>0</v>
      </c>
      <c r="L51" s="245">
        <f t="shared" si="2"/>
        <v>0</v>
      </c>
      <c r="M51" s="259" t="e">
        <f>+CNGPricing!$H$32</f>
        <v>#DIV/0!</v>
      </c>
      <c r="N51" s="720">
        <v>0</v>
      </c>
      <c r="O51" s="247" t="e">
        <f t="shared" si="3"/>
        <v>#DIV/0!</v>
      </c>
      <c r="P51" s="248" t="e">
        <f t="shared" si="6"/>
        <v>#DIV/0!</v>
      </c>
    </row>
    <row r="52" spans="1:16" ht="15" customHeight="1" thickBot="1" x14ac:dyDescent="0.25">
      <c r="A52" s="1" t="s">
        <v>21</v>
      </c>
      <c r="B52" s="1" t="s">
        <v>68</v>
      </c>
      <c r="C52" s="224">
        <v>3209901</v>
      </c>
      <c r="D52" s="666" t="s">
        <v>25</v>
      </c>
      <c r="E52" s="940">
        <v>37228</v>
      </c>
      <c r="F52" s="6" t="s">
        <v>25</v>
      </c>
      <c r="G52" s="9">
        <v>141089</v>
      </c>
      <c r="H52" s="9"/>
      <c r="I52" s="9" t="s">
        <v>170</v>
      </c>
      <c r="J52" s="245" t="str">
        <f t="shared" si="0"/>
        <v>GW</v>
      </c>
      <c r="K52" s="245">
        <f t="shared" si="1"/>
        <v>0</v>
      </c>
      <c r="L52" s="245">
        <f t="shared" si="2"/>
        <v>0</v>
      </c>
      <c r="M52" s="259" t="e">
        <f>+CNGPricing!$H$32</f>
        <v>#DIV/0!</v>
      </c>
      <c r="N52" s="720">
        <v>0</v>
      </c>
      <c r="O52" s="247" t="e">
        <f t="shared" si="3"/>
        <v>#DIV/0!</v>
      </c>
      <c r="P52" s="248" t="e">
        <f t="shared" si="6"/>
        <v>#DIV/0!</v>
      </c>
    </row>
    <row r="53" spans="1:16" ht="15" customHeight="1" thickBot="1" x14ac:dyDescent="0.25">
      <c r="A53" s="1" t="s">
        <v>21</v>
      </c>
      <c r="B53" s="1" t="s">
        <v>56</v>
      </c>
      <c r="C53" s="224">
        <v>3033601</v>
      </c>
      <c r="D53" s="666" t="s">
        <v>25</v>
      </c>
      <c r="E53" s="940">
        <v>37228</v>
      </c>
      <c r="F53" s="6" t="s">
        <v>25</v>
      </c>
      <c r="G53" s="9">
        <v>141089</v>
      </c>
      <c r="H53" s="9"/>
      <c r="I53" s="9" t="s">
        <v>170</v>
      </c>
      <c r="J53" s="245" t="str">
        <f t="shared" si="0"/>
        <v>GW</v>
      </c>
      <c r="K53" s="245">
        <f t="shared" si="1"/>
        <v>0</v>
      </c>
      <c r="L53" s="245">
        <f t="shared" si="2"/>
        <v>0</v>
      </c>
      <c r="M53" s="259" t="e">
        <f>+CNGPricing!$H$32</f>
        <v>#DIV/0!</v>
      </c>
      <c r="N53" s="720">
        <v>0</v>
      </c>
      <c r="O53" s="247" t="e">
        <f t="shared" si="3"/>
        <v>#DIV/0!</v>
      </c>
      <c r="P53" s="248" t="e">
        <f t="shared" si="6"/>
        <v>#DIV/0!</v>
      </c>
    </row>
    <row r="54" spans="1:16" ht="15" customHeight="1" thickBot="1" x14ac:dyDescent="0.25">
      <c r="A54" s="1" t="s">
        <v>21</v>
      </c>
      <c r="B54" s="1" t="s">
        <v>251</v>
      </c>
      <c r="C54" s="224">
        <v>3312501</v>
      </c>
      <c r="D54" s="666" t="s">
        <v>25</v>
      </c>
      <c r="E54" s="940">
        <v>37228</v>
      </c>
      <c r="F54" s="6" t="s">
        <v>25</v>
      </c>
      <c r="G54" s="9">
        <v>141089</v>
      </c>
      <c r="H54" s="9"/>
      <c r="I54" s="9" t="s">
        <v>170</v>
      </c>
      <c r="J54" s="245" t="str">
        <f t="shared" si="0"/>
        <v>na</v>
      </c>
      <c r="K54" s="245" t="str">
        <f t="shared" si="1"/>
        <v>na</v>
      </c>
      <c r="L54" s="245">
        <f t="shared" si="2"/>
        <v>0</v>
      </c>
      <c r="M54" s="259" t="e">
        <f>+CNGPricing!$H$32</f>
        <v>#DIV/0!</v>
      </c>
      <c r="N54" s="720">
        <v>0</v>
      </c>
      <c r="O54" s="247" t="e">
        <f t="shared" si="3"/>
        <v>#DIV/0!</v>
      </c>
      <c r="P54" s="248" t="e">
        <f t="shared" si="6"/>
        <v>#DIV/0!</v>
      </c>
    </row>
    <row r="55" spans="1:16" ht="15" customHeight="1" thickBot="1" x14ac:dyDescent="0.25">
      <c r="A55" s="1" t="s">
        <v>21</v>
      </c>
      <c r="B55" s="1" t="s">
        <v>74</v>
      </c>
      <c r="C55" s="224">
        <v>3313401</v>
      </c>
      <c r="D55" s="666" t="s">
        <v>25</v>
      </c>
      <c r="E55" s="940">
        <v>37228</v>
      </c>
      <c r="F55" s="6" t="s">
        <v>25</v>
      </c>
      <c r="G55" s="9">
        <v>141089</v>
      </c>
      <c r="H55" s="9"/>
      <c r="I55" s="9" t="s">
        <v>170</v>
      </c>
      <c r="J55" s="245" t="str">
        <f t="shared" si="0"/>
        <v>GW</v>
      </c>
      <c r="K55" s="245">
        <f t="shared" si="1"/>
        <v>0</v>
      </c>
      <c r="L55" s="245">
        <f t="shared" si="2"/>
        <v>0</v>
      </c>
      <c r="M55" s="259" t="e">
        <f>+CNGPricing!$H$32</f>
        <v>#DIV/0!</v>
      </c>
      <c r="N55" s="720">
        <v>0</v>
      </c>
      <c r="O55" s="247" t="e">
        <f t="shared" si="3"/>
        <v>#DIV/0!</v>
      </c>
      <c r="P55" s="248" t="e">
        <f t="shared" si="6"/>
        <v>#DIV/0!</v>
      </c>
    </row>
    <row r="56" spans="1:16" ht="15" customHeight="1" thickBot="1" x14ac:dyDescent="0.25">
      <c r="A56" s="1" t="s">
        <v>21</v>
      </c>
      <c r="B56" s="1" t="s">
        <v>38</v>
      </c>
      <c r="C56" s="224">
        <v>3014901</v>
      </c>
      <c r="D56" s="666" t="s">
        <v>25</v>
      </c>
      <c r="E56" s="940">
        <v>37228</v>
      </c>
      <c r="F56" s="6" t="s">
        <v>25</v>
      </c>
      <c r="G56" s="9">
        <v>141089</v>
      </c>
      <c r="H56" s="9"/>
      <c r="I56" s="9" t="s">
        <v>170</v>
      </c>
      <c r="J56" s="245" t="str">
        <f t="shared" si="0"/>
        <v>GW</v>
      </c>
      <c r="K56" s="245">
        <f t="shared" si="1"/>
        <v>0</v>
      </c>
      <c r="L56" s="245">
        <f t="shared" si="2"/>
        <v>0</v>
      </c>
      <c r="M56" s="259" t="e">
        <f>+CNGPricing!$H$32</f>
        <v>#DIV/0!</v>
      </c>
      <c r="N56" s="720">
        <v>0</v>
      </c>
      <c r="O56" s="247" t="e">
        <f t="shared" si="3"/>
        <v>#DIV/0!</v>
      </c>
      <c r="P56" s="248" t="e">
        <f t="shared" si="6"/>
        <v>#DIV/0!</v>
      </c>
    </row>
    <row r="57" spans="1:16" ht="15" customHeight="1" thickBot="1" x14ac:dyDescent="0.25">
      <c r="A57" s="1" t="s">
        <v>21</v>
      </c>
      <c r="B57" s="1" t="s">
        <v>57</v>
      </c>
      <c r="C57" s="224">
        <v>3034501</v>
      </c>
      <c r="D57" s="666" t="s">
        <v>25</v>
      </c>
      <c r="E57" s="940">
        <v>37228</v>
      </c>
      <c r="F57" s="6" t="s">
        <v>25</v>
      </c>
      <c r="G57" s="9">
        <v>141089</v>
      </c>
      <c r="H57" s="9"/>
      <c r="I57" s="9" t="s">
        <v>170</v>
      </c>
      <c r="J57" s="245" t="str">
        <f t="shared" si="0"/>
        <v>GW</v>
      </c>
      <c r="K57" s="245">
        <f t="shared" si="1"/>
        <v>0</v>
      </c>
      <c r="L57" s="245">
        <f t="shared" si="2"/>
        <v>0</v>
      </c>
      <c r="M57" s="259" t="e">
        <f>+CNGPricing!$H$32</f>
        <v>#DIV/0!</v>
      </c>
      <c r="N57" s="720">
        <v>0</v>
      </c>
      <c r="O57" s="247" t="e">
        <f t="shared" si="3"/>
        <v>#DIV/0!</v>
      </c>
      <c r="P57" s="248" t="e">
        <f t="shared" si="6"/>
        <v>#DIV/0!</v>
      </c>
    </row>
    <row r="58" spans="1:16" ht="15" customHeight="1" thickBot="1" x14ac:dyDescent="0.25">
      <c r="A58" s="1" t="s">
        <v>21</v>
      </c>
      <c r="B58" s="1" t="s">
        <v>58</v>
      </c>
      <c r="C58" s="224">
        <v>3038001</v>
      </c>
      <c r="D58" s="666" t="s">
        <v>25</v>
      </c>
      <c r="E58" s="940">
        <v>37228</v>
      </c>
      <c r="F58" s="6" t="s">
        <v>25</v>
      </c>
      <c r="G58" s="9">
        <v>141089</v>
      </c>
      <c r="H58" s="9"/>
      <c r="I58" s="9" t="s">
        <v>170</v>
      </c>
      <c r="J58" s="245" t="str">
        <f t="shared" si="0"/>
        <v>GW</v>
      </c>
      <c r="K58" s="245">
        <f t="shared" si="1"/>
        <v>0</v>
      </c>
      <c r="L58" s="245">
        <f t="shared" si="2"/>
        <v>0</v>
      </c>
      <c r="M58" s="259" t="e">
        <f>+CNGPricing!$H$32</f>
        <v>#DIV/0!</v>
      </c>
      <c r="N58" s="720">
        <v>0</v>
      </c>
      <c r="O58" s="247" t="e">
        <f t="shared" si="3"/>
        <v>#DIV/0!</v>
      </c>
      <c r="P58" s="248" t="e">
        <f t="shared" si="6"/>
        <v>#DIV/0!</v>
      </c>
    </row>
    <row r="59" spans="1:16" ht="15" customHeight="1" thickBot="1" x14ac:dyDescent="0.25">
      <c r="A59" s="1" t="s">
        <v>21</v>
      </c>
      <c r="B59" s="1" t="s">
        <v>54</v>
      </c>
      <c r="C59" s="224">
        <v>3031301</v>
      </c>
      <c r="D59" s="666" t="s">
        <v>25</v>
      </c>
      <c r="E59" s="940">
        <v>37228</v>
      </c>
      <c r="F59" s="6" t="s">
        <v>25</v>
      </c>
      <c r="G59" s="9">
        <v>141089</v>
      </c>
      <c r="H59" s="9"/>
      <c r="I59" s="9" t="s">
        <v>170</v>
      </c>
      <c r="J59" s="245" t="str">
        <f t="shared" si="0"/>
        <v>GW</v>
      </c>
      <c r="K59" s="245">
        <f t="shared" si="1"/>
        <v>0</v>
      </c>
      <c r="L59" s="245">
        <f t="shared" si="2"/>
        <v>0</v>
      </c>
      <c r="M59" s="259" t="e">
        <f>+CNGPricing!$H$32</f>
        <v>#DIV/0!</v>
      </c>
      <c r="N59" s="720">
        <v>0</v>
      </c>
      <c r="O59" s="247" t="e">
        <f t="shared" si="3"/>
        <v>#DIV/0!</v>
      </c>
      <c r="P59" s="248" t="e">
        <f t="shared" si="6"/>
        <v>#DIV/0!</v>
      </c>
    </row>
    <row r="60" spans="1:16" ht="15" customHeight="1" thickBot="1" x14ac:dyDescent="0.25">
      <c r="A60" s="1" t="s">
        <v>21</v>
      </c>
      <c r="B60" s="1" t="s">
        <v>71</v>
      </c>
      <c r="C60" s="224">
        <v>3297001</v>
      </c>
      <c r="D60" s="666" t="s">
        <v>25</v>
      </c>
      <c r="E60" s="940">
        <v>37228</v>
      </c>
      <c r="F60" s="6" t="s">
        <v>25</v>
      </c>
      <c r="G60" s="9">
        <v>141089</v>
      </c>
      <c r="H60" s="9"/>
      <c r="I60" s="9" t="s">
        <v>170</v>
      </c>
      <c r="J60" s="245" t="str">
        <f t="shared" si="0"/>
        <v>GW</v>
      </c>
      <c r="K60" s="245">
        <f t="shared" si="1"/>
        <v>0</v>
      </c>
      <c r="L60" s="245">
        <f t="shared" si="2"/>
        <v>0</v>
      </c>
      <c r="M60" s="259" t="e">
        <f>+CNGPricing!$H$32</f>
        <v>#DIV/0!</v>
      </c>
      <c r="N60" s="720">
        <v>0</v>
      </c>
      <c r="O60" s="247" t="e">
        <f t="shared" si="3"/>
        <v>#DIV/0!</v>
      </c>
      <c r="P60" s="248" t="e">
        <f t="shared" si="6"/>
        <v>#DIV/0!</v>
      </c>
    </row>
    <row r="61" spans="1:16" ht="15" customHeight="1" thickBot="1" x14ac:dyDescent="0.25">
      <c r="A61" s="1" t="s">
        <v>21</v>
      </c>
      <c r="B61" s="1" t="s">
        <v>72</v>
      </c>
      <c r="C61" s="224">
        <v>3297001</v>
      </c>
      <c r="D61" s="666" t="s">
        <v>25</v>
      </c>
      <c r="E61" s="940">
        <v>37228</v>
      </c>
      <c r="F61" s="6" t="s">
        <v>25</v>
      </c>
      <c r="G61" s="9">
        <v>141089</v>
      </c>
      <c r="H61" s="9"/>
      <c r="I61" s="9" t="s">
        <v>170</v>
      </c>
      <c r="J61" s="245" t="str">
        <f t="shared" si="0"/>
        <v>na</v>
      </c>
      <c r="K61" s="245" t="str">
        <f t="shared" si="1"/>
        <v>na</v>
      </c>
      <c r="L61" s="245">
        <f t="shared" si="2"/>
        <v>0</v>
      </c>
      <c r="M61" s="259" t="e">
        <f>+CNGPricing!$H$32</f>
        <v>#DIV/0!</v>
      </c>
      <c r="N61" s="720">
        <v>0</v>
      </c>
      <c r="O61" s="247" t="e">
        <f t="shared" si="3"/>
        <v>#DIV/0!</v>
      </c>
      <c r="P61" s="248" t="e">
        <f t="shared" si="6"/>
        <v>#DIV/0!</v>
      </c>
    </row>
    <row r="62" spans="1:16" ht="15" customHeight="1" thickBot="1" x14ac:dyDescent="0.25">
      <c r="A62" s="1" t="s">
        <v>43</v>
      </c>
      <c r="B62" s="1" t="s">
        <v>45</v>
      </c>
      <c r="C62" s="224">
        <v>3023201</v>
      </c>
      <c r="D62" s="666" t="s">
        <v>25</v>
      </c>
      <c r="E62" s="940">
        <v>37228</v>
      </c>
      <c r="F62" s="6" t="s">
        <v>25</v>
      </c>
      <c r="G62" s="9">
        <v>141089</v>
      </c>
      <c r="H62" s="9"/>
      <c r="I62" s="9" t="s">
        <v>170</v>
      </c>
      <c r="J62" s="245" t="str">
        <f t="shared" si="0"/>
        <v>TW</v>
      </c>
      <c r="K62" s="245">
        <f t="shared" si="1"/>
        <v>0</v>
      </c>
      <c r="L62" s="245">
        <f t="shared" si="2"/>
        <v>0</v>
      </c>
      <c r="M62" s="259" t="e">
        <f>+CNGPricing!$H$32</f>
        <v>#DIV/0!</v>
      </c>
      <c r="N62" s="720">
        <v>0</v>
      </c>
      <c r="O62" s="247" t="e">
        <f t="shared" si="3"/>
        <v>#DIV/0!</v>
      </c>
      <c r="P62" s="248" t="e">
        <f t="shared" si="6"/>
        <v>#DIV/0!</v>
      </c>
    </row>
    <row r="63" spans="1:16" ht="15" customHeight="1" thickBot="1" x14ac:dyDescent="0.25">
      <c r="A63" s="1" t="s">
        <v>21</v>
      </c>
      <c r="B63" s="1" t="s">
        <v>46</v>
      </c>
      <c r="C63" s="224">
        <v>3023401</v>
      </c>
      <c r="D63" s="666" t="s">
        <v>25</v>
      </c>
      <c r="E63" s="940">
        <v>37228</v>
      </c>
      <c r="F63" s="6" t="s">
        <v>25</v>
      </c>
      <c r="G63" s="9">
        <v>141089</v>
      </c>
      <c r="H63" s="9"/>
      <c r="I63" s="9" t="s">
        <v>170</v>
      </c>
      <c r="J63" s="245" t="str">
        <f t="shared" ref="J63:J139" si="7">IF(ISNA(VLOOKUP(B63,cngdata,7,FALSE)),"na",VLOOKUP(B63,cngdata,7,FALSE))</f>
        <v>GW</v>
      </c>
      <c r="K63" s="245">
        <f t="shared" ref="K63:K129" si="8">IF(ISNA(VLOOKUP(B63,cngdata,13,FALSE)),"na",VLOOKUP(B63,cngdata,13,FALSE))</f>
        <v>0</v>
      </c>
      <c r="L63" s="245">
        <f t="shared" ref="L63:L129" si="9">IF(ISNA(VLOOKUP(B63,cngdata,14,FALSE)),0,VLOOKUP(B63,cngdata,14,FALSE))</f>
        <v>0</v>
      </c>
      <c r="M63" s="259" t="e">
        <f>+CNGPricing!$H$32</f>
        <v>#DIV/0!</v>
      </c>
      <c r="N63" s="720">
        <v>0</v>
      </c>
      <c r="O63" s="247" t="e">
        <f t="shared" ref="O63:O145" si="10">M63-N63</f>
        <v>#DIV/0!</v>
      </c>
      <c r="P63" s="248" t="e">
        <f t="shared" ref="P63:P96" si="11">L63*O63</f>
        <v>#DIV/0!</v>
      </c>
    </row>
    <row r="64" spans="1:16" ht="15" customHeight="1" thickBot="1" x14ac:dyDescent="0.25">
      <c r="A64" s="1" t="s">
        <v>21</v>
      </c>
      <c r="B64" s="1" t="s">
        <v>63</v>
      </c>
      <c r="C64" s="224">
        <v>3130501</v>
      </c>
      <c r="D64" s="666" t="s">
        <v>171</v>
      </c>
      <c r="E64" s="940">
        <v>37228</v>
      </c>
      <c r="F64" s="250" t="s">
        <v>171</v>
      </c>
      <c r="G64" s="185">
        <v>210487</v>
      </c>
      <c r="H64" s="185"/>
      <c r="I64" s="185" t="s">
        <v>285</v>
      </c>
      <c r="J64" s="430" t="str">
        <f t="shared" si="7"/>
        <v>GW</v>
      </c>
      <c r="K64" s="245">
        <f t="shared" si="8"/>
        <v>0</v>
      </c>
      <c r="L64" s="245">
        <f t="shared" si="9"/>
        <v>0</v>
      </c>
      <c r="M64" s="670" t="e">
        <f>+CNGPricing!$H$42</f>
        <v>#DIV/0!</v>
      </c>
      <c r="N64" s="720">
        <v>0</v>
      </c>
      <c r="O64" s="247" t="e">
        <f t="shared" si="10"/>
        <v>#DIV/0!</v>
      </c>
      <c r="P64" s="248" t="e">
        <f t="shared" si="11"/>
        <v>#DIV/0!</v>
      </c>
    </row>
    <row r="65" spans="1:16" ht="15" customHeight="1" thickBot="1" x14ac:dyDescent="0.25">
      <c r="A65" s="1" t="s">
        <v>43</v>
      </c>
      <c r="B65" s="1" t="s">
        <v>75</v>
      </c>
      <c r="C65" s="270">
        <v>3421301</v>
      </c>
      <c r="D65" s="666" t="s">
        <v>171</v>
      </c>
      <c r="E65" s="940">
        <v>37228</v>
      </c>
      <c r="F65" s="250" t="s">
        <v>1400</v>
      </c>
      <c r="G65" s="185">
        <v>210487</v>
      </c>
      <c r="H65" s="185"/>
      <c r="I65" s="185" t="s">
        <v>285</v>
      </c>
      <c r="J65" s="430" t="str">
        <f t="shared" si="7"/>
        <v>TW</v>
      </c>
      <c r="K65" s="245">
        <f t="shared" si="8"/>
        <v>0</v>
      </c>
      <c r="L65" s="245">
        <f t="shared" si="9"/>
        <v>0</v>
      </c>
      <c r="M65" s="670" t="e">
        <f>+CNGPricing!$H$42</f>
        <v>#DIV/0!</v>
      </c>
      <c r="N65" s="720">
        <v>0</v>
      </c>
      <c r="O65" s="247" t="e">
        <f t="shared" si="10"/>
        <v>#DIV/0!</v>
      </c>
      <c r="P65" s="248" t="e">
        <f t="shared" si="11"/>
        <v>#DIV/0!</v>
      </c>
    </row>
    <row r="66" spans="1:16" ht="15" customHeight="1" thickBot="1" x14ac:dyDescent="0.25">
      <c r="A66" s="1" t="s">
        <v>21</v>
      </c>
      <c r="B66" s="1" t="s">
        <v>77</v>
      </c>
      <c r="C66" s="270">
        <v>3425201</v>
      </c>
      <c r="D66" s="666" t="s">
        <v>171</v>
      </c>
      <c r="E66" s="940">
        <v>37228</v>
      </c>
      <c r="F66" s="250" t="s">
        <v>1400</v>
      </c>
      <c r="G66" s="185">
        <v>210487</v>
      </c>
      <c r="H66" s="185"/>
      <c r="I66" s="185" t="s">
        <v>285</v>
      </c>
      <c r="J66" s="430" t="str">
        <f t="shared" si="7"/>
        <v>GW</v>
      </c>
      <c r="K66" s="245">
        <f t="shared" si="8"/>
        <v>0</v>
      </c>
      <c r="L66" s="245">
        <f t="shared" si="9"/>
        <v>0</v>
      </c>
      <c r="M66" s="670" t="e">
        <f>+CNGPricing!$H$42</f>
        <v>#DIV/0!</v>
      </c>
      <c r="N66" s="720">
        <v>0</v>
      </c>
      <c r="O66" s="247" t="e">
        <f t="shared" si="10"/>
        <v>#DIV/0!</v>
      </c>
      <c r="P66" s="248" t="e">
        <f t="shared" si="11"/>
        <v>#DIV/0!</v>
      </c>
    </row>
    <row r="67" spans="1:16" ht="15" customHeight="1" thickBot="1" x14ac:dyDescent="0.25">
      <c r="A67" s="1" t="s">
        <v>21</v>
      </c>
      <c r="B67" s="1" t="s">
        <v>80</v>
      </c>
      <c r="C67" s="270">
        <v>3472501</v>
      </c>
      <c r="D67" s="666" t="s">
        <v>171</v>
      </c>
      <c r="E67" s="940">
        <v>37228</v>
      </c>
      <c r="F67" s="250" t="s">
        <v>1400</v>
      </c>
      <c r="G67" s="185">
        <v>210487</v>
      </c>
      <c r="H67" s="185"/>
      <c r="I67" s="185" t="s">
        <v>285</v>
      </c>
      <c r="J67" s="430" t="str">
        <f t="shared" si="7"/>
        <v>GW</v>
      </c>
      <c r="K67" s="245">
        <f t="shared" si="8"/>
        <v>0</v>
      </c>
      <c r="L67" s="245">
        <f t="shared" si="9"/>
        <v>0</v>
      </c>
      <c r="M67" s="670" t="e">
        <f>+CNGPricing!$H$42</f>
        <v>#DIV/0!</v>
      </c>
      <c r="N67" s="720">
        <v>0</v>
      </c>
      <c r="O67" s="247" t="e">
        <f t="shared" si="10"/>
        <v>#DIV/0!</v>
      </c>
      <c r="P67" s="248" t="e">
        <f t="shared" si="11"/>
        <v>#DIV/0!</v>
      </c>
    </row>
    <row r="68" spans="1:16" ht="15" customHeight="1" thickBot="1" x14ac:dyDescent="0.25">
      <c r="A68" s="1" t="s">
        <v>21</v>
      </c>
      <c r="B68" s="1" t="s">
        <v>97</v>
      </c>
      <c r="C68" s="224">
        <v>3539901</v>
      </c>
      <c r="D68" s="666" t="s">
        <v>171</v>
      </c>
      <c r="E68" s="940">
        <v>37228</v>
      </c>
      <c r="F68" s="250" t="s">
        <v>171</v>
      </c>
      <c r="G68" s="185">
        <v>210487</v>
      </c>
      <c r="H68" s="185"/>
      <c r="I68" s="185" t="s">
        <v>285</v>
      </c>
      <c r="J68" s="430" t="str">
        <f t="shared" si="7"/>
        <v>GW</v>
      </c>
      <c r="K68" s="245">
        <f t="shared" si="8"/>
        <v>0</v>
      </c>
      <c r="L68" s="245">
        <f t="shared" si="9"/>
        <v>0</v>
      </c>
      <c r="M68" s="670" t="e">
        <f>+CNGPricing!$H$42</f>
        <v>#DIV/0!</v>
      </c>
      <c r="N68" s="720">
        <v>0</v>
      </c>
      <c r="O68" s="247" t="e">
        <f t="shared" si="10"/>
        <v>#DIV/0!</v>
      </c>
      <c r="P68" s="248" t="e">
        <f t="shared" si="11"/>
        <v>#DIV/0!</v>
      </c>
    </row>
    <row r="69" spans="1:16" ht="15" customHeight="1" thickBot="1" x14ac:dyDescent="0.25">
      <c r="A69" s="1" t="s">
        <v>21</v>
      </c>
      <c r="B69" s="1" t="s">
        <v>65</v>
      </c>
      <c r="C69" s="224">
        <v>3141701</v>
      </c>
      <c r="D69" s="666" t="s">
        <v>171</v>
      </c>
      <c r="E69" s="940">
        <v>37228</v>
      </c>
      <c r="F69" s="250" t="s">
        <v>171</v>
      </c>
      <c r="G69" s="185">
        <v>210487</v>
      </c>
      <c r="H69" s="185"/>
      <c r="I69" s="185" t="s">
        <v>285</v>
      </c>
      <c r="J69" s="430" t="str">
        <f t="shared" si="7"/>
        <v>GW</v>
      </c>
      <c r="K69" s="245">
        <f t="shared" si="8"/>
        <v>0</v>
      </c>
      <c r="L69" s="245">
        <f t="shared" si="9"/>
        <v>0</v>
      </c>
      <c r="M69" s="670" t="e">
        <f>+CNGPricing!$H$42</f>
        <v>#DIV/0!</v>
      </c>
      <c r="N69" s="720">
        <v>0</v>
      </c>
      <c r="O69" s="247" t="e">
        <f t="shared" si="10"/>
        <v>#DIV/0!</v>
      </c>
      <c r="P69" s="248" t="e">
        <f t="shared" si="11"/>
        <v>#DIV/0!</v>
      </c>
    </row>
    <row r="70" spans="1:16" ht="15" customHeight="1" thickBot="1" x14ac:dyDescent="0.25">
      <c r="A70" s="1" t="s">
        <v>21</v>
      </c>
      <c r="B70" s="1" t="s">
        <v>61</v>
      </c>
      <c r="C70" s="224">
        <v>3095101</v>
      </c>
      <c r="D70" s="666" t="s">
        <v>171</v>
      </c>
      <c r="E70" s="940">
        <v>37228</v>
      </c>
      <c r="F70" s="250" t="s">
        <v>171</v>
      </c>
      <c r="G70" s="185">
        <v>210487</v>
      </c>
      <c r="H70" s="185"/>
      <c r="I70" s="185" t="s">
        <v>285</v>
      </c>
      <c r="J70" s="430" t="str">
        <f t="shared" si="7"/>
        <v>GW</v>
      </c>
      <c r="K70" s="245">
        <f t="shared" si="8"/>
        <v>0</v>
      </c>
      <c r="L70" s="245">
        <f t="shared" si="9"/>
        <v>0</v>
      </c>
      <c r="M70" s="670" t="e">
        <f>+CNGPricing!$H$42</f>
        <v>#DIV/0!</v>
      </c>
      <c r="N70" s="720">
        <v>0</v>
      </c>
      <c r="O70" s="247" t="e">
        <f t="shared" si="10"/>
        <v>#DIV/0!</v>
      </c>
      <c r="P70" s="248" t="e">
        <f t="shared" si="11"/>
        <v>#DIV/0!</v>
      </c>
    </row>
    <row r="71" spans="1:16" ht="15" customHeight="1" thickBot="1" x14ac:dyDescent="0.25">
      <c r="A71" s="1" t="s">
        <v>21</v>
      </c>
      <c r="B71" s="1" t="s">
        <v>37</v>
      </c>
      <c r="C71" s="224">
        <v>3013701</v>
      </c>
      <c r="D71" s="666" t="s">
        <v>171</v>
      </c>
      <c r="E71" s="940">
        <v>37228</v>
      </c>
      <c r="F71" s="250" t="s">
        <v>171</v>
      </c>
      <c r="G71" s="185">
        <v>210487</v>
      </c>
      <c r="H71" s="185"/>
      <c r="I71" s="185" t="s">
        <v>285</v>
      </c>
      <c r="J71" s="430" t="str">
        <f t="shared" si="7"/>
        <v>GW</v>
      </c>
      <c r="K71" s="245">
        <f t="shared" si="8"/>
        <v>0</v>
      </c>
      <c r="L71" s="245">
        <f t="shared" si="9"/>
        <v>0</v>
      </c>
      <c r="M71" s="670" t="e">
        <f>+CNGPricing!$H$42</f>
        <v>#DIV/0!</v>
      </c>
      <c r="N71" s="720">
        <v>0</v>
      </c>
      <c r="O71" s="247" t="e">
        <f t="shared" si="10"/>
        <v>#DIV/0!</v>
      </c>
      <c r="P71" s="248" t="e">
        <f t="shared" si="11"/>
        <v>#DIV/0!</v>
      </c>
    </row>
    <row r="72" spans="1:16" ht="15" customHeight="1" thickBot="1" x14ac:dyDescent="0.25">
      <c r="A72" s="1" t="s">
        <v>43</v>
      </c>
      <c r="B72" s="1" t="s">
        <v>79</v>
      </c>
      <c r="C72" s="224">
        <v>3425901</v>
      </c>
      <c r="D72" s="666" t="s">
        <v>171</v>
      </c>
      <c r="E72" s="940">
        <v>37228</v>
      </c>
      <c r="F72" s="250" t="s">
        <v>171</v>
      </c>
      <c r="G72" s="185">
        <v>210487</v>
      </c>
      <c r="H72" s="185"/>
      <c r="I72" s="185" t="s">
        <v>285</v>
      </c>
      <c r="J72" s="430" t="str">
        <f t="shared" si="7"/>
        <v>TW</v>
      </c>
      <c r="K72" s="245">
        <f t="shared" si="8"/>
        <v>0</v>
      </c>
      <c r="L72" s="245">
        <f t="shared" si="9"/>
        <v>0</v>
      </c>
      <c r="M72" s="670" t="e">
        <f>+CNGPricing!$H$42</f>
        <v>#DIV/0!</v>
      </c>
      <c r="N72" s="720">
        <v>0</v>
      </c>
      <c r="O72" s="247" t="e">
        <f t="shared" si="10"/>
        <v>#DIV/0!</v>
      </c>
      <c r="P72" s="248" t="e">
        <f t="shared" si="11"/>
        <v>#DIV/0!</v>
      </c>
    </row>
    <row r="73" spans="1:16" ht="15" customHeight="1" thickBot="1" x14ac:dyDescent="0.25">
      <c r="A73" s="1" t="s">
        <v>21</v>
      </c>
      <c r="B73" s="1" t="s">
        <v>81</v>
      </c>
      <c r="C73" s="270">
        <v>3472501</v>
      </c>
      <c r="D73" s="666" t="s">
        <v>171</v>
      </c>
      <c r="E73" s="940">
        <v>37228</v>
      </c>
      <c r="F73" s="250" t="s">
        <v>1400</v>
      </c>
      <c r="G73" s="185">
        <v>210487</v>
      </c>
      <c r="H73" s="185"/>
      <c r="I73" s="185" t="s">
        <v>285</v>
      </c>
      <c r="J73" s="430" t="str">
        <f t="shared" si="7"/>
        <v>na</v>
      </c>
      <c r="K73" s="245" t="str">
        <f t="shared" si="8"/>
        <v>na</v>
      </c>
      <c r="L73" s="245">
        <f t="shared" si="9"/>
        <v>0</v>
      </c>
      <c r="M73" s="670" t="e">
        <f>+CNGPricing!$H$42</f>
        <v>#DIV/0!</v>
      </c>
      <c r="N73" s="720">
        <v>0</v>
      </c>
      <c r="O73" s="247" t="e">
        <f t="shared" si="10"/>
        <v>#DIV/0!</v>
      </c>
      <c r="P73" s="248" t="e">
        <f t="shared" si="11"/>
        <v>#DIV/0!</v>
      </c>
    </row>
    <row r="74" spans="1:16" ht="15" customHeight="1" thickBot="1" x14ac:dyDescent="0.25">
      <c r="A74" s="1" t="s">
        <v>43</v>
      </c>
      <c r="B74" s="1" t="s">
        <v>76</v>
      </c>
      <c r="C74" s="270">
        <v>3421301</v>
      </c>
      <c r="D74" s="666" t="s">
        <v>171</v>
      </c>
      <c r="E74" s="940">
        <v>37228</v>
      </c>
      <c r="F74" s="250" t="s">
        <v>1400</v>
      </c>
      <c r="G74" s="185">
        <v>210487</v>
      </c>
      <c r="H74" s="185"/>
      <c r="I74" s="185" t="s">
        <v>285</v>
      </c>
      <c r="J74" s="430" t="str">
        <f t="shared" si="7"/>
        <v>na</v>
      </c>
      <c r="K74" s="245" t="str">
        <f t="shared" si="8"/>
        <v>na</v>
      </c>
      <c r="L74" s="245">
        <f t="shared" si="9"/>
        <v>0</v>
      </c>
      <c r="M74" s="670" t="e">
        <f>+CNGPricing!$H$42</f>
        <v>#DIV/0!</v>
      </c>
      <c r="N74" s="720">
        <v>0</v>
      </c>
      <c r="O74" s="247" t="e">
        <f t="shared" si="10"/>
        <v>#DIV/0!</v>
      </c>
      <c r="P74" s="248" t="e">
        <f t="shared" si="11"/>
        <v>#DIV/0!</v>
      </c>
    </row>
    <row r="75" spans="1:16" ht="15" customHeight="1" thickBot="1" x14ac:dyDescent="0.25">
      <c r="A75" s="1" t="s">
        <v>21</v>
      </c>
      <c r="B75" s="1" t="s">
        <v>78</v>
      </c>
      <c r="C75" s="270">
        <v>3425201</v>
      </c>
      <c r="D75" s="666" t="s">
        <v>171</v>
      </c>
      <c r="E75" s="940">
        <v>37228</v>
      </c>
      <c r="F75" s="250" t="s">
        <v>1400</v>
      </c>
      <c r="G75" s="185">
        <v>210487</v>
      </c>
      <c r="H75" s="185"/>
      <c r="I75" s="185" t="s">
        <v>285</v>
      </c>
      <c r="J75" s="430" t="str">
        <f t="shared" si="7"/>
        <v>na</v>
      </c>
      <c r="K75" s="245" t="str">
        <f t="shared" si="8"/>
        <v>na</v>
      </c>
      <c r="L75" s="245">
        <f t="shared" si="9"/>
        <v>0</v>
      </c>
      <c r="M75" s="670" t="e">
        <f>+CNGPricing!$H$42</f>
        <v>#DIV/0!</v>
      </c>
      <c r="N75" s="720">
        <v>0</v>
      </c>
      <c r="O75" s="247" t="e">
        <f t="shared" si="10"/>
        <v>#DIV/0!</v>
      </c>
      <c r="P75" s="248" t="e">
        <f t="shared" si="11"/>
        <v>#DIV/0!</v>
      </c>
    </row>
    <row r="76" spans="1:16" ht="15" customHeight="1" thickBot="1" x14ac:dyDescent="0.25">
      <c r="A76" s="6" t="s">
        <v>1103</v>
      </c>
      <c r="B76" s="336" t="s">
        <v>1104</v>
      </c>
      <c r="C76" s="6">
        <v>2150501</v>
      </c>
      <c r="D76" s="941" t="s">
        <v>1105</v>
      </c>
      <c r="E76" s="942">
        <v>37256</v>
      </c>
      <c r="F76" s="6"/>
      <c r="G76" s="1">
        <v>13884</v>
      </c>
      <c r="H76" s="1" t="s">
        <v>841</v>
      </c>
      <c r="I76" s="373" t="s">
        <v>1424</v>
      </c>
      <c r="J76" s="245" t="str">
        <f t="shared" si="7"/>
        <v>GW</v>
      </c>
      <c r="K76" s="245">
        <f t="shared" si="8"/>
        <v>0</v>
      </c>
      <c r="L76" s="245">
        <f t="shared" si="9"/>
        <v>0</v>
      </c>
      <c r="M76" s="249">
        <f>$M$2</f>
        <v>2.2000000000000002</v>
      </c>
      <c r="N76" s="720">
        <v>0</v>
      </c>
      <c r="O76" s="247">
        <f t="shared" si="10"/>
        <v>2.2000000000000002</v>
      </c>
      <c r="P76" s="248">
        <f t="shared" si="11"/>
        <v>0</v>
      </c>
    </row>
    <row r="77" spans="1:16" ht="15" customHeight="1" thickBot="1" x14ac:dyDescent="0.25">
      <c r="A77" s="6" t="s">
        <v>1075</v>
      </c>
      <c r="B77" s="336" t="s">
        <v>1080</v>
      </c>
      <c r="C77" s="250">
        <v>4133001</v>
      </c>
      <c r="D77" s="941" t="s">
        <v>1081</v>
      </c>
      <c r="E77" s="942">
        <v>37257</v>
      </c>
      <c r="F77" s="250"/>
      <c r="G77" s="250">
        <v>14385</v>
      </c>
      <c r="H77" s="250" t="s">
        <v>304</v>
      </c>
      <c r="I77" s="250" t="s">
        <v>842</v>
      </c>
      <c r="J77" s="430" t="str">
        <f t="shared" si="7"/>
        <v>GD</v>
      </c>
      <c r="K77" s="430">
        <f t="shared" si="8"/>
        <v>0</v>
      </c>
      <c r="L77" s="430">
        <f t="shared" si="9"/>
        <v>0</v>
      </c>
      <c r="M77" s="670" t="e">
        <f>+CNGPricing!$H$55</f>
        <v>#DIV/0!</v>
      </c>
      <c r="N77" s="720">
        <v>0</v>
      </c>
      <c r="O77" s="247" t="e">
        <f t="shared" si="10"/>
        <v>#DIV/0!</v>
      </c>
      <c r="P77" s="248" t="e">
        <f t="shared" si="11"/>
        <v>#DIV/0!</v>
      </c>
    </row>
    <row r="78" spans="1:16" ht="15" customHeight="1" thickBot="1" x14ac:dyDescent="0.25">
      <c r="A78" s="6" t="s">
        <v>1084</v>
      </c>
      <c r="B78" s="336" t="s">
        <v>1085</v>
      </c>
      <c r="C78" s="250">
        <v>4092601</v>
      </c>
      <c r="D78" s="941" t="s">
        <v>1081</v>
      </c>
      <c r="E78" s="942">
        <v>37257</v>
      </c>
      <c r="F78" s="250"/>
      <c r="G78" s="250">
        <v>14385</v>
      </c>
      <c r="H78" s="250" t="s">
        <v>304</v>
      </c>
      <c r="I78" s="250" t="s">
        <v>842</v>
      </c>
      <c r="J78" s="430" t="str">
        <f t="shared" si="7"/>
        <v>GW</v>
      </c>
      <c r="K78" s="430">
        <f t="shared" si="8"/>
        <v>0</v>
      </c>
      <c r="L78" s="430">
        <f t="shared" si="9"/>
        <v>0</v>
      </c>
      <c r="M78" s="670" t="e">
        <f>+CNGPricing!$H$55</f>
        <v>#DIV/0!</v>
      </c>
      <c r="N78" s="720">
        <v>0</v>
      </c>
      <c r="O78" s="247" t="e">
        <f t="shared" si="10"/>
        <v>#DIV/0!</v>
      </c>
      <c r="P78" s="248" t="e">
        <f t="shared" si="11"/>
        <v>#DIV/0!</v>
      </c>
    </row>
    <row r="79" spans="1:16" ht="15" customHeight="1" thickBot="1" x14ac:dyDescent="0.25">
      <c r="A79" s="6" t="s">
        <v>1103</v>
      </c>
      <c r="B79" s="336" t="s">
        <v>1301</v>
      </c>
      <c r="C79" s="6">
        <v>3290902</v>
      </c>
      <c r="D79" s="666" t="s">
        <v>1302</v>
      </c>
      <c r="E79" s="940">
        <v>37228</v>
      </c>
      <c r="F79" s="250"/>
      <c r="G79" s="250">
        <v>14599</v>
      </c>
      <c r="H79" s="250" t="s">
        <v>843</v>
      </c>
      <c r="I79" s="250" t="s">
        <v>2019</v>
      </c>
      <c r="J79" s="430" t="str">
        <f t="shared" si="7"/>
        <v>GW</v>
      </c>
      <c r="K79" s="245">
        <f t="shared" si="8"/>
        <v>0</v>
      </c>
      <c r="L79" s="245">
        <f t="shared" si="9"/>
        <v>0</v>
      </c>
      <c r="M79" s="670" t="e">
        <f>+CNGPricing!$H$68</f>
        <v>#DIV/0!</v>
      </c>
      <c r="N79" s="720">
        <v>0</v>
      </c>
      <c r="O79" s="247" t="e">
        <f t="shared" si="10"/>
        <v>#DIV/0!</v>
      </c>
      <c r="P79" s="248" t="e">
        <f t="shared" si="11"/>
        <v>#DIV/0!</v>
      </c>
    </row>
    <row r="80" spans="1:16" ht="15" customHeight="1" thickBot="1" x14ac:dyDescent="0.25">
      <c r="A80" s="6" t="s">
        <v>1103</v>
      </c>
      <c r="B80" s="336" t="s">
        <v>1112</v>
      </c>
      <c r="C80" s="6">
        <v>3423501</v>
      </c>
      <c r="D80" s="6" t="s">
        <v>623</v>
      </c>
      <c r="E80" s="938" t="s">
        <v>1403</v>
      </c>
      <c r="F80" s="6"/>
      <c r="G80" s="1">
        <v>15062</v>
      </c>
      <c r="H80" s="1" t="s">
        <v>311</v>
      </c>
      <c r="I80" s="1" t="s">
        <v>1421</v>
      </c>
      <c r="J80" s="245" t="str">
        <f t="shared" si="7"/>
        <v>GW</v>
      </c>
      <c r="K80" s="245">
        <f t="shared" si="8"/>
        <v>0</v>
      </c>
      <c r="L80" s="245">
        <f t="shared" si="9"/>
        <v>0</v>
      </c>
      <c r="M80" s="249">
        <f t="shared" ref="M80:M88" si="12">$M$2*97%</f>
        <v>2.1339999999999999</v>
      </c>
      <c r="N80" s="720">
        <v>0</v>
      </c>
      <c r="O80" s="247">
        <f t="shared" si="10"/>
        <v>2.1339999999999999</v>
      </c>
      <c r="P80" s="248">
        <f t="shared" si="11"/>
        <v>0</v>
      </c>
    </row>
    <row r="81" spans="1:17" ht="15" customHeight="1" thickBot="1" x14ac:dyDescent="0.25">
      <c r="A81" s="6" t="s">
        <v>1103</v>
      </c>
      <c r="B81" s="336" t="s">
        <v>1114</v>
      </c>
      <c r="C81" s="6">
        <v>3423601</v>
      </c>
      <c r="D81" s="6" t="s">
        <v>623</v>
      </c>
      <c r="E81" s="938" t="s">
        <v>1403</v>
      </c>
      <c r="F81" s="6"/>
      <c r="G81" s="1">
        <v>15062</v>
      </c>
      <c r="H81" s="1" t="s">
        <v>311</v>
      </c>
      <c r="I81" s="1" t="s">
        <v>1421</v>
      </c>
      <c r="J81" s="245" t="str">
        <f t="shared" si="7"/>
        <v>GW</v>
      </c>
      <c r="K81" s="245">
        <f t="shared" si="8"/>
        <v>0</v>
      </c>
      <c r="L81" s="245">
        <f t="shared" si="9"/>
        <v>0</v>
      </c>
      <c r="M81" s="249">
        <f t="shared" si="12"/>
        <v>2.1339999999999999</v>
      </c>
      <c r="N81" s="720">
        <v>0</v>
      </c>
      <c r="O81" s="247">
        <f t="shared" si="10"/>
        <v>2.1339999999999999</v>
      </c>
      <c r="P81" s="248">
        <f t="shared" si="11"/>
        <v>0</v>
      </c>
    </row>
    <row r="82" spans="1:17" ht="15" customHeight="1" thickBot="1" x14ac:dyDescent="0.25">
      <c r="A82" s="6" t="s">
        <v>1103</v>
      </c>
      <c r="B82" s="336" t="s">
        <v>1115</v>
      </c>
      <c r="C82" s="6">
        <v>3423701</v>
      </c>
      <c r="D82" s="6" t="s">
        <v>623</v>
      </c>
      <c r="E82" s="938" t="s">
        <v>1403</v>
      </c>
      <c r="F82" s="6"/>
      <c r="G82" s="1">
        <v>15062</v>
      </c>
      <c r="H82" s="1" t="s">
        <v>311</v>
      </c>
      <c r="I82" s="1" t="s">
        <v>1421</v>
      </c>
      <c r="J82" s="245" t="str">
        <f t="shared" si="7"/>
        <v>GW</v>
      </c>
      <c r="K82" s="245">
        <f t="shared" si="8"/>
        <v>0</v>
      </c>
      <c r="L82" s="245">
        <f t="shared" si="9"/>
        <v>0</v>
      </c>
      <c r="M82" s="249">
        <f t="shared" si="12"/>
        <v>2.1339999999999999</v>
      </c>
      <c r="N82" s="720">
        <v>0</v>
      </c>
      <c r="O82" s="247">
        <f t="shared" si="10"/>
        <v>2.1339999999999999</v>
      </c>
      <c r="P82" s="248">
        <f t="shared" si="11"/>
        <v>0</v>
      </c>
    </row>
    <row r="83" spans="1:17" ht="15" customHeight="1" thickBot="1" x14ac:dyDescent="0.25">
      <c r="A83" s="6" t="s">
        <v>1103</v>
      </c>
      <c r="B83" s="336" t="s">
        <v>1116</v>
      </c>
      <c r="C83" s="6">
        <v>3423801</v>
      </c>
      <c r="D83" s="6" t="s">
        <v>623</v>
      </c>
      <c r="E83" s="938" t="s">
        <v>1403</v>
      </c>
      <c r="F83" s="6"/>
      <c r="G83" s="1">
        <v>15062</v>
      </c>
      <c r="H83" s="1" t="s">
        <v>311</v>
      </c>
      <c r="I83" s="1" t="s">
        <v>1421</v>
      </c>
      <c r="J83" s="245" t="str">
        <f t="shared" si="7"/>
        <v>GW</v>
      </c>
      <c r="K83" s="245">
        <f t="shared" si="8"/>
        <v>0</v>
      </c>
      <c r="L83" s="245">
        <f t="shared" si="9"/>
        <v>0</v>
      </c>
      <c r="M83" s="249">
        <f t="shared" si="12"/>
        <v>2.1339999999999999</v>
      </c>
      <c r="N83" s="720">
        <v>0</v>
      </c>
      <c r="O83" s="247">
        <f t="shared" si="10"/>
        <v>2.1339999999999999</v>
      </c>
      <c r="P83" s="248">
        <f t="shared" si="11"/>
        <v>0</v>
      </c>
    </row>
    <row r="84" spans="1:17" ht="15" customHeight="1" thickBot="1" x14ac:dyDescent="0.25">
      <c r="A84" s="6" t="s">
        <v>1103</v>
      </c>
      <c r="B84" s="336" t="s">
        <v>1119</v>
      </c>
      <c r="C84" s="6">
        <v>3429601</v>
      </c>
      <c r="D84" s="6" t="s">
        <v>623</v>
      </c>
      <c r="E84" s="938" t="s">
        <v>1403</v>
      </c>
      <c r="F84" s="6"/>
      <c r="G84" s="1">
        <v>15062</v>
      </c>
      <c r="H84" s="1" t="s">
        <v>311</v>
      </c>
      <c r="I84" s="1" t="s">
        <v>1421</v>
      </c>
      <c r="J84" s="245" t="str">
        <f t="shared" si="7"/>
        <v>GW</v>
      </c>
      <c r="K84" s="245">
        <f t="shared" si="8"/>
        <v>0</v>
      </c>
      <c r="L84" s="245">
        <f t="shared" si="9"/>
        <v>0</v>
      </c>
      <c r="M84" s="249">
        <f t="shared" si="12"/>
        <v>2.1339999999999999</v>
      </c>
      <c r="N84" s="720">
        <v>0</v>
      </c>
      <c r="O84" s="247">
        <f t="shared" si="10"/>
        <v>2.1339999999999999</v>
      </c>
      <c r="P84" s="248">
        <f t="shared" si="11"/>
        <v>0</v>
      </c>
    </row>
    <row r="85" spans="1:17" ht="15" customHeight="1" thickBot="1" x14ac:dyDescent="0.25">
      <c r="A85" s="6" t="s">
        <v>1363</v>
      </c>
      <c r="B85" s="336" t="s">
        <v>1366</v>
      </c>
      <c r="C85" s="6">
        <v>3478201</v>
      </c>
      <c r="D85" s="6" t="s">
        <v>623</v>
      </c>
      <c r="E85" s="938" t="s">
        <v>1403</v>
      </c>
      <c r="F85" s="6"/>
      <c r="G85" s="1">
        <v>15062</v>
      </c>
      <c r="H85" s="1" t="s">
        <v>311</v>
      </c>
      <c r="I85" s="1" t="s">
        <v>1421</v>
      </c>
      <c r="J85" s="245" t="str">
        <f t="shared" si="7"/>
        <v>TW</v>
      </c>
      <c r="K85" s="245">
        <f t="shared" si="8"/>
        <v>0</v>
      </c>
      <c r="L85" s="245">
        <f t="shared" si="9"/>
        <v>0</v>
      </c>
      <c r="M85" s="249">
        <f t="shared" si="12"/>
        <v>2.1339999999999999</v>
      </c>
      <c r="N85" s="720">
        <v>0</v>
      </c>
      <c r="O85" s="247">
        <f t="shared" si="10"/>
        <v>2.1339999999999999</v>
      </c>
      <c r="P85" s="248">
        <f t="shared" si="11"/>
        <v>0</v>
      </c>
    </row>
    <row r="86" spans="1:17" ht="15" customHeight="1" thickBot="1" x14ac:dyDescent="0.25">
      <c r="A86" s="6" t="s">
        <v>1103</v>
      </c>
      <c r="B86" s="336" t="s">
        <v>1120</v>
      </c>
      <c r="C86" s="6">
        <v>3502801</v>
      </c>
      <c r="D86" s="6" t="s">
        <v>623</v>
      </c>
      <c r="E86" s="938" t="s">
        <v>1403</v>
      </c>
      <c r="F86" s="6"/>
      <c r="G86" s="1">
        <v>15062</v>
      </c>
      <c r="H86" s="1" t="s">
        <v>311</v>
      </c>
      <c r="I86" s="1" t="s">
        <v>1421</v>
      </c>
      <c r="J86" s="245" t="str">
        <f t="shared" si="7"/>
        <v>GW</v>
      </c>
      <c r="K86" s="245">
        <f t="shared" si="8"/>
        <v>0</v>
      </c>
      <c r="L86" s="245">
        <f t="shared" si="9"/>
        <v>0</v>
      </c>
      <c r="M86" s="249">
        <f t="shared" si="12"/>
        <v>2.1339999999999999</v>
      </c>
      <c r="N86" s="720">
        <v>0</v>
      </c>
      <c r="O86" s="247">
        <f t="shared" si="10"/>
        <v>2.1339999999999999</v>
      </c>
      <c r="P86" s="248">
        <f t="shared" si="11"/>
        <v>0</v>
      </c>
    </row>
    <row r="87" spans="1:17" ht="15" customHeight="1" thickBot="1" x14ac:dyDescent="0.25">
      <c r="A87" s="6" t="s">
        <v>1103</v>
      </c>
      <c r="B87" s="336" t="s">
        <v>1117</v>
      </c>
      <c r="C87" s="6">
        <v>3428401</v>
      </c>
      <c r="D87" s="6" t="s">
        <v>844</v>
      </c>
      <c r="E87" s="938" t="s">
        <v>1403</v>
      </c>
      <c r="F87" s="6"/>
      <c r="G87" s="1">
        <v>15062</v>
      </c>
      <c r="H87" s="1" t="s">
        <v>311</v>
      </c>
      <c r="I87" s="1" t="s">
        <v>1421</v>
      </c>
      <c r="J87" s="245" t="str">
        <f t="shared" si="7"/>
        <v>GW</v>
      </c>
      <c r="K87" s="245">
        <f t="shared" si="8"/>
        <v>0</v>
      </c>
      <c r="L87" s="245">
        <f t="shared" si="9"/>
        <v>0</v>
      </c>
      <c r="M87" s="249">
        <f t="shared" si="12"/>
        <v>2.1339999999999999</v>
      </c>
      <c r="N87" s="720">
        <v>0</v>
      </c>
      <c r="O87" s="247">
        <f t="shared" si="10"/>
        <v>2.1339999999999999</v>
      </c>
      <c r="P87" s="248">
        <f t="shared" si="11"/>
        <v>0</v>
      </c>
    </row>
    <row r="88" spans="1:17" ht="15" customHeight="1" thickBot="1" x14ac:dyDescent="0.25">
      <c r="A88" s="6" t="s">
        <v>1103</v>
      </c>
      <c r="B88" s="336" t="s">
        <v>1118</v>
      </c>
      <c r="C88" s="6">
        <v>3429001</v>
      </c>
      <c r="D88" s="6" t="s">
        <v>844</v>
      </c>
      <c r="E88" s="938" t="s">
        <v>1403</v>
      </c>
      <c r="F88" s="6"/>
      <c r="G88" s="1">
        <v>15062</v>
      </c>
      <c r="H88" s="1" t="s">
        <v>311</v>
      </c>
      <c r="I88" s="1" t="s">
        <v>1421</v>
      </c>
      <c r="J88" s="245" t="str">
        <f t="shared" si="7"/>
        <v>GW</v>
      </c>
      <c r="K88" s="245">
        <f t="shared" si="8"/>
        <v>0</v>
      </c>
      <c r="L88" s="245">
        <f t="shared" si="9"/>
        <v>0</v>
      </c>
      <c r="M88" s="249">
        <f t="shared" si="12"/>
        <v>2.1339999999999999</v>
      </c>
      <c r="N88" s="720">
        <v>0</v>
      </c>
      <c r="O88" s="247">
        <f t="shared" si="10"/>
        <v>2.1339999999999999</v>
      </c>
      <c r="P88" s="248">
        <f t="shared" si="11"/>
        <v>0</v>
      </c>
    </row>
    <row r="89" spans="1:17" s="172" customFormat="1" ht="15" customHeight="1" thickBot="1" x14ac:dyDescent="0.25">
      <c r="A89" s="186" t="s">
        <v>1103</v>
      </c>
      <c r="B89" s="819" t="s">
        <v>1331</v>
      </c>
      <c r="C89" s="186">
        <v>3284701</v>
      </c>
      <c r="D89" s="6" t="s">
        <v>915</v>
      </c>
      <c r="E89" s="938" t="s">
        <v>1403</v>
      </c>
      <c r="F89" s="186" t="s">
        <v>916</v>
      </c>
      <c r="G89" s="186">
        <v>73632</v>
      </c>
      <c r="H89" s="186" t="s">
        <v>878</v>
      </c>
      <c r="I89" s="186" t="s">
        <v>1423</v>
      </c>
      <c r="J89" s="820" t="str">
        <f>IF(ISNA(VLOOKUP(B89,cngdata,7,FALSE)),"na",VLOOKUP(B89,cngdata,7,FALSE))</f>
        <v>GW</v>
      </c>
      <c r="K89" s="820">
        <f>IF(ISNA(VLOOKUP(B89,cngdata,13,FALSE)),"na",VLOOKUP(B89,cngdata,13,FALSE))</f>
        <v>0</v>
      </c>
      <c r="L89" s="820">
        <f>IF(ISNA(VLOOKUP(B89,cngdata,14,FALSE)),0,VLOOKUP(B89,cngdata,14,FALSE))</f>
        <v>0</v>
      </c>
      <c r="M89" s="821">
        <f>M$2*99%</f>
        <v>2.1779999999999999</v>
      </c>
      <c r="N89" s="186">
        <v>0</v>
      </c>
      <c r="O89" s="822">
        <f>M89-N89</f>
        <v>2.1779999999999999</v>
      </c>
      <c r="P89" s="823">
        <f>L89*O89</f>
        <v>0</v>
      </c>
      <c r="Q89" s="172" t="s">
        <v>2062</v>
      </c>
    </row>
    <row r="90" spans="1:17" ht="15" customHeight="1" thickBot="1" x14ac:dyDescent="0.25">
      <c r="A90" s="1" t="s">
        <v>32</v>
      </c>
      <c r="B90" s="1" t="s">
        <v>33</v>
      </c>
      <c r="C90" s="224">
        <v>2096101</v>
      </c>
      <c r="D90" s="6" t="s">
        <v>34</v>
      </c>
      <c r="E90" s="938" t="s">
        <v>1403</v>
      </c>
      <c r="F90" s="1" t="s">
        <v>34</v>
      </c>
      <c r="G90" s="224">
        <v>211174</v>
      </c>
      <c r="H90" s="224"/>
      <c r="I90" s="252" t="s">
        <v>168</v>
      </c>
      <c r="J90" s="245" t="str">
        <f>IF(ISNA(VLOOKUP(B90,cngdata,7,FALSE)),"na",VLOOKUP(B90,cngdata,7,FALSE))</f>
        <v>GD</v>
      </c>
      <c r="K90" s="245">
        <f>IF(ISNA(VLOOKUP(B90,cngdata,13,FALSE)),"na",VLOOKUP(B90,cngdata,13,FALSE))</f>
        <v>0</v>
      </c>
      <c r="L90" s="245">
        <f>IF(ISNA(VLOOKUP(B90,cngdata,14,FALSE)),0,VLOOKUP(B90,cngdata,14,FALSE))</f>
        <v>0</v>
      </c>
      <c r="M90" s="249">
        <f>$M$2</f>
        <v>2.2000000000000002</v>
      </c>
      <c r="N90" s="720">
        <v>0</v>
      </c>
      <c r="O90" s="247">
        <f>M90-N90</f>
        <v>2.2000000000000002</v>
      </c>
      <c r="P90" s="248">
        <f>L90*O90</f>
        <v>0</v>
      </c>
    </row>
    <row r="91" spans="1:17" ht="15" customHeight="1" thickBot="1" x14ac:dyDescent="0.25">
      <c r="A91" s="1" t="s">
        <v>32</v>
      </c>
      <c r="B91" t="s">
        <v>255</v>
      </c>
      <c r="C91">
        <v>2159601</v>
      </c>
      <c r="D91" s="6" t="s">
        <v>34</v>
      </c>
      <c r="E91" s="938" t="s">
        <v>1403</v>
      </c>
      <c r="F91" s="1" t="s">
        <v>34</v>
      </c>
      <c r="G91" s="224">
        <v>211174</v>
      </c>
      <c r="H91" s="224"/>
      <c r="I91" s="252" t="s">
        <v>168</v>
      </c>
      <c r="J91" s="245" t="str">
        <f t="shared" si="7"/>
        <v>GD</v>
      </c>
      <c r="K91" s="245">
        <f t="shared" si="8"/>
        <v>0</v>
      </c>
      <c r="L91" s="245">
        <f t="shared" si="9"/>
        <v>0</v>
      </c>
      <c r="M91" s="249">
        <f>$M$2</f>
        <v>2.2000000000000002</v>
      </c>
      <c r="N91" s="720">
        <v>0</v>
      </c>
      <c r="O91" s="247">
        <f t="shared" si="10"/>
        <v>2.2000000000000002</v>
      </c>
      <c r="P91" s="248">
        <f t="shared" si="11"/>
        <v>0</v>
      </c>
    </row>
    <row r="92" spans="1:17" ht="15" customHeight="1" thickBot="1" x14ac:dyDescent="0.25">
      <c r="A92" s="1" t="s">
        <v>21</v>
      </c>
      <c r="B92" s="1" t="s">
        <v>139</v>
      </c>
      <c r="C92" s="224">
        <v>4333601</v>
      </c>
      <c r="D92" s="6" t="s">
        <v>180</v>
      </c>
      <c r="E92" s="938" t="s">
        <v>1403</v>
      </c>
      <c r="F92" s="1" t="s">
        <v>180</v>
      </c>
      <c r="G92" s="224">
        <v>212194</v>
      </c>
      <c r="H92" s="224"/>
      <c r="I92" s="224" t="s">
        <v>1823</v>
      </c>
      <c r="J92" s="245" t="str">
        <f t="shared" si="7"/>
        <v>na</v>
      </c>
      <c r="K92" s="245" t="str">
        <f t="shared" si="8"/>
        <v>na</v>
      </c>
      <c r="L92" s="245">
        <f t="shared" si="9"/>
        <v>0</v>
      </c>
      <c r="M92" s="249">
        <f>$M$2+0.01</f>
        <v>2.21</v>
      </c>
      <c r="N92" s="720">
        <v>0</v>
      </c>
      <c r="O92" s="247">
        <f t="shared" si="10"/>
        <v>2.21</v>
      </c>
      <c r="P92" s="248">
        <f t="shared" si="11"/>
        <v>0</v>
      </c>
    </row>
    <row r="93" spans="1:17" ht="15" customHeight="1" thickBot="1" x14ac:dyDescent="0.25">
      <c r="A93" s="1" t="s">
        <v>122</v>
      </c>
      <c r="B93" s="1" t="s">
        <v>123</v>
      </c>
      <c r="C93" s="224">
        <v>4085901</v>
      </c>
      <c r="D93" s="6" t="s">
        <v>42</v>
      </c>
      <c r="E93" s="938" t="s">
        <v>1403</v>
      </c>
      <c r="F93" s="1" t="s">
        <v>42</v>
      </c>
      <c r="G93" s="224" t="s">
        <v>1403</v>
      </c>
      <c r="H93" s="224"/>
      <c r="I93" s="224" t="s">
        <v>1403</v>
      </c>
      <c r="J93" s="245" t="str">
        <f t="shared" si="7"/>
        <v>GW</v>
      </c>
      <c r="K93" s="245">
        <f t="shared" si="8"/>
        <v>0</v>
      </c>
      <c r="L93" s="245">
        <f t="shared" si="9"/>
        <v>0</v>
      </c>
      <c r="M93" s="249">
        <f>$M$2</f>
        <v>2.2000000000000002</v>
      </c>
      <c r="N93" s="720">
        <v>0</v>
      </c>
      <c r="O93" s="247">
        <f t="shared" si="10"/>
        <v>2.2000000000000002</v>
      </c>
      <c r="P93" s="764">
        <f t="shared" si="11"/>
        <v>0</v>
      </c>
    </row>
    <row r="94" spans="1:17" ht="15" customHeight="1" thickBot="1" x14ac:dyDescent="0.25">
      <c r="A94" s="1" t="s">
        <v>40</v>
      </c>
      <c r="B94" s="1" t="s">
        <v>64</v>
      </c>
      <c r="C94" s="224">
        <v>3139001</v>
      </c>
      <c r="D94" s="6" t="s">
        <v>42</v>
      </c>
      <c r="E94" s="938" t="s">
        <v>1403</v>
      </c>
      <c r="F94" s="1" t="s">
        <v>42</v>
      </c>
      <c r="G94" s="224" t="s">
        <v>1403</v>
      </c>
      <c r="H94" s="224"/>
      <c r="I94" s="224" t="s">
        <v>1403</v>
      </c>
      <c r="J94" s="245" t="str">
        <f t="shared" si="7"/>
        <v>GW</v>
      </c>
      <c r="K94" s="245">
        <f t="shared" si="8"/>
        <v>0</v>
      </c>
      <c r="L94" s="245">
        <f t="shared" si="9"/>
        <v>0</v>
      </c>
      <c r="M94" s="249">
        <f>$M$2</f>
        <v>2.2000000000000002</v>
      </c>
      <c r="N94" s="720">
        <v>0</v>
      </c>
      <c r="O94" s="247">
        <f t="shared" si="10"/>
        <v>2.2000000000000002</v>
      </c>
      <c r="P94" s="764">
        <f t="shared" si="11"/>
        <v>0</v>
      </c>
    </row>
    <row r="95" spans="1:17" ht="15" customHeight="1" thickBot="1" x14ac:dyDescent="0.25">
      <c r="A95" s="1" t="s">
        <v>40</v>
      </c>
      <c r="B95" s="1" t="s">
        <v>41</v>
      </c>
      <c r="C95" s="224">
        <v>3017201</v>
      </c>
      <c r="D95" s="6" t="s">
        <v>42</v>
      </c>
      <c r="E95" s="938" t="s">
        <v>1403</v>
      </c>
      <c r="F95" s="1" t="s">
        <v>42</v>
      </c>
      <c r="G95" s="224" t="s">
        <v>1403</v>
      </c>
      <c r="H95" s="224"/>
      <c r="I95" s="224" t="s">
        <v>1403</v>
      </c>
      <c r="J95" s="245" t="str">
        <f t="shared" si="7"/>
        <v>GW</v>
      </c>
      <c r="K95" s="245">
        <f t="shared" si="8"/>
        <v>0</v>
      </c>
      <c r="L95" s="245">
        <f t="shared" si="9"/>
        <v>0</v>
      </c>
      <c r="M95" s="249">
        <f>$M$2</f>
        <v>2.2000000000000002</v>
      </c>
      <c r="N95" s="720">
        <v>0</v>
      </c>
      <c r="O95" s="247">
        <f t="shared" si="10"/>
        <v>2.2000000000000002</v>
      </c>
      <c r="P95" s="248">
        <f t="shared" si="11"/>
        <v>0</v>
      </c>
    </row>
    <row r="96" spans="1:17" ht="15" customHeight="1" thickBot="1" x14ac:dyDescent="0.25">
      <c r="A96" s="6" t="s">
        <v>1377</v>
      </c>
      <c r="B96" s="336" t="s">
        <v>1378</v>
      </c>
      <c r="C96" s="6">
        <v>3134901</v>
      </c>
      <c r="D96" s="941" t="s">
        <v>1871</v>
      </c>
      <c r="E96" s="942">
        <v>37256</v>
      </c>
      <c r="F96" s="250" t="s">
        <v>1691</v>
      </c>
      <c r="G96" s="250">
        <v>2414</v>
      </c>
      <c r="H96" s="250" t="s">
        <v>830</v>
      </c>
      <c r="I96" s="244" t="s">
        <v>1990</v>
      </c>
      <c r="J96" s="430" t="str">
        <f t="shared" si="7"/>
        <v>TD</v>
      </c>
      <c r="K96" s="430">
        <f t="shared" si="8"/>
        <v>0</v>
      </c>
      <c r="L96" s="430">
        <f t="shared" si="9"/>
        <v>0</v>
      </c>
      <c r="M96" s="670">
        <f>+CNGPricing!$H$79</f>
        <v>5.8</v>
      </c>
      <c r="N96" s="720">
        <v>0</v>
      </c>
      <c r="O96" s="247">
        <f t="shared" si="10"/>
        <v>5.8</v>
      </c>
      <c r="P96" s="248">
        <f t="shared" si="11"/>
        <v>0</v>
      </c>
    </row>
    <row r="97" spans="1:16" ht="15" customHeight="1" thickBot="1" x14ac:dyDescent="0.25">
      <c r="A97" s="1" t="s">
        <v>1075</v>
      </c>
      <c r="B97" s="1" t="s">
        <v>1870</v>
      </c>
      <c r="C97" s="1">
        <v>4132101</v>
      </c>
      <c r="D97" s="941" t="s">
        <v>1871</v>
      </c>
      <c r="E97" s="942">
        <v>37256</v>
      </c>
      <c r="F97" s="250"/>
      <c r="G97" s="185">
        <v>375319</v>
      </c>
      <c r="H97" s="185"/>
      <c r="I97" s="216" t="s">
        <v>1991</v>
      </c>
      <c r="J97" s="430" t="str">
        <f t="shared" si="7"/>
        <v>GD</v>
      </c>
      <c r="K97" s="430">
        <f t="shared" si="8"/>
        <v>0</v>
      </c>
      <c r="L97" s="430">
        <f t="shared" si="9"/>
        <v>0</v>
      </c>
      <c r="M97" s="670">
        <f>+CNGPricing!$H$79</f>
        <v>5.8</v>
      </c>
      <c r="N97" s="720">
        <v>0</v>
      </c>
      <c r="O97" s="247">
        <f t="shared" ref="O97:O103" si="13">M97-N97</f>
        <v>5.8</v>
      </c>
      <c r="P97" s="248">
        <f t="shared" ref="P97:P103" si="14">L97*O97</f>
        <v>0</v>
      </c>
    </row>
    <row r="98" spans="1:16" ht="15" customHeight="1" thickBot="1" x14ac:dyDescent="0.25">
      <c r="A98" s="1" t="s">
        <v>1075</v>
      </c>
      <c r="B98" s="1" t="s">
        <v>1872</v>
      </c>
      <c r="C98" s="1">
        <v>4132201</v>
      </c>
      <c r="D98" s="941" t="s">
        <v>1871</v>
      </c>
      <c r="E98" s="942">
        <v>37256</v>
      </c>
      <c r="F98" s="250"/>
      <c r="G98" s="185">
        <v>375319</v>
      </c>
      <c r="H98" s="185"/>
      <c r="I98" s="216" t="s">
        <v>1991</v>
      </c>
      <c r="J98" s="430" t="str">
        <f t="shared" si="7"/>
        <v>GD</v>
      </c>
      <c r="K98" s="430">
        <f t="shared" si="8"/>
        <v>0</v>
      </c>
      <c r="L98" s="430">
        <f t="shared" si="9"/>
        <v>0</v>
      </c>
      <c r="M98" s="670">
        <f>+CNGPricing!$H$79</f>
        <v>5.8</v>
      </c>
      <c r="N98" s="720">
        <v>0</v>
      </c>
      <c r="O98" s="247">
        <f t="shared" si="13"/>
        <v>5.8</v>
      </c>
      <c r="P98" s="248">
        <f t="shared" si="14"/>
        <v>0</v>
      </c>
    </row>
    <row r="99" spans="1:16" ht="15" customHeight="1" thickBot="1" x14ac:dyDescent="0.25">
      <c r="A99" s="1" t="s">
        <v>1075</v>
      </c>
      <c r="B99" s="1" t="s">
        <v>1873</v>
      </c>
      <c r="C99" s="1">
        <v>4134301</v>
      </c>
      <c r="D99" s="941" t="s">
        <v>1871</v>
      </c>
      <c r="E99" s="942">
        <v>37256</v>
      </c>
      <c r="F99" s="250"/>
      <c r="G99" s="185">
        <v>375319</v>
      </c>
      <c r="H99" s="185"/>
      <c r="I99" s="216" t="s">
        <v>1991</v>
      </c>
      <c r="J99" s="430" t="str">
        <f t="shared" si="7"/>
        <v>GD</v>
      </c>
      <c r="K99" s="430">
        <f t="shared" si="8"/>
        <v>0</v>
      </c>
      <c r="L99" s="430">
        <f t="shared" si="9"/>
        <v>0</v>
      </c>
      <c r="M99" s="670">
        <f>+CNGPricing!$H$79</f>
        <v>5.8</v>
      </c>
      <c r="N99" s="720">
        <v>0</v>
      </c>
      <c r="O99" s="247">
        <f t="shared" si="13"/>
        <v>5.8</v>
      </c>
      <c r="P99" s="248">
        <f t="shared" si="14"/>
        <v>0</v>
      </c>
    </row>
    <row r="100" spans="1:16" ht="15" customHeight="1" thickBot="1" x14ac:dyDescent="0.25">
      <c r="A100" s="1" t="s">
        <v>1075</v>
      </c>
      <c r="B100" s="1" t="s">
        <v>1874</v>
      </c>
      <c r="C100" s="1">
        <v>4137901</v>
      </c>
      <c r="D100" s="941" t="s">
        <v>1871</v>
      </c>
      <c r="E100" s="942">
        <v>37256</v>
      </c>
      <c r="F100" s="250"/>
      <c r="G100" s="185">
        <v>375319</v>
      </c>
      <c r="H100" s="185"/>
      <c r="I100" s="216" t="s">
        <v>1991</v>
      </c>
      <c r="J100" s="430" t="str">
        <f t="shared" si="7"/>
        <v>GD</v>
      </c>
      <c r="K100" s="430">
        <f t="shared" si="8"/>
        <v>0</v>
      </c>
      <c r="L100" s="430">
        <f t="shared" si="9"/>
        <v>0</v>
      </c>
      <c r="M100" s="670">
        <f>+CNGPricing!$H$79</f>
        <v>5.8</v>
      </c>
      <c r="N100" s="720">
        <v>0</v>
      </c>
      <c r="O100" s="247">
        <f t="shared" si="13"/>
        <v>5.8</v>
      </c>
      <c r="P100" s="248">
        <f t="shared" si="14"/>
        <v>0</v>
      </c>
    </row>
    <row r="101" spans="1:16" ht="15" customHeight="1" thickBot="1" x14ac:dyDescent="0.25">
      <c r="A101" s="1" t="s">
        <v>1075</v>
      </c>
      <c r="B101" s="1" t="s">
        <v>1875</v>
      </c>
      <c r="C101" s="1">
        <v>4235001</v>
      </c>
      <c r="D101" s="941" t="s">
        <v>1871</v>
      </c>
      <c r="E101" s="942">
        <v>37256</v>
      </c>
      <c r="F101" s="250"/>
      <c r="G101" s="185">
        <v>375319</v>
      </c>
      <c r="H101" s="185"/>
      <c r="I101" s="216" t="s">
        <v>1991</v>
      </c>
      <c r="J101" s="430" t="str">
        <f t="shared" si="7"/>
        <v>GD</v>
      </c>
      <c r="K101" s="430">
        <f t="shared" si="8"/>
        <v>0</v>
      </c>
      <c r="L101" s="430">
        <f t="shared" si="9"/>
        <v>0</v>
      </c>
      <c r="M101" s="670">
        <f>+CNGPricing!$H$79</f>
        <v>5.8</v>
      </c>
      <c r="N101" s="720">
        <v>0</v>
      </c>
      <c r="O101" s="247">
        <f t="shared" si="13"/>
        <v>5.8</v>
      </c>
      <c r="P101" s="248">
        <f t="shared" si="14"/>
        <v>0</v>
      </c>
    </row>
    <row r="102" spans="1:16" ht="15" customHeight="1" thickBot="1" x14ac:dyDescent="0.25">
      <c r="A102" t="s">
        <v>1075</v>
      </c>
      <c r="B102" t="s">
        <v>910</v>
      </c>
      <c r="C102">
        <v>4370801</v>
      </c>
      <c r="D102" s="941" t="s">
        <v>1871</v>
      </c>
      <c r="E102" s="942">
        <v>37256</v>
      </c>
      <c r="F102" s="250"/>
      <c r="G102" s="185">
        <v>375319</v>
      </c>
      <c r="H102" s="185"/>
      <c r="I102" s="216" t="s">
        <v>1991</v>
      </c>
      <c r="J102" s="430" t="str">
        <f>IF(ISNA(VLOOKUP(B102,cngdata,7,FALSE)),"na",VLOOKUP(B102,cngdata,7,FALSE))</f>
        <v>GD</v>
      </c>
      <c r="K102" s="430">
        <f t="shared" si="8"/>
        <v>0</v>
      </c>
      <c r="L102" s="430">
        <f t="shared" si="9"/>
        <v>0</v>
      </c>
      <c r="M102" s="670">
        <f>+CNGPricing!$H$79</f>
        <v>5.8</v>
      </c>
      <c r="N102" s="720">
        <v>0</v>
      </c>
      <c r="O102" s="247">
        <f t="shared" si="13"/>
        <v>5.8</v>
      </c>
      <c r="P102" s="248">
        <f t="shared" si="14"/>
        <v>0</v>
      </c>
    </row>
    <row r="103" spans="1:16" ht="15" customHeight="1" thickBot="1" x14ac:dyDescent="0.25">
      <c r="A103" t="s">
        <v>1084</v>
      </c>
      <c r="B103" t="s">
        <v>911</v>
      </c>
      <c r="C103">
        <v>4370901</v>
      </c>
      <c r="D103" s="941" t="s">
        <v>1871</v>
      </c>
      <c r="E103" s="942">
        <v>37256</v>
      </c>
      <c r="F103" s="250"/>
      <c r="G103" s="185">
        <v>375319</v>
      </c>
      <c r="H103" s="185"/>
      <c r="I103" s="216" t="s">
        <v>1991</v>
      </c>
      <c r="J103" s="430" t="str">
        <f>IF(ISNA(VLOOKUP(B103,cngdata,7,FALSE)),"na",VLOOKUP(B103,cngdata,7,FALSE))</f>
        <v>GW</v>
      </c>
      <c r="K103" s="430">
        <f t="shared" si="8"/>
        <v>0</v>
      </c>
      <c r="L103" s="430">
        <f t="shared" si="9"/>
        <v>0</v>
      </c>
      <c r="M103" s="670">
        <f>+CNGPricing!$H$79</f>
        <v>5.8</v>
      </c>
      <c r="N103" s="720">
        <v>0</v>
      </c>
      <c r="O103" s="247">
        <f t="shared" si="13"/>
        <v>5.8</v>
      </c>
      <c r="P103" s="248">
        <f t="shared" si="14"/>
        <v>0</v>
      </c>
    </row>
    <row r="104" spans="1:16" ht="15" customHeight="1" thickBot="1" x14ac:dyDescent="0.25">
      <c r="A104" t="s">
        <v>1075</v>
      </c>
      <c r="B104" t="s">
        <v>2280</v>
      </c>
      <c r="C104">
        <v>4371201</v>
      </c>
      <c r="D104" s="941" t="s">
        <v>1871</v>
      </c>
      <c r="E104" s="942">
        <v>37256</v>
      </c>
      <c r="F104" s="250"/>
      <c r="G104" s="185">
        <v>375319</v>
      </c>
      <c r="H104" s="185"/>
      <c r="I104" s="216" t="s">
        <v>1991</v>
      </c>
      <c r="J104" s="430" t="str">
        <f>IF(ISNA(VLOOKUP(B104,cngdata,7,FALSE)),"na",VLOOKUP(B104,cngdata,7,FALSE))</f>
        <v>GD</v>
      </c>
      <c r="K104" s="430">
        <f t="shared" si="8"/>
        <v>0</v>
      </c>
      <c r="L104" s="430">
        <f t="shared" si="9"/>
        <v>0</v>
      </c>
      <c r="M104" s="670">
        <f>+CNGPricing!$H$79</f>
        <v>5.8</v>
      </c>
      <c r="N104" s="720">
        <v>0</v>
      </c>
      <c r="O104" s="247">
        <f>M104-N104</f>
        <v>5.8</v>
      </c>
      <c r="P104" s="248">
        <f>L104*O104</f>
        <v>0</v>
      </c>
    </row>
    <row r="105" spans="1:16" ht="15" customHeight="1" thickBot="1" x14ac:dyDescent="0.25">
      <c r="A105" t="s">
        <v>1075</v>
      </c>
      <c r="B105" t="s">
        <v>947</v>
      </c>
      <c r="C105">
        <v>4371701</v>
      </c>
      <c r="D105" s="941" t="s">
        <v>1871</v>
      </c>
      <c r="E105" s="942">
        <v>37256</v>
      </c>
      <c r="F105" s="250"/>
      <c r="G105" s="185">
        <v>375319</v>
      </c>
      <c r="H105" s="185"/>
      <c r="I105" s="216" t="s">
        <v>1991</v>
      </c>
      <c r="J105" s="430" t="str">
        <f>IF(ISNA(VLOOKUP(B105,cngdata,7,FALSE)),"na",VLOOKUP(B105,cngdata,7,FALSE))</f>
        <v>GD</v>
      </c>
      <c r="K105" s="430">
        <f>IF(ISNA(VLOOKUP(B105,cngdata,13,FALSE)),"na",VLOOKUP(B105,cngdata,13,FALSE))</f>
        <v>0</v>
      </c>
      <c r="L105" s="430">
        <f t="shared" si="9"/>
        <v>0</v>
      </c>
      <c r="M105" s="670">
        <f>+CNGPricing!$H$79</f>
        <v>5.8</v>
      </c>
      <c r="N105" s="720">
        <v>0</v>
      </c>
      <c r="O105" s="247">
        <f>M105-N105</f>
        <v>5.8</v>
      </c>
      <c r="P105" s="248">
        <f>L105*O105</f>
        <v>0</v>
      </c>
    </row>
    <row r="106" spans="1:16" ht="15" customHeight="1" thickBot="1" x14ac:dyDescent="0.25">
      <c r="A106" t="s">
        <v>2091</v>
      </c>
      <c r="B106" t="s">
        <v>551</v>
      </c>
      <c r="C106">
        <v>4373001</v>
      </c>
      <c r="D106" s="941" t="s">
        <v>1871</v>
      </c>
      <c r="E106" s="942">
        <v>37256</v>
      </c>
      <c r="F106" s="250"/>
      <c r="G106" s="185">
        <v>375319</v>
      </c>
      <c r="H106" s="185"/>
      <c r="I106" s="216" t="s">
        <v>1991</v>
      </c>
      <c r="J106" s="430" t="str">
        <f>IF(ISNA(VLOOKUP(B106,cngdata,7,FALSE)),"na",VLOOKUP(B106,cngdata,7,FALSE))</f>
        <v>GD</v>
      </c>
      <c r="K106" s="430">
        <f t="shared" si="8"/>
        <v>0</v>
      </c>
      <c r="L106" s="430">
        <f t="shared" si="9"/>
        <v>0</v>
      </c>
      <c r="M106" s="670">
        <f>+CNGPricing!$H$79</f>
        <v>5.8</v>
      </c>
      <c r="N106" s="720">
        <v>0</v>
      </c>
      <c r="O106" s="247">
        <f>M106-N106</f>
        <v>5.8</v>
      </c>
      <c r="P106" s="248">
        <f>L106*O106</f>
        <v>0</v>
      </c>
    </row>
    <row r="107" spans="1:16" ht="15" customHeight="1" thickBot="1" x14ac:dyDescent="0.25">
      <c r="A107" s="6" t="s">
        <v>1103</v>
      </c>
      <c r="B107" s="336" t="s">
        <v>1274</v>
      </c>
      <c r="C107" s="6">
        <v>3050201</v>
      </c>
      <c r="D107" s="941" t="s">
        <v>846</v>
      </c>
      <c r="E107" s="942">
        <v>37255</v>
      </c>
      <c r="F107" s="6"/>
      <c r="G107" s="1">
        <v>20934</v>
      </c>
      <c r="H107" s="1" t="s">
        <v>847</v>
      </c>
      <c r="I107" s="1" t="s">
        <v>527</v>
      </c>
      <c r="J107" s="245" t="str">
        <f t="shared" si="7"/>
        <v>GW</v>
      </c>
      <c r="K107" s="245">
        <f t="shared" si="8"/>
        <v>0</v>
      </c>
      <c r="L107" s="245">
        <f t="shared" si="9"/>
        <v>0</v>
      </c>
      <c r="M107" s="249">
        <f>M$3*99%</f>
        <v>2.1384000000000003</v>
      </c>
      <c r="N107" s="720">
        <v>0</v>
      </c>
      <c r="O107" s="247">
        <f t="shared" si="10"/>
        <v>2.1384000000000003</v>
      </c>
      <c r="P107" s="248">
        <f t="shared" ref="P107:P145" si="15">L107*O107</f>
        <v>0</v>
      </c>
    </row>
    <row r="108" spans="1:16" ht="15" customHeight="1" thickBot="1" x14ac:dyDescent="0.25">
      <c r="A108" s="6" t="s">
        <v>1103</v>
      </c>
      <c r="B108" s="336" t="s">
        <v>1276</v>
      </c>
      <c r="C108" s="6">
        <v>3053201</v>
      </c>
      <c r="D108" s="941" t="s">
        <v>846</v>
      </c>
      <c r="E108" s="942">
        <v>37255</v>
      </c>
      <c r="F108" s="6"/>
      <c r="G108" s="1">
        <v>20934</v>
      </c>
      <c r="H108" s="1" t="s">
        <v>847</v>
      </c>
      <c r="I108" s="1" t="s">
        <v>527</v>
      </c>
      <c r="J108" s="245" t="str">
        <f t="shared" si="7"/>
        <v>GW</v>
      </c>
      <c r="K108" s="245">
        <f t="shared" si="8"/>
        <v>0</v>
      </c>
      <c r="L108" s="245">
        <f t="shared" si="9"/>
        <v>0</v>
      </c>
      <c r="M108" s="249">
        <f>M$3*99%</f>
        <v>2.1384000000000003</v>
      </c>
      <c r="N108" s="720">
        <v>0</v>
      </c>
      <c r="O108" s="247">
        <f t="shared" si="10"/>
        <v>2.1384000000000003</v>
      </c>
      <c r="P108" s="248">
        <f t="shared" si="15"/>
        <v>0</v>
      </c>
    </row>
    <row r="109" spans="1:16" ht="15" customHeight="1" thickBot="1" x14ac:dyDescent="0.25">
      <c r="A109" s="6" t="s">
        <v>1103</v>
      </c>
      <c r="B109" s="336" t="s">
        <v>1277</v>
      </c>
      <c r="C109" s="6">
        <v>3329801</v>
      </c>
      <c r="D109" s="941" t="s">
        <v>848</v>
      </c>
      <c r="E109" s="942">
        <v>37255</v>
      </c>
      <c r="F109" s="6"/>
      <c r="G109" s="1">
        <v>20934</v>
      </c>
      <c r="H109" s="1" t="s">
        <v>847</v>
      </c>
      <c r="I109" s="1" t="s">
        <v>527</v>
      </c>
      <c r="J109" s="245" t="str">
        <f t="shared" si="7"/>
        <v>GW</v>
      </c>
      <c r="K109" s="245">
        <f t="shared" si="8"/>
        <v>0</v>
      </c>
      <c r="L109" s="245">
        <f t="shared" si="9"/>
        <v>0</v>
      </c>
      <c r="M109" s="249">
        <f>M$3*99%</f>
        <v>2.1384000000000003</v>
      </c>
      <c r="N109" s="720">
        <v>0</v>
      </c>
      <c r="O109" s="247">
        <f t="shared" si="10"/>
        <v>2.1384000000000003</v>
      </c>
      <c r="P109" s="248">
        <f t="shared" si="15"/>
        <v>0</v>
      </c>
    </row>
    <row r="110" spans="1:16" ht="15" customHeight="1" thickBot="1" x14ac:dyDescent="0.25">
      <c r="A110" s="6" t="s">
        <v>831</v>
      </c>
      <c r="B110" s="336" t="s">
        <v>849</v>
      </c>
      <c r="C110" s="6" t="s">
        <v>831</v>
      </c>
      <c r="D110" s="6" t="s">
        <v>850</v>
      </c>
      <c r="E110" s="938" t="s">
        <v>1403</v>
      </c>
      <c r="F110" s="6"/>
      <c r="G110" s="1">
        <v>21579</v>
      </c>
      <c r="H110" s="1" t="s">
        <v>851</v>
      </c>
      <c r="I110" s="1" t="s">
        <v>259</v>
      </c>
      <c r="J110" s="245" t="str">
        <f t="shared" si="7"/>
        <v>na</v>
      </c>
      <c r="K110" s="245" t="str">
        <f t="shared" si="8"/>
        <v>na</v>
      </c>
      <c r="L110" s="245">
        <f t="shared" si="9"/>
        <v>0</v>
      </c>
      <c r="M110" s="249">
        <f>M$2-0.08</f>
        <v>2.12</v>
      </c>
      <c r="N110" s="720">
        <v>0</v>
      </c>
      <c r="O110" s="247">
        <f t="shared" si="10"/>
        <v>2.12</v>
      </c>
      <c r="P110" s="248">
        <f t="shared" si="15"/>
        <v>0</v>
      </c>
    </row>
    <row r="111" spans="1:16" ht="15" customHeight="1" thickBot="1" x14ac:dyDescent="0.25">
      <c r="A111" s="6" t="s">
        <v>831</v>
      </c>
      <c r="B111" s="336" t="s">
        <v>852</v>
      </c>
      <c r="C111" s="6" t="s">
        <v>831</v>
      </c>
      <c r="D111" s="6" t="s">
        <v>850</v>
      </c>
      <c r="E111" s="938" t="s">
        <v>1403</v>
      </c>
      <c r="F111" s="6"/>
      <c r="G111" s="1">
        <v>21579</v>
      </c>
      <c r="H111" s="1" t="s">
        <v>851</v>
      </c>
      <c r="I111" s="1" t="s">
        <v>259</v>
      </c>
      <c r="J111" s="245" t="str">
        <f t="shared" si="7"/>
        <v>na</v>
      </c>
      <c r="K111" s="245" t="str">
        <f t="shared" si="8"/>
        <v>na</v>
      </c>
      <c r="L111" s="245">
        <f t="shared" si="9"/>
        <v>0</v>
      </c>
      <c r="M111" s="249">
        <f>M$2-0.08</f>
        <v>2.12</v>
      </c>
      <c r="N111" s="720">
        <v>0</v>
      </c>
      <c r="O111" s="247">
        <f t="shared" si="10"/>
        <v>2.12</v>
      </c>
      <c r="P111" s="248">
        <f t="shared" si="15"/>
        <v>0</v>
      </c>
    </row>
    <row r="112" spans="1:16" ht="15" customHeight="1" thickBot="1" x14ac:dyDescent="0.25">
      <c r="A112" s="6" t="s">
        <v>1103</v>
      </c>
      <c r="B112" s="336" t="s">
        <v>1178</v>
      </c>
      <c r="C112" s="6" t="s">
        <v>1179</v>
      </c>
      <c r="D112" s="6" t="s">
        <v>853</v>
      </c>
      <c r="E112" s="938" t="s">
        <v>1403</v>
      </c>
      <c r="F112" s="6"/>
      <c r="G112" s="1">
        <v>22956</v>
      </c>
      <c r="H112" s="1" t="s">
        <v>371</v>
      </c>
      <c r="I112" s="1" t="s">
        <v>1427</v>
      </c>
      <c r="J112" s="245" t="str">
        <f t="shared" si="7"/>
        <v>GW</v>
      </c>
      <c r="K112" s="245">
        <f t="shared" si="8"/>
        <v>0</v>
      </c>
      <c r="L112" s="245">
        <f t="shared" si="9"/>
        <v>0</v>
      </c>
      <c r="M112" s="249">
        <f>M$2*98%</f>
        <v>2.1560000000000001</v>
      </c>
      <c r="N112" s="720">
        <v>0</v>
      </c>
      <c r="O112" s="247">
        <f t="shared" si="10"/>
        <v>2.1560000000000001</v>
      </c>
      <c r="P112" s="248">
        <f t="shared" si="15"/>
        <v>0</v>
      </c>
    </row>
    <row r="113" spans="1:16" ht="15" customHeight="1" thickBot="1" x14ac:dyDescent="0.25">
      <c r="A113" s="1" t="s">
        <v>147</v>
      </c>
      <c r="B113" s="1" t="s">
        <v>150</v>
      </c>
      <c r="C113" s="224">
        <v>5105901</v>
      </c>
      <c r="D113" s="6" t="s">
        <v>149</v>
      </c>
      <c r="E113" s="938" t="s">
        <v>1403</v>
      </c>
      <c r="F113" s="250" t="s">
        <v>149</v>
      </c>
      <c r="G113" s="185">
        <v>226742</v>
      </c>
      <c r="H113" s="185"/>
      <c r="I113" s="185" t="s">
        <v>181</v>
      </c>
      <c r="J113" s="430" t="str">
        <f t="shared" si="7"/>
        <v>na</v>
      </c>
      <c r="K113" s="245" t="str">
        <f t="shared" si="8"/>
        <v>na</v>
      </c>
      <c r="L113" s="245">
        <f t="shared" si="9"/>
        <v>0</v>
      </c>
      <c r="M113" s="413">
        <f>+CNGPricing!$H$88</f>
        <v>3.03</v>
      </c>
      <c r="N113" s="720">
        <v>0</v>
      </c>
      <c r="O113" s="247">
        <f t="shared" si="10"/>
        <v>3.03</v>
      </c>
      <c r="P113" s="248">
        <f t="shared" si="15"/>
        <v>0</v>
      </c>
    </row>
    <row r="114" spans="1:16" ht="15" customHeight="1" thickBot="1" x14ac:dyDescent="0.25">
      <c r="A114" s="1" t="s">
        <v>147</v>
      </c>
      <c r="B114" s="1" t="s">
        <v>151</v>
      </c>
      <c r="C114" s="224">
        <v>5118301</v>
      </c>
      <c r="D114" s="6" t="s">
        <v>149</v>
      </c>
      <c r="E114" s="938" t="s">
        <v>1403</v>
      </c>
      <c r="F114" s="250" t="s">
        <v>149</v>
      </c>
      <c r="G114" s="185">
        <v>226742</v>
      </c>
      <c r="H114" s="185"/>
      <c r="I114" s="185" t="s">
        <v>181</v>
      </c>
      <c r="J114" s="430" t="str">
        <f t="shared" si="7"/>
        <v>na</v>
      </c>
      <c r="K114" s="245" t="str">
        <f t="shared" si="8"/>
        <v>na</v>
      </c>
      <c r="L114" s="245">
        <f t="shared" si="9"/>
        <v>0</v>
      </c>
      <c r="M114" s="413">
        <f>+CNGPricing!$H$88</f>
        <v>3.03</v>
      </c>
      <c r="N114" s="720">
        <v>0</v>
      </c>
      <c r="O114" s="247">
        <f t="shared" si="10"/>
        <v>3.03</v>
      </c>
      <c r="P114" s="248">
        <f t="shared" si="15"/>
        <v>0</v>
      </c>
    </row>
    <row r="115" spans="1:16" ht="15" customHeight="1" thickBot="1" x14ac:dyDescent="0.25">
      <c r="A115" s="1" t="s">
        <v>147</v>
      </c>
      <c r="B115" s="1" t="s">
        <v>148</v>
      </c>
      <c r="C115" s="224">
        <v>5089201</v>
      </c>
      <c r="D115" s="6" t="s">
        <v>149</v>
      </c>
      <c r="E115" s="938" t="s">
        <v>1403</v>
      </c>
      <c r="F115" s="250" t="s">
        <v>149</v>
      </c>
      <c r="G115" s="185">
        <v>226742</v>
      </c>
      <c r="H115" s="185"/>
      <c r="I115" s="185" t="s">
        <v>181</v>
      </c>
      <c r="J115" s="430" t="str">
        <f t="shared" si="7"/>
        <v>na</v>
      </c>
      <c r="K115" s="245" t="str">
        <f t="shared" si="8"/>
        <v>na</v>
      </c>
      <c r="L115" s="245">
        <f t="shared" si="9"/>
        <v>0</v>
      </c>
      <c r="M115" s="413">
        <f>+CNGPricing!$H$88</f>
        <v>3.03</v>
      </c>
      <c r="N115" s="720">
        <v>0</v>
      </c>
      <c r="O115" s="247">
        <f>M115-N115</f>
        <v>3.03</v>
      </c>
      <c r="P115" s="248">
        <f>L115*O115</f>
        <v>0</v>
      </c>
    </row>
    <row r="116" spans="1:16" ht="15" customHeight="1" thickBot="1" x14ac:dyDescent="0.25">
      <c r="A116" s="6" t="s">
        <v>1101</v>
      </c>
      <c r="B116" s="336" t="s">
        <v>1102</v>
      </c>
      <c r="C116" s="6">
        <v>5100601</v>
      </c>
      <c r="D116" s="6" t="s">
        <v>149</v>
      </c>
      <c r="E116" s="938" t="s">
        <v>1403</v>
      </c>
      <c r="F116" s="6"/>
      <c r="G116" s="1">
        <v>22991</v>
      </c>
      <c r="H116" s="1" t="s">
        <v>854</v>
      </c>
      <c r="I116" s="1" t="s">
        <v>855</v>
      </c>
      <c r="J116" s="245" t="str">
        <f t="shared" si="7"/>
        <v>na</v>
      </c>
      <c r="K116" s="245" t="str">
        <f t="shared" si="8"/>
        <v>na</v>
      </c>
      <c r="L116" s="245">
        <f t="shared" si="9"/>
        <v>0</v>
      </c>
      <c r="M116" s="249">
        <f>M$2*99%</f>
        <v>2.1779999999999999</v>
      </c>
      <c r="N116" s="720">
        <v>0</v>
      </c>
      <c r="O116" s="247">
        <f t="shared" si="10"/>
        <v>2.1779999999999999</v>
      </c>
      <c r="P116" s="248">
        <f t="shared" si="15"/>
        <v>0</v>
      </c>
    </row>
    <row r="117" spans="1:16" ht="15" customHeight="1" thickBot="1" x14ac:dyDescent="0.25">
      <c r="A117" s="6" t="s">
        <v>831</v>
      </c>
      <c r="B117" s="336" t="s">
        <v>856</v>
      </c>
      <c r="C117" s="6" t="s">
        <v>831</v>
      </c>
      <c r="D117" s="6" t="s">
        <v>149</v>
      </c>
      <c r="E117" s="938" t="s">
        <v>1403</v>
      </c>
      <c r="F117" s="6"/>
      <c r="G117" s="1">
        <v>22991</v>
      </c>
      <c r="H117" s="1" t="s">
        <v>854</v>
      </c>
      <c r="I117" s="1" t="s">
        <v>855</v>
      </c>
      <c r="J117" s="245" t="str">
        <f t="shared" si="7"/>
        <v>na</v>
      </c>
      <c r="K117" s="245" t="str">
        <f t="shared" si="8"/>
        <v>na</v>
      </c>
      <c r="L117" s="245">
        <f t="shared" si="9"/>
        <v>0</v>
      </c>
      <c r="M117" s="249">
        <f>M$2*99%</f>
        <v>2.1779999999999999</v>
      </c>
      <c r="N117" s="720">
        <v>0</v>
      </c>
      <c r="O117" s="247">
        <f t="shared" si="10"/>
        <v>2.1779999999999999</v>
      </c>
      <c r="P117" s="248">
        <f t="shared" si="15"/>
        <v>0</v>
      </c>
    </row>
    <row r="118" spans="1:16" ht="15" customHeight="1" thickBot="1" x14ac:dyDescent="0.25">
      <c r="A118" s="6" t="s">
        <v>831</v>
      </c>
      <c r="B118" s="336" t="s">
        <v>858</v>
      </c>
      <c r="C118" s="6" t="s">
        <v>831</v>
      </c>
      <c r="D118" s="6" t="s">
        <v>149</v>
      </c>
      <c r="E118" s="938" t="s">
        <v>1403</v>
      </c>
      <c r="F118" s="6"/>
      <c r="G118" s="1">
        <v>22991</v>
      </c>
      <c r="H118" s="1" t="s">
        <v>854</v>
      </c>
      <c r="I118" s="1" t="s">
        <v>855</v>
      </c>
      <c r="J118" s="245" t="str">
        <f t="shared" si="7"/>
        <v>na</v>
      </c>
      <c r="K118" s="245" t="str">
        <f t="shared" si="8"/>
        <v>na</v>
      </c>
      <c r="L118" s="245">
        <f t="shared" si="9"/>
        <v>0</v>
      </c>
      <c r="M118" s="249">
        <f>M$2*99%</f>
        <v>2.1779999999999999</v>
      </c>
      <c r="N118" s="720">
        <v>0</v>
      </c>
      <c r="O118" s="247">
        <f t="shared" si="10"/>
        <v>2.1779999999999999</v>
      </c>
      <c r="P118" s="248">
        <f t="shared" si="15"/>
        <v>0</v>
      </c>
    </row>
    <row r="119" spans="1:16" ht="15" customHeight="1" thickBot="1" x14ac:dyDescent="0.25">
      <c r="A119" s="6" t="s">
        <v>1103</v>
      </c>
      <c r="B119" s="336" t="s">
        <v>1314</v>
      </c>
      <c r="C119" s="6">
        <v>3120601</v>
      </c>
      <c r="D119" s="6" t="s">
        <v>1315</v>
      </c>
      <c r="E119" s="938" t="s">
        <v>1403</v>
      </c>
      <c r="F119" s="6"/>
      <c r="G119" s="1">
        <v>23124</v>
      </c>
      <c r="H119" s="1" t="s">
        <v>859</v>
      </c>
      <c r="I119" s="1" t="s">
        <v>1427</v>
      </c>
      <c r="J119" s="245" t="str">
        <f t="shared" si="7"/>
        <v>GW</v>
      </c>
      <c r="K119" s="245">
        <f t="shared" si="8"/>
        <v>0</v>
      </c>
      <c r="L119" s="245">
        <f t="shared" si="9"/>
        <v>0</v>
      </c>
      <c r="M119" s="249">
        <f>M$2*98%</f>
        <v>2.1560000000000001</v>
      </c>
      <c r="N119" s="720">
        <v>0</v>
      </c>
      <c r="O119" s="247">
        <f t="shared" si="10"/>
        <v>2.1560000000000001</v>
      </c>
      <c r="P119" s="248">
        <f>L119*O119</f>
        <v>0</v>
      </c>
    </row>
    <row r="120" spans="1:16" ht="15" customHeight="1" thickBot="1" x14ac:dyDescent="0.25">
      <c r="A120" s="1" t="s">
        <v>154</v>
      </c>
      <c r="B120" s="1" t="s">
        <v>155</v>
      </c>
      <c r="C120" s="224" t="s">
        <v>156</v>
      </c>
      <c r="D120" s="6" t="s">
        <v>630</v>
      </c>
      <c r="E120" s="938" t="s">
        <v>1403</v>
      </c>
      <c r="F120" s="186" t="s">
        <v>157</v>
      </c>
      <c r="G120" s="224">
        <v>211284</v>
      </c>
      <c r="H120" s="224"/>
      <c r="I120" s="252" t="s">
        <v>168</v>
      </c>
      <c r="J120" s="245" t="str">
        <f t="shared" si="7"/>
        <v>na</v>
      </c>
      <c r="K120" s="245" t="str">
        <f t="shared" si="8"/>
        <v>na</v>
      </c>
      <c r="L120" s="245">
        <f t="shared" si="9"/>
        <v>0</v>
      </c>
      <c r="M120" s="249">
        <f>$M$2</f>
        <v>2.2000000000000002</v>
      </c>
      <c r="N120" s="720">
        <v>0</v>
      </c>
      <c r="O120" s="247">
        <f t="shared" si="10"/>
        <v>2.2000000000000002</v>
      </c>
      <c r="P120" s="248">
        <f t="shared" si="15"/>
        <v>0</v>
      </c>
    </row>
    <row r="121" spans="1:16" ht="15" customHeight="1" thickBot="1" x14ac:dyDescent="0.25">
      <c r="A121" s="1" t="s">
        <v>43</v>
      </c>
      <c r="B121" s="1" t="s">
        <v>158</v>
      </c>
      <c r="C121" s="224" t="s">
        <v>159</v>
      </c>
      <c r="D121" s="6" t="s">
        <v>630</v>
      </c>
      <c r="E121" s="938" t="s">
        <v>1403</v>
      </c>
      <c r="F121" s="186" t="s">
        <v>157</v>
      </c>
      <c r="G121" s="224">
        <v>211284</v>
      </c>
      <c r="H121" s="224"/>
      <c r="I121" s="252" t="s">
        <v>168</v>
      </c>
      <c r="J121" s="245" t="str">
        <f t="shared" si="7"/>
        <v>na</v>
      </c>
      <c r="K121" s="245" t="str">
        <f t="shared" si="8"/>
        <v>na</v>
      </c>
      <c r="L121" s="245">
        <f t="shared" si="9"/>
        <v>0</v>
      </c>
      <c r="M121" s="249">
        <f>$M$2</f>
        <v>2.2000000000000002</v>
      </c>
      <c r="N121" s="720">
        <v>0</v>
      </c>
      <c r="O121" s="247">
        <f t="shared" si="10"/>
        <v>2.2000000000000002</v>
      </c>
      <c r="P121" s="248">
        <f t="shared" si="15"/>
        <v>0</v>
      </c>
    </row>
    <row r="122" spans="1:16" ht="15" customHeight="1" thickBot="1" x14ac:dyDescent="0.25">
      <c r="A122" s="6" t="s">
        <v>1103</v>
      </c>
      <c r="B122" s="336" t="s">
        <v>1199</v>
      </c>
      <c r="C122" s="6">
        <v>3294701</v>
      </c>
      <c r="D122" s="6" t="s">
        <v>1262</v>
      </c>
      <c r="E122" s="938" t="s">
        <v>1403</v>
      </c>
      <c r="F122" s="6"/>
      <c r="G122" s="1">
        <v>26784</v>
      </c>
      <c r="H122" s="1" t="s">
        <v>860</v>
      </c>
      <c r="I122" s="1" t="s">
        <v>1456</v>
      </c>
      <c r="J122" s="245" t="str">
        <f t="shared" si="7"/>
        <v>GW</v>
      </c>
      <c r="K122" s="245">
        <f t="shared" si="8"/>
        <v>0</v>
      </c>
      <c r="L122" s="245">
        <f t="shared" si="9"/>
        <v>0</v>
      </c>
      <c r="M122" s="249">
        <f>M$2*95%</f>
        <v>2.09</v>
      </c>
      <c r="N122" s="720">
        <v>0</v>
      </c>
      <c r="O122" s="247">
        <f t="shared" si="10"/>
        <v>2.09</v>
      </c>
      <c r="P122" s="248">
        <f t="shared" si="15"/>
        <v>0</v>
      </c>
    </row>
    <row r="123" spans="1:16" ht="15" customHeight="1" thickBot="1" x14ac:dyDescent="0.25">
      <c r="A123" s="6" t="s">
        <v>1103</v>
      </c>
      <c r="B123" s="336" t="s">
        <v>1346</v>
      </c>
      <c r="C123" s="6">
        <v>2041001</v>
      </c>
      <c r="D123" s="6" t="s">
        <v>1262</v>
      </c>
      <c r="E123" s="938" t="s">
        <v>1403</v>
      </c>
      <c r="F123" s="6"/>
      <c r="G123" s="1">
        <v>26784</v>
      </c>
      <c r="H123" s="1" t="s">
        <v>860</v>
      </c>
      <c r="I123" s="1" t="s">
        <v>1456</v>
      </c>
      <c r="J123" s="245" t="str">
        <f t="shared" si="7"/>
        <v>GW</v>
      </c>
      <c r="K123" s="245">
        <f t="shared" si="8"/>
        <v>0</v>
      </c>
      <c r="L123" s="245">
        <f t="shared" si="9"/>
        <v>0</v>
      </c>
      <c r="M123" s="249">
        <f>M$2*95%</f>
        <v>2.09</v>
      </c>
      <c r="N123" s="720">
        <v>0</v>
      </c>
      <c r="O123" s="247">
        <f t="shared" si="10"/>
        <v>2.09</v>
      </c>
      <c r="P123" s="248">
        <f t="shared" si="15"/>
        <v>0</v>
      </c>
    </row>
    <row r="124" spans="1:16" ht="15" customHeight="1" thickBot="1" x14ac:dyDescent="0.25">
      <c r="A124" s="1" t="s">
        <v>1075</v>
      </c>
      <c r="B124" s="1" t="s">
        <v>1876</v>
      </c>
      <c r="C124" s="1">
        <v>4281001</v>
      </c>
      <c r="D124" s="945" t="s">
        <v>1877</v>
      </c>
      <c r="E124" s="938">
        <v>37288</v>
      </c>
      <c r="F124" s="689"/>
      <c r="G124" s="690"/>
      <c r="H124" s="1"/>
      <c r="I124" s="252" t="s">
        <v>1526</v>
      </c>
      <c r="J124" s="245" t="str">
        <f>IF(ISNA(VLOOKUP(B124,cngdata,7,FALSE)),"na",VLOOKUP(B124,cngdata,7,FALSE))</f>
        <v>GD</v>
      </c>
      <c r="K124" s="245">
        <f>IF(ISNA(VLOOKUP(B124,cngdata,13,FALSE)),"na",VLOOKUP(B124,cngdata,13,FALSE))</f>
        <v>0</v>
      </c>
      <c r="L124" s="245">
        <f>IF(ISNA(VLOOKUP(B124,cngdata,14,FALSE)),0,VLOOKUP(B124,cngdata,14,FALSE))</f>
        <v>0</v>
      </c>
      <c r="M124" s="249">
        <f>M$2-0.02</f>
        <v>2.1800000000000002</v>
      </c>
      <c r="N124" s="720">
        <v>0</v>
      </c>
      <c r="O124" s="247">
        <f t="shared" si="10"/>
        <v>2.1800000000000002</v>
      </c>
      <c r="P124" s="248">
        <f t="shared" si="15"/>
        <v>0</v>
      </c>
    </row>
    <row r="125" spans="1:16" ht="15" customHeight="1" thickBot="1" x14ac:dyDescent="0.25">
      <c r="A125" s="1" t="s">
        <v>2091</v>
      </c>
      <c r="B125" s="1" t="s">
        <v>550</v>
      </c>
      <c r="C125" s="1">
        <v>4371101</v>
      </c>
      <c r="D125" s="945" t="s">
        <v>1877</v>
      </c>
      <c r="E125" s="944">
        <v>37288</v>
      </c>
      <c r="F125" s="689"/>
      <c r="G125" s="690"/>
      <c r="H125" s="1"/>
      <c r="I125" s="252" t="s">
        <v>1526</v>
      </c>
      <c r="J125" s="245" t="str">
        <f t="shared" si="7"/>
        <v>GD</v>
      </c>
      <c r="K125" s="245">
        <f t="shared" si="8"/>
        <v>0</v>
      </c>
      <c r="L125" s="245">
        <f t="shared" si="9"/>
        <v>0</v>
      </c>
      <c r="M125" s="249">
        <f>M$2-0.02</f>
        <v>2.1800000000000002</v>
      </c>
      <c r="N125" s="720">
        <v>0</v>
      </c>
      <c r="O125" s="247">
        <f t="shared" ref="O125:O130" si="16">M125-N125</f>
        <v>2.1800000000000002</v>
      </c>
      <c r="P125" s="248">
        <f t="shared" ref="P125:P130" si="17">L125*O125</f>
        <v>0</v>
      </c>
    </row>
    <row r="126" spans="1:16" ht="15" customHeight="1" thickBot="1" x14ac:dyDescent="0.25">
      <c r="A126" s="271" t="s">
        <v>2091</v>
      </c>
      <c r="B126" s="271" t="s">
        <v>2094</v>
      </c>
      <c r="C126" s="271">
        <v>1062901</v>
      </c>
      <c r="D126" s="6" t="s">
        <v>2095</v>
      </c>
      <c r="E126" s="938" t="s">
        <v>1403</v>
      </c>
      <c r="F126" s="271"/>
      <c r="G126" s="271"/>
      <c r="H126" s="271"/>
      <c r="I126" s="719" t="s">
        <v>1424</v>
      </c>
      <c r="J126" s="651" t="str">
        <f>IF(ISNA(VLOOKUP(B126,cngdata,7,FALSE)),"na",VLOOKUP(B126,cngdata,7,FALSE))</f>
        <v>GD</v>
      </c>
      <c r="K126" s="245">
        <f t="shared" si="8"/>
        <v>0</v>
      </c>
      <c r="L126" s="245">
        <f t="shared" si="9"/>
        <v>0</v>
      </c>
      <c r="M126" s="413">
        <f>$M$2</f>
        <v>2.2000000000000002</v>
      </c>
      <c r="N126" s="720">
        <v>0</v>
      </c>
      <c r="O126" s="247">
        <f t="shared" si="16"/>
        <v>2.2000000000000002</v>
      </c>
      <c r="P126" s="248">
        <f t="shared" si="17"/>
        <v>0</v>
      </c>
    </row>
    <row r="127" spans="1:16" ht="15" customHeight="1" thickBot="1" x14ac:dyDescent="0.25">
      <c r="A127" s="271" t="s">
        <v>2091</v>
      </c>
      <c r="B127" s="271" t="s">
        <v>2097</v>
      </c>
      <c r="C127" s="271">
        <v>1063001</v>
      </c>
      <c r="D127" s="6" t="s">
        <v>2095</v>
      </c>
      <c r="E127" s="938" t="s">
        <v>1403</v>
      </c>
      <c r="F127" s="271"/>
      <c r="G127" s="271"/>
      <c r="H127" s="271"/>
      <c r="I127" s="719" t="s">
        <v>1424</v>
      </c>
      <c r="J127" s="651" t="str">
        <f>IF(ISNA(VLOOKUP(B127,cngdata,7,FALSE)),"na",VLOOKUP(B127,cngdata,7,FALSE))</f>
        <v>GD</v>
      </c>
      <c r="K127" s="245">
        <f t="shared" si="8"/>
        <v>0</v>
      </c>
      <c r="L127" s="245">
        <f t="shared" si="9"/>
        <v>0</v>
      </c>
      <c r="M127" s="413">
        <f>$M$2</f>
        <v>2.2000000000000002</v>
      </c>
      <c r="N127" s="720">
        <v>0</v>
      </c>
      <c r="O127" s="247">
        <f t="shared" si="16"/>
        <v>2.2000000000000002</v>
      </c>
      <c r="P127" s="248">
        <f t="shared" si="17"/>
        <v>0</v>
      </c>
    </row>
    <row r="128" spans="1:16" ht="15" customHeight="1" thickBot="1" x14ac:dyDescent="0.25">
      <c r="A128" s="271" t="s">
        <v>2091</v>
      </c>
      <c r="B128" s="271" t="s">
        <v>2098</v>
      </c>
      <c r="C128" s="271">
        <v>2151401</v>
      </c>
      <c r="D128" s="6" t="s">
        <v>2095</v>
      </c>
      <c r="E128" s="938" t="s">
        <v>1403</v>
      </c>
      <c r="F128" s="271"/>
      <c r="G128" s="271"/>
      <c r="H128" s="271"/>
      <c r="I128" s="719" t="s">
        <v>1424</v>
      </c>
      <c r="J128" s="651" t="str">
        <f>IF(ISNA(VLOOKUP(B128,cngdata,7,FALSE)),"na",VLOOKUP(B128,cngdata,7,FALSE))</f>
        <v>GD</v>
      </c>
      <c r="K128" s="245">
        <f t="shared" si="8"/>
        <v>0</v>
      </c>
      <c r="L128" s="245">
        <f t="shared" si="9"/>
        <v>0</v>
      </c>
      <c r="M128" s="413">
        <f>$M$2</f>
        <v>2.2000000000000002</v>
      </c>
      <c r="N128" s="720">
        <v>0</v>
      </c>
      <c r="O128" s="247">
        <f t="shared" si="16"/>
        <v>2.2000000000000002</v>
      </c>
      <c r="P128" s="248">
        <f t="shared" si="17"/>
        <v>0</v>
      </c>
    </row>
    <row r="129" spans="1:16" ht="15" customHeight="1" thickBot="1" x14ac:dyDescent="0.25">
      <c r="A129" s="271" t="s">
        <v>2091</v>
      </c>
      <c r="B129" s="271" t="s">
        <v>2099</v>
      </c>
      <c r="C129" s="271">
        <v>2053201</v>
      </c>
      <c r="D129" s="6" t="s">
        <v>2095</v>
      </c>
      <c r="E129" s="938" t="s">
        <v>1403</v>
      </c>
      <c r="F129" s="271"/>
      <c r="G129" s="271"/>
      <c r="H129" s="271"/>
      <c r="I129" s="719" t="s">
        <v>1424</v>
      </c>
      <c r="J129" s="651" t="str">
        <f>IF(ISNA(VLOOKUP(B129,cngdata,7,FALSE)),"na",VLOOKUP(B129,cngdata,7,FALSE))</f>
        <v>GD</v>
      </c>
      <c r="K129" s="245">
        <f t="shared" si="8"/>
        <v>0</v>
      </c>
      <c r="L129" s="245">
        <f t="shared" si="9"/>
        <v>0</v>
      </c>
      <c r="M129" s="413">
        <f>$M$2</f>
        <v>2.2000000000000002</v>
      </c>
      <c r="N129" s="720">
        <v>0</v>
      </c>
      <c r="O129" s="247">
        <f t="shared" si="16"/>
        <v>2.2000000000000002</v>
      </c>
      <c r="P129" s="248">
        <f t="shared" si="17"/>
        <v>0</v>
      </c>
    </row>
    <row r="130" spans="1:16" ht="15" customHeight="1" thickBot="1" x14ac:dyDescent="0.25">
      <c r="A130" s="271" t="s">
        <v>2091</v>
      </c>
      <c r="B130" s="271" t="s">
        <v>2100</v>
      </c>
      <c r="C130" s="271">
        <v>2052901</v>
      </c>
      <c r="D130" s="6" t="s">
        <v>2095</v>
      </c>
      <c r="E130" s="938" t="s">
        <v>1403</v>
      </c>
      <c r="F130" s="271"/>
      <c r="G130" s="271"/>
      <c r="H130" s="271"/>
      <c r="I130" s="719" t="s">
        <v>1424</v>
      </c>
      <c r="J130" s="651" t="str">
        <f>IF(ISNA(VLOOKUP(B130,cngdata,7,FALSE)),"na",VLOOKUP(B130,cngdata,7,FALSE))</f>
        <v>GD</v>
      </c>
      <c r="K130" s="245">
        <f t="shared" ref="K130:K154" si="18">IF(ISNA(VLOOKUP(B130,cngdata,13,FALSE)),"na",VLOOKUP(B130,cngdata,13,FALSE))</f>
        <v>0</v>
      </c>
      <c r="L130" s="245">
        <f t="shared" ref="L130:L154" si="19">IF(ISNA(VLOOKUP(B130,cngdata,14,FALSE)),0,VLOOKUP(B130,cngdata,14,FALSE))</f>
        <v>0</v>
      </c>
      <c r="M130" s="413">
        <f>$M$2</f>
        <v>2.2000000000000002</v>
      </c>
      <c r="N130" s="720">
        <v>0</v>
      </c>
      <c r="O130" s="247">
        <f t="shared" si="16"/>
        <v>2.2000000000000002</v>
      </c>
      <c r="P130" s="248">
        <f t="shared" si="17"/>
        <v>0</v>
      </c>
    </row>
    <row r="131" spans="1:16" ht="15" customHeight="1" thickBot="1" x14ac:dyDescent="0.25">
      <c r="A131" s="6" t="s">
        <v>1363</v>
      </c>
      <c r="B131" s="336" t="s">
        <v>1364</v>
      </c>
      <c r="C131" s="6" t="s">
        <v>1365</v>
      </c>
      <c r="D131" s="6" t="s">
        <v>1100</v>
      </c>
      <c r="E131" s="938" t="s">
        <v>1403</v>
      </c>
      <c r="F131" s="6"/>
      <c r="G131" s="1"/>
      <c r="H131" s="1"/>
      <c r="I131" s="1"/>
      <c r="J131" s="245" t="str">
        <f t="shared" si="7"/>
        <v>TW</v>
      </c>
      <c r="K131" s="245">
        <f t="shared" si="18"/>
        <v>0</v>
      </c>
      <c r="L131" s="245">
        <f t="shared" si="19"/>
        <v>0</v>
      </c>
      <c r="M131" s="249"/>
      <c r="N131" s="720">
        <v>0</v>
      </c>
      <c r="O131" s="247">
        <f t="shared" si="10"/>
        <v>0</v>
      </c>
      <c r="P131" s="248">
        <f t="shared" si="15"/>
        <v>0</v>
      </c>
    </row>
    <row r="132" spans="1:16" ht="15" customHeight="1" thickBot="1" x14ac:dyDescent="0.25">
      <c r="A132" s="6" t="s">
        <v>1095</v>
      </c>
      <c r="B132" s="336" t="s">
        <v>1096</v>
      </c>
      <c r="C132" s="6" t="s">
        <v>1097</v>
      </c>
      <c r="D132" s="6" t="s">
        <v>1100</v>
      </c>
      <c r="E132" s="938" t="s">
        <v>1403</v>
      </c>
      <c r="F132" s="6"/>
      <c r="G132" s="1"/>
      <c r="H132" s="1"/>
      <c r="I132" s="1"/>
      <c r="J132" s="245" t="str">
        <f t="shared" si="7"/>
        <v>TD</v>
      </c>
      <c r="K132" s="245">
        <f t="shared" si="18"/>
        <v>0</v>
      </c>
      <c r="L132" s="245">
        <f t="shared" si="19"/>
        <v>0</v>
      </c>
      <c r="M132" s="249"/>
      <c r="N132" s="720">
        <v>0</v>
      </c>
      <c r="O132" s="247">
        <f t="shared" si="10"/>
        <v>0</v>
      </c>
      <c r="P132" s="248">
        <f t="shared" si="15"/>
        <v>0</v>
      </c>
    </row>
    <row r="133" spans="1:16" ht="15" customHeight="1" thickBot="1" x14ac:dyDescent="0.25">
      <c r="A133" s="6" t="s">
        <v>831</v>
      </c>
      <c r="B133" s="336" t="s">
        <v>861</v>
      </c>
      <c r="C133" s="6" t="s">
        <v>831</v>
      </c>
      <c r="D133" s="6" t="s">
        <v>1100</v>
      </c>
      <c r="E133" s="938" t="s">
        <v>1403</v>
      </c>
      <c r="F133" s="6"/>
      <c r="G133" s="1"/>
      <c r="H133" s="1"/>
      <c r="I133" s="1"/>
      <c r="J133" s="245" t="str">
        <f t="shared" si="7"/>
        <v>na</v>
      </c>
      <c r="K133" s="245" t="str">
        <f t="shared" si="18"/>
        <v>na</v>
      </c>
      <c r="L133" s="245">
        <f t="shared" si="19"/>
        <v>0</v>
      </c>
      <c r="M133" s="249"/>
      <c r="N133" s="720">
        <v>0</v>
      </c>
      <c r="O133" s="247">
        <f t="shared" si="10"/>
        <v>0</v>
      </c>
      <c r="P133" s="248">
        <f t="shared" si="15"/>
        <v>0</v>
      </c>
    </row>
    <row r="134" spans="1:16" ht="15" customHeight="1" thickBot="1" x14ac:dyDescent="0.25">
      <c r="A134" s="6" t="s">
        <v>831</v>
      </c>
      <c r="B134" s="336" t="s">
        <v>2281</v>
      </c>
      <c r="C134" s="6" t="s">
        <v>831</v>
      </c>
      <c r="D134" s="6" t="s">
        <v>862</v>
      </c>
      <c r="E134" s="938" t="s">
        <v>1403</v>
      </c>
      <c r="F134" s="6"/>
      <c r="G134" s="1"/>
      <c r="H134" s="1"/>
      <c r="I134" s="1"/>
      <c r="J134" s="245" t="str">
        <f t="shared" si="7"/>
        <v>TW</v>
      </c>
      <c r="K134" s="245">
        <f t="shared" si="18"/>
        <v>0</v>
      </c>
      <c r="L134" s="245">
        <f t="shared" si="19"/>
        <v>0</v>
      </c>
      <c r="M134" s="249"/>
      <c r="N134" s="720">
        <v>0</v>
      </c>
      <c r="O134" s="247">
        <f t="shared" si="10"/>
        <v>0</v>
      </c>
      <c r="P134" s="248">
        <f t="shared" si="15"/>
        <v>0</v>
      </c>
    </row>
    <row r="135" spans="1:16" ht="15" customHeight="1" thickBot="1" x14ac:dyDescent="0.25">
      <c r="A135" s="6" t="s">
        <v>831</v>
      </c>
      <c r="B135" s="16" t="s">
        <v>863</v>
      </c>
      <c r="C135" s="6" t="s">
        <v>831</v>
      </c>
      <c r="D135" s="16" t="s">
        <v>864</v>
      </c>
      <c r="E135" s="938" t="s">
        <v>1403</v>
      </c>
      <c r="F135" s="16"/>
      <c r="G135" s="16">
        <v>27274</v>
      </c>
      <c r="H135" s="16" t="s">
        <v>865</v>
      </c>
      <c r="I135" s="16" t="s">
        <v>866</v>
      </c>
      <c r="J135" s="245" t="str">
        <f t="shared" si="7"/>
        <v>na</v>
      </c>
      <c r="K135" s="245" t="str">
        <f t="shared" si="18"/>
        <v>na</v>
      </c>
      <c r="L135" s="245">
        <f t="shared" si="19"/>
        <v>0</v>
      </c>
      <c r="M135" s="249">
        <f>M$2</f>
        <v>2.2000000000000002</v>
      </c>
      <c r="N135" s="720">
        <v>0</v>
      </c>
      <c r="O135" s="19">
        <f t="shared" si="10"/>
        <v>2.2000000000000002</v>
      </c>
      <c r="P135" s="374">
        <f t="shared" si="15"/>
        <v>0</v>
      </c>
    </row>
    <row r="136" spans="1:16" ht="15" customHeight="1" thickBot="1" x14ac:dyDescent="0.25">
      <c r="A136" s="6" t="s">
        <v>831</v>
      </c>
      <c r="B136" s="16" t="s">
        <v>867</v>
      </c>
      <c r="C136" s="6" t="s">
        <v>831</v>
      </c>
      <c r="D136" s="16" t="s">
        <v>864</v>
      </c>
      <c r="E136" s="938" t="s">
        <v>1403</v>
      </c>
      <c r="F136" s="16"/>
      <c r="G136" s="16">
        <v>27274</v>
      </c>
      <c r="H136" s="16" t="s">
        <v>865</v>
      </c>
      <c r="I136" s="16" t="s">
        <v>866</v>
      </c>
      <c r="J136" s="245" t="str">
        <f t="shared" si="7"/>
        <v>na</v>
      </c>
      <c r="K136" s="245" t="str">
        <f t="shared" si="18"/>
        <v>na</v>
      </c>
      <c r="L136" s="245">
        <f t="shared" si="19"/>
        <v>0</v>
      </c>
      <c r="M136" s="249">
        <f>M$2</f>
        <v>2.2000000000000002</v>
      </c>
      <c r="N136" s="720">
        <v>0</v>
      </c>
      <c r="O136" s="19">
        <f t="shared" si="10"/>
        <v>2.2000000000000002</v>
      </c>
      <c r="P136" s="374">
        <f t="shared" si="15"/>
        <v>0</v>
      </c>
    </row>
    <row r="137" spans="1:16" ht="15" customHeight="1" thickBot="1" x14ac:dyDescent="0.25">
      <c r="A137" s="6" t="s">
        <v>1103</v>
      </c>
      <c r="B137" s="336" t="s">
        <v>1173</v>
      </c>
      <c r="C137" s="6">
        <v>4362901</v>
      </c>
      <c r="D137" s="882" t="s">
        <v>868</v>
      </c>
      <c r="E137" s="942">
        <v>37254</v>
      </c>
      <c r="F137" s="359"/>
      <c r="G137" s="250">
        <v>27292</v>
      </c>
      <c r="H137" s="250" t="s">
        <v>869</v>
      </c>
      <c r="I137" s="666" t="s">
        <v>866</v>
      </c>
      <c r="J137" s="430" t="str">
        <f t="shared" si="7"/>
        <v>GW</v>
      </c>
      <c r="K137" s="245">
        <f t="shared" si="18"/>
        <v>0</v>
      </c>
      <c r="L137" s="245">
        <f t="shared" si="19"/>
        <v>0</v>
      </c>
      <c r="M137" s="378" t="e">
        <f>+CNGPricing!$H$102</f>
        <v>#DIV/0!</v>
      </c>
      <c r="N137" s="720">
        <v>0</v>
      </c>
      <c r="O137" s="247" t="e">
        <f t="shared" si="10"/>
        <v>#DIV/0!</v>
      </c>
      <c r="P137" s="261" t="e">
        <f t="shared" si="15"/>
        <v>#DIV/0!</v>
      </c>
    </row>
    <row r="138" spans="1:16" ht="15" customHeight="1" thickBot="1" x14ac:dyDescent="0.25">
      <c r="A138" s="6" t="s">
        <v>1103</v>
      </c>
      <c r="B138" s="336" t="s">
        <v>1144</v>
      </c>
      <c r="C138" s="6">
        <v>3553701</v>
      </c>
      <c r="D138" s="882" t="s">
        <v>868</v>
      </c>
      <c r="E138" s="942">
        <v>37254</v>
      </c>
      <c r="F138" s="359"/>
      <c r="G138" s="250">
        <v>27292</v>
      </c>
      <c r="H138" s="250" t="s">
        <v>837</v>
      </c>
      <c r="I138" s="666" t="s">
        <v>866</v>
      </c>
      <c r="J138" s="430" t="str">
        <f t="shared" si="7"/>
        <v>GW</v>
      </c>
      <c r="K138" s="245">
        <f t="shared" si="18"/>
        <v>0</v>
      </c>
      <c r="L138" s="245">
        <f t="shared" si="19"/>
        <v>0</v>
      </c>
      <c r="M138" s="378" t="e">
        <f>+CNGPricing!$H$102</f>
        <v>#DIV/0!</v>
      </c>
      <c r="N138" s="720">
        <v>0</v>
      </c>
      <c r="O138" s="247" t="e">
        <f t="shared" si="10"/>
        <v>#DIV/0!</v>
      </c>
      <c r="P138" s="261" t="e">
        <f t="shared" si="15"/>
        <v>#DIV/0!</v>
      </c>
    </row>
    <row r="139" spans="1:16" ht="15" customHeight="1" thickBot="1" x14ac:dyDescent="0.25">
      <c r="A139" s="6" t="s">
        <v>1103</v>
      </c>
      <c r="B139" s="336" t="s">
        <v>1145</v>
      </c>
      <c r="C139" s="6">
        <v>3558301</v>
      </c>
      <c r="D139" s="882" t="s">
        <v>868</v>
      </c>
      <c r="E139" s="942">
        <v>37254</v>
      </c>
      <c r="F139" s="359"/>
      <c r="G139" s="250">
        <v>27292</v>
      </c>
      <c r="H139" s="250" t="s">
        <v>837</v>
      </c>
      <c r="I139" s="666" t="s">
        <v>866</v>
      </c>
      <c r="J139" s="430" t="str">
        <f t="shared" si="7"/>
        <v>GW</v>
      </c>
      <c r="K139" s="245">
        <f t="shared" si="18"/>
        <v>0</v>
      </c>
      <c r="L139" s="245">
        <f t="shared" si="19"/>
        <v>0</v>
      </c>
      <c r="M139" s="378" t="e">
        <f>+CNGPricing!$H$102</f>
        <v>#DIV/0!</v>
      </c>
      <c r="N139" s="720">
        <v>0</v>
      </c>
      <c r="O139" s="247" t="e">
        <f t="shared" si="10"/>
        <v>#DIV/0!</v>
      </c>
      <c r="P139" s="261" t="e">
        <f t="shared" si="15"/>
        <v>#DIV/0!</v>
      </c>
    </row>
    <row r="140" spans="1:16" ht="15" customHeight="1" thickBot="1" x14ac:dyDescent="0.25">
      <c r="A140" s="6" t="s">
        <v>1103</v>
      </c>
      <c r="B140" s="336" t="s">
        <v>1158</v>
      </c>
      <c r="C140" s="6">
        <v>4333501</v>
      </c>
      <c r="D140" s="882" t="s">
        <v>868</v>
      </c>
      <c r="E140" s="942">
        <v>37254</v>
      </c>
      <c r="F140" s="359"/>
      <c r="G140" s="250">
        <v>27292</v>
      </c>
      <c r="H140" s="250" t="s">
        <v>837</v>
      </c>
      <c r="I140" s="666" t="s">
        <v>866</v>
      </c>
      <c r="J140" s="430" t="str">
        <f t="shared" ref="J140:J203" si="20">IF(ISNA(VLOOKUP(B140,cngdata,7,FALSE)),"na",VLOOKUP(B140,cngdata,7,FALSE))</f>
        <v>GW</v>
      </c>
      <c r="K140" s="245">
        <f t="shared" si="18"/>
        <v>0</v>
      </c>
      <c r="L140" s="245">
        <f t="shared" si="19"/>
        <v>0</v>
      </c>
      <c r="M140" s="378" t="e">
        <f>+CNGPricing!$H$102</f>
        <v>#DIV/0!</v>
      </c>
      <c r="N140" s="720">
        <v>0</v>
      </c>
      <c r="O140" s="247" t="e">
        <f t="shared" si="10"/>
        <v>#DIV/0!</v>
      </c>
      <c r="P140" s="261" t="e">
        <f t="shared" si="15"/>
        <v>#DIV/0!</v>
      </c>
    </row>
    <row r="141" spans="1:16" ht="15" customHeight="1" thickBot="1" x14ac:dyDescent="0.25">
      <c r="A141" s="6" t="s">
        <v>1103</v>
      </c>
      <c r="B141" s="336" t="s">
        <v>1159</v>
      </c>
      <c r="C141" s="6">
        <v>4336901</v>
      </c>
      <c r="D141" s="882" t="s">
        <v>868</v>
      </c>
      <c r="E141" s="942">
        <v>37254</v>
      </c>
      <c r="F141" s="359"/>
      <c r="G141" s="250">
        <v>27292</v>
      </c>
      <c r="H141" s="250" t="s">
        <v>837</v>
      </c>
      <c r="I141" s="666" t="s">
        <v>866</v>
      </c>
      <c r="J141" s="430" t="str">
        <f t="shared" si="20"/>
        <v>GW</v>
      </c>
      <c r="K141" s="245">
        <f t="shared" si="18"/>
        <v>0</v>
      </c>
      <c r="L141" s="245">
        <f t="shared" si="19"/>
        <v>0</v>
      </c>
      <c r="M141" s="378" t="e">
        <f>+CNGPricing!$H$102</f>
        <v>#DIV/0!</v>
      </c>
      <c r="N141" s="720">
        <v>0</v>
      </c>
      <c r="O141" s="247" t="e">
        <f t="shared" si="10"/>
        <v>#DIV/0!</v>
      </c>
      <c r="P141" s="261" t="e">
        <f t="shared" si="15"/>
        <v>#DIV/0!</v>
      </c>
    </row>
    <row r="142" spans="1:16" ht="15" customHeight="1" thickBot="1" x14ac:dyDescent="0.25">
      <c r="A142" s="6" t="s">
        <v>1103</v>
      </c>
      <c r="B142" s="336" t="s">
        <v>1160</v>
      </c>
      <c r="C142" s="6">
        <v>4341201</v>
      </c>
      <c r="D142" s="882" t="s">
        <v>868</v>
      </c>
      <c r="E142" s="942">
        <v>37254</v>
      </c>
      <c r="F142" s="359"/>
      <c r="G142" s="250">
        <v>27292</v>
      </c>
      <c r="H142" s="250" t="s">
        <v>837</v>
      </c>
      <c r="I142" s="666" t="s">
        <v>866</v>
      </c>
      <c r="J142" s="430" t="str">
        <f t="shared" si="20"/>
        <v>GW</v>
      </c>
      <c r="K142" s="245">
        <f t="shared" si="18"/>
        <v>0</v>
      </c>
      <c r="L142" s="245">
        <f t="shared" si="19"/>
        <v>0</v>
      </c>
      <c r="M142" s="378" t="e">
        <f>+CNGPricing!$H$102</f>
        <v>#DIV/0!</v>
      </c>
      <c r="N142" s="720">
        <v>0</v>
      </c>
      <c r="O142" s="247" t="e">
        <f t="shared" si="10"/>
        <v>#DIV/0!</v>
      </c>
      <c r="P142" s="261" t="e">
        <f t="shared" si="15"/>
        <v>#DIV/0!</v>
      </c>
    </row>
    <row r="143" spans="1:16" ht="15" customHeight="1" thickBot="1" x14ac:dyDescent="0.25">
      <c r="A143" s="6" t="s">
        <v>1103</v>
      </c>
      <c r="B143" s="336" t="s">
        <v>1165</v>
      </c>
      <c r="C143" s="6">
        <v>4343301</v>
      </c>
      <c r="D143" s="882" t="s">
        <v>868</v>
      </c>
      <c r="E143" s="942">
        <v>37254</v>
      </c>
      <c r="F143" s="359"/>
      <c r="G143" s="250">
        <v>27292</v>
      </c>
      <c r="H143" s="250" t="s">
        <v>837</v>
      </c>
      <c r="I143" s="666" t="s">
        <v>866</v>
      </c>
      <c r="J143" s="430" t="str">
        <f t="shared" si="20"/>
        <v>GW</v>
      </c>
      <c r="K143" s="245">
        <f t="shared" si="18"/>
        <v>0</v>
      </c>
      <c r="L143" s="245">
        <f t="shared" si="19"/>
        <v>0</v>
      </c>
      <c r="M143" s="378" t="e">
        <f>+CNGPricing!$H$102</f>
        <v>#DIV/0!</v>
      </c>
      <c r="N143" s="720">
        <v>0</v>
      </c>
      <c r="O143" s="247" t="e">
        <f t="shared" si="10"/>
        <v>#DIV/0!</v>
      </c>
      <c r="P143" s="261" t="e">
        <f t="shared" si="15"/>
        <v>#DIV/0!</v>
      </c>
    </row>
    <row r="144" spans="1:16" ht="15" customHeight="1" thickBot="1" x14ac:dyDescent="0.25">
      <c r="A144" s="6" t="s">
        <v>1103</v>
      </c>
      <c r="B144" s="336" t="s">
        <v>1166</v>
      </c>
      <c r="C144" s="6">
        <v>4345701</v>
      </c>
      <c r="D144" s="882" t="s">
        <v>868</v>
      </c>
      <c r="E144" s="942">
        <v>37254</v>
      </c>
      <c r="F144" s="359"/>
      <c r="G144" s="250">
        <v>27292</v>
      </c>
      <c r="H144" s="250" t="s">
        <v>837</v>
      </c>
      <c r="I144" s="666" t="s">
        <v>866</v>
      </c>
      <c r="J144" s="430" t="str">
        <f t="shared" si="20"/>
        <v>GW</v>
      </c>
      <c r="K144" s="245">
        <f t="shared" si="18"/>
        <v>0</v>
      </c>
      <c r="L144" s="245">
        <f t="shared" si="19"/>
        <v>0</v>
      </c>
      <c r="M144" s="378" t="e">
        <f>+CNGPricing!$H$102</f>
        <v>#DIV/0!</v>
      </c>
      <c r="N144" s="720">
        <v>0</v>
      </c>
      <c r="O144" s="247" t="e">
        <f t="shared" si="10"/>
        <v>#DIV/0!</v>
      </c>
      <c r="P144" s="261" t="e">
        <f t="shared" si="15"/>
        <v>#DIV/0!</v>
      </c>
    </row>
    <row r="145" spans="1:16" ht="15" customHeight="1" thickBot="1" x14ac:dyDescent="0.25">
      <c r="A145" s="6" t="s">
        <v>1103</v>
      </c>
      <c r="B145" s="336" t="s">
        <v>1167</v>
      </c>
      <c r="C145" s="6">
        <v>4345801</v>
      </c>
      <c r="D145" s="882" t="s">
        <v>868</v>
      </c>
      <c r="E145" s="942">
        <v>37254</v>
      </c>
      <c r="F145" s="359"/>
      <c r="G145" s="250">
        <v>27292</v>
      </c>
      <c r="H145" s="250" t="s">
        <v>837</v>
      </c>
      <c r="I145" s="666" t="s">
        <v>866</v>
      </c>
      <c r="J145" s="430" t="str">
        <f t="shared" si="20"/>
        <v>GW</v>
      </c>
      <c r="K145" s="245">
        <f t="shared" si="18"/>
        <v>0</v>
      </c>
      <c r="L145" s="245">
        <f t="shared" si="19"/>
        <v>0</v>
      </c>
      <c r="M145" s="378" t="e">
        <f>+CNGPricing!$H$102</f>
        <v>#DIV/0!</v>
      </c>
      <c r="N145" s="720">
        <v>0</v>
      </c>
      <c r="O145" s="247" t="e">
        <f t="shared" si="10"/>
        <v>#DIV/0!</v>
      </c>
      <c r="P145" s="261" t="e">
        <f t="shared" si="15"/>
        <v>#DIV/0!</v>
      </c>
    </row>
    <row r="146" spans="1:16" ht="15" customHeight="1" thickBot="1" x14ac:dyDescent="0.25">
      <c r="A146" s="6" t="s">
        <v>1103</v>
      </c>
      <c r="B146" s="336" t="s">
        <v>1168</v>
      </c>
      <c r="C146" s="6">
        <v>4349401</v>
      </c>
      <c r="D146" s="882" t="s">
        <v>868</v>
      </c>
      <c r="E146" s="942">
        <v>37254</v>
      </c>
      <c r="F146" s="359"/>
      <c r="G146" s="250">
        <v>27292</v>
      </c>
      <c r="H146" s="250" t="s">
        <v>837</v>
      </c>
      <c r="I146" s="666" t="s">
        <v>866</v>
      </c>
      <c r="J146" s="430" t="str">
        <f t="shared" si="20"/>
        <v>GW</v>
      </c>
      <c r="K146" s="245">
        <f t="shared" si="18"/>
        <v>0</v>
      </c>
      <c r="L146" s="245">
        <f t="shared" si="19"/>
        <v>0</v>
      </c>
      <c r="M146" s="378" t="e">
        <f>+CNGPricing!$H$102</f>
        <v>#DIV/0!</v>
      </c>
      <c r="N146" s="720">
        <v>0</v>
      </c>
      <c r="O146" s="247" t="e">
        <f t="shared" ref="O146:O208" si="21">M146-N146</f>
        <v>#DIV/0!</v>
      </c>
      <c r="P146" s="261" t="e">
        <f t="shared" ref="P146:P175" si="22">L146*O146</f>
        <v>#DIV/0!</v>
      </c>
    </row>
    <row r="147" spans="1:16" ht="15" customHeight="1" thickBot="1" x14ac:dyDescent="0.25">
      <c r="A147" s="6" t="s">
        <v>1103</v>
      </c>
      <c r="B147" s="336" t="s">
        <v>1172</v>
      </c>
      <c r="C147" s="6">
        <v>4362801</v>
      </c>
      <c r="D147" s="882" t="s">
        <v>868</v>
      </c>
      <c r="E147" s="942">
        <v>37254</v>
      </c>
      <c r="F147" s="359"/>
      <c r="G147" s="250">
        <v>27292</v>
      </c>
      <c r="H147" s="250" t="s">
        <v>837</v>
      </c>
      <c r="I147" s="666" t="s">
        <v>866</v>
      </c>
      <c r="J147" s="430" t="str">
        <f t="shared" si="20"/>
        <v>GW</v>
      </c>
      <c r="K147" s="245">
        <f t="shared" si="18"/>
        <v>0</v>
      </c>
      <c r="L147" s="245">
        <f t="shared" si="19"/>
        <v>0</v>
      </c>
      <c r="M147" s="378" t="e">
        <f>+CNGPricing!$H$102</f>
        <v>#DIV/0!</v>
      </c>
      <c r="N147" s="720">
        <v>0</v>
      </c>
      <c r="O147" s="247" t="e">
        <f t="shared" si="21"/>
        <v>#DIV/0!</v>
      </c>
      <c r="P147" s="261" t="e">
        <f t="shared" si="22"/>
        <v>#DIV/0!</v>
      </c>
    </row>
    <row r="148" spans="1:16" ht="15" customHeight="1" thickBot="1" x14ac:dyDescent="0.25">
      <c r="A148" s="6" t="s">
        <v>1103</v>
      </c>
      <c r="B148" s="16" t="s">
        <v>1174</v>
      </c>
      <c r="C148" s="6">
        <v>4364001</v>
      </c>
      <c r="D148" s="882" t="s">
        <v>868</v>
      </c>
      <c r="E148" s="942">
        <v>37254</v>
      </c>
      <c r="F148" s="359"/>
      <c r="G148" s="250">
        <v>27292</v>
      </c>
      <c r="H148" s="250" t="s">
        <v>869</v>
      </c>
      <c r="I148" s="666" t="s">
        <v>866</v>
      </c>
      <c r="J148" s="430" t="str">
        <f t="shared" si="20"/>
        <v>GW</v>
      </c>
      <c r="K148" s="245">
        <f t="shared" si="18"/>
        <v>0</v>
      </c>
      <c r="L148" s="245">
        <f t="shared" si="19"/>
        <v>0</v>
      </c>
      <c r="M148" s="378" t="e">
        <f>+CNGPricing!$H$102</f>
        <v>#DIV/0!</v>
      </c>
      <c r="N148" s="720">
        <v>0</v>
      </c>
      <c r="O148" s="260" t="e">
        <f t="shared" si="21"/>
        <v>#DIV/0!</v>
      </c>
      <c r="P148" s="261" t="e">
        <f t="shared" si="22"/>
        <v>#DIV/0!</v>
      </c>
    </row>
    <row r="149" spans="1:16" ht="15" customHeight="1" thickBot="1" x14ac:dyDescent="0.25">
      <c r="A149" s="6" t="s">
        <v>1103</v>
      </c>
      <c r="B149" s="336" t="s">
        <v>1306</v>
      </c>
      <c r="C149" s="6">
        <v>4023601</v>
      </c>
      <c r="D149" s="882" t="s">
        <v>868</v>
      </c>
      <c r="E149" s="942">
        <v>37254</v>
      </c>
      <c r="F149" s="359"/>
      <c r="G149" s="250">
        <v>27292</v>
      </c>
      <c r="H149" s="250" t="s">
        <v>837</v>
      </c>
      <c r="I149" s="666" t="s">
        <v>866</v>
      </c>
      <c r="J149" s="430" t="str">
        <f t="shared" si="20"/>
        <v>GW</v>
      </c>
      <c r="K149" s="245">
        <f t="shared" si="18"/>
        <v>0</v>
      </c>
      <c r="L149" s="245">
        <f t="shared" si="19"/>
        <v>0</v>
      </c>
      <c r="M149" s="378" t="e">
        <f>+CNGPricing!$H$102</f>
        <v>#DIV/0!</v>
      </c>
      <c r="N149" s="720">
        <v>0</v>
      </c>
      <c r="O149" s="247" t="e">
        <f t="shared" si="21"/>
        <v>#DIV/0!</v>
      </c>
      <c r="P149" s="261" t="e">
        <f t="shared" si="22"/>
        <v>#DIV/0!</v>
      </c>
    </row>
    <row r="150" spans="1:16" ht="15" customHeight="1" thickBot="1" x14ac:dyDescent="0.25">
      <c r="A150" s="6" t="s">
        <v>1103</v>
      </c>
      <c r="B150" s="336" t="s">
        <v>1316</v>
      </c>
      <c r="C150" s="6">
        <v>4336801</v>
      </c>
      <c r="D150" s="882" t="s">
        <v>868</v>
      </c>
      <c r="E150" s="942">
        <v>37254</v>
      </c>
      <c r="F150" s="359"/>
      <c r="G150" s="250">
        <v>27292</v>
      </c>
      <c r="H150" s="250" t="s">
        <v>837</v>
      </c>
      <c r="I150" s="666" t="s">
        <v>866</v>
      </c>
      <c r="J150" s="430" t="str">
        <f t="shared" si="20"/>
        <v>GW</v>
      </c>
      <c r="K150" s="245">
        <f t="shared" si="18"/>
        <v>0</v>
      </c>
      <c r="L150" s="245">
        <f t="shared" si="19"/>
        <v>0</v>
      </c>
      <c r="M150" s="378" t="e">
        <f>+CNGPricing!$H$102</f>
        <v>#DIV/0!</v>
      </c>
      <c r="N150" s="720">
        <v>0</v>
      </c>
      <c r="O150" s="247" t="e">
        <f t="shared" si="21"/>
        <v>#DIV/0!</v>
      </c>
      <c r="P150" s="261" t="e">
        <f t="shared" si="22"/>
        <v>#DIV/0!</v>
      </c>
    </row>
    <row r="151" spans="1:16" ht="15" customHeight="1" thickBot="1" x14ac:dyDescent="0.25">
      <c r="A151" s="6" t="s">
        <v>1103</v>
      </c>
      <c r="B151" s="336" t="s">
        <v>1129</v>
      </c>
      <c r="C151" s="6">
        <v>3552801</v>
      </c>
      <c r="D151" s="882" t="s">
        <v>868</v>
      </c>
      <c r="E151" s="942">
        <v>37254</v>
      </c>
      <c r="F151" s="359"/>
      <c r="G151" s="250">
        <v>27292</v>
      </c>
      <c r="H151" s="250" t="s">
        <v>869</v>
      </c>
      <c r="I151" s="666" t="s">
        <v>866</v>
      </c>
      <c r="J151" s="430" t="str">
        <f t="shared" si="20"/>
        <v>GW</v>
      </c>
      <c r="K151" s="245">
        <f t="shared" si="18"/>
        <v>0</v>
      </c>
      <c r="L151" s="245">
        <f t="shared" si="19"/>
        <v>0</v>
      </c>
      <c r="M151" s="378" t="e">
        <f>+CNGPricing!$H$102</f>
        <v>#DIV/0!</v>
      </c>
      <c r="N151" s="720">
        <v>0</v>
      </c>
      <c r="O151" s="247" t="e">
        <f t="shared" si="21"/>
        <v>#DIV/0!</v>
      </c>
      <c r="P151" s="261" t="e">
        <f t="shared" si="22"/>
        <v>#DIV/0!</v>
      </c>
    </row>
    <row r="152" spans="1:16" ht="15" customHeight="1" thickBot="1" x14ac:dyDescent="0.25">
      <c r="A152" s="6" t="s">
        <v>1103</v>
      </c>
      <c r="B152" s="336" t="s">
        <v>1351</v>
      </c>
      <c r="C152" s="6">
        <v>1091301</v>
      </c>
      <c r="D152" s="882" t="s">
        <v>868</v>
      </c>
      <c r="E152" s="942">
        <v>37254</v>
      </c>
      <c r="F152" s="359"/>
      <c r="G152" s="250">
        <v>27292</v>
      </c>
      <c r="H152" s="250" t="s">
        <v>869</v>
      </c>
      <c r="I152" s="666" t="s">
        <v>866</v>
      </c>
      <c r="J152" s="430" t="str">
        <f t="shared" si="20"/>
        <v>GW</v>
      </c>
      <c r="K152" s="245">
        <f t="shared" si="18"/>
        <v>0</v>
      </c>
      <c r="L152" s="245">
        <f t="shared" si="19"/>
        <v>0</v>
      </c>
      <c r="M152" s="378" t="e">
        <f>+CNGPricing!$H$102</f>
        <v>#DIV/0!</v>
      </c>
      <c r="N152" s="720">
        <v>0</v>
      </c>
      <c r="O152" s="247" t="e">
        <f t="shared" si="21"/>
        <v>#DIV/0!</v>
      </c>
      <c r="P152" s="261" t="e">
        <f t="shared" si="22"/>
        <v>#DIV/0!</v>
      </c>
    </row>
    <row r="153" spans="1:16" ht="15" customHeight="1" thickBot="1" x14ac:dyDescent="0.25">
      <c r="A153" s="6" t="s">
        <v>1103</v>
      </c>
      <c r="B153" s="336" t="s">
        <v>1352</v>
      </c>
      <c r="C153" s="6">
        <v>1078001</v>
      </c>
      <c r="D153" s="882" t="s">
        <v>868</v>
      </c>
      <c r="E153" s="942">
        <v>37254</v>
      </c>
      <c r="F153" s="359"/>
      <c r="G153" s="250">
        <v>27292</v>
      </c>
      <c r="H153" s="250" t="s">
        <v>869</v>
      </c>
      <c r="I153" s="666" t="s">
        <v>866</v>
      </c>
      <c r="J153" s="430" t="str">
        <f t="shared" si="20"/>
        <v>GW</v>
      </c>
      <c r="K153" s="245">
        <f t="shared" si="18"/>
        <v>0</v>
      </c>
      <c r="L153" s="245">
        <f t="shared" si="19"/>
        <v>0</v>
      </c>
      <c r="M153" s="378" t="e">
        <f>+CNGPricing!$H$102</f>
        <v>#DIV/0!</v>
      </c>
      <c r="N153" s="720">
        <v>0</v>
      </c>
      <c r="O153" s="247" t="e">
        <f t="shared" si="21"/>
        <v>#DIV/0!</v>
      </c>
      <c r="P153" s="261" t="e">
        <f t="shared" si="22"/>
        <v>#DIV/0!</v>
      </c>
    </row>
    <row r="154" spans="1:16" ht="15" customHeight="1" thickBot="1" x14ac:dyDescent="0.25">
      <c r="A154" s="6" t="s">
        <v>1103</v>
      </c>
      <c r="B154" s="336" t="s">
        <v>1354</v>
      </c>
      <c r="C154" s="6">
        <v>4354501</v>
      </c>
      <c r="D154" s="882" t="s">
        <v>868</v>
      </c>
      <c r="E154" s="942">
        <v>37254</v>
      </c>
      <c r="F154" s="359"/>
      <c r="G154" s="250">
        <v>27292</v>
      </c>
      <c r="H154" s="250" t="s">
        <v>869</v>
      </c>
      <c r="I154" s="666" t="s">
        <v>866</v>
      </c>
      <c r="J154" s="430" t="str">
        <f t="shared" si="20"/>
        <v>GW</v>
      </c>
      <c r="K154" s="245">
        <f t="shared" si="18"/>
        <v>0</v>
      </c>
      <c r="L154" s="245">
        <f t="shared" si="19"/>
        <v>0</v>
      </c>
      <c r="M154" s="378" t="e">
        <f>+CNGPricing!$H$102</f>
        <v>#DIV/0!</v>
      </c>
      <c r="N154" s="720">
        <v>0</v>
      </c>
      <c r="O154" s="247" t="e">
        <f t="shared" si="21"/>
        <v>#DIV/0!</v>
      </c>
      <c r="P154" s="261" t="e">
        <f t="shared" si="22"/>
        <v>#DIV/0!</v>
      </c>
    </row>
    <row r="155" spans="1:16" ht="15" customHeight="1" thickBot="1" x14ac:dyDescent="0.25">
      <c r="A155" s="6" t="s">
        <v>1103</v>
      </c>
      <c r="B155" s="336" t="s">
        <v>1317</v>
      </c>
      <c r="C155" s="6">
        <v>3129101</v>
      </c>
      <c r="D155" s="882" t="s">
        <v>868</v>
      </c>
      <c r="E155" s="942">
        <v>37254</v>
      </c>
      <c r="F155" s="6"/>
      <c r="G155" s="1">
        <v>31420</v>
      </c>
      <c r="H155" s="1" t="s">
        <v>870</v>
      </c>
      <c r="I155" s="666" t="s">
        <v>871</v>
      </c>
      <c r="J155" s="245" t="str">
        <f t="shared" si="20"/>
        <v>GW</v>
      </c>
      <c r="K155" s="245">
        <f>IF(ISNA(VLOOKUP(B155,cngdata,13,FALSE)),"na",VLOOKUP(B155,cngdata,13,FALSE))</f>
        <v>0</v>
      </c>
      <c r="L155" s="245">
        <f>IF(ISNA(VLOOKUP(B155,cngdata,14,FALSE)),0,VLOOKUP(B155,cngdata,14,FALSE))</f>
        <v>0</v>
      </c>
      <c r="M155" s="667">
        <f>M$2</f>
        <v>2.2000000000000002</v>
      </c>
      <c r="N155" s="720">
        <v>0</v>
      </c>
      <c r="O155" s="247">
        <f t="shared" si="21"/>
        <v>2.2000000000000002</v>
      </c>
      <c r="P155" s="248">
        <f t="shared" si="22"/>
        <v>0</v>
      </c>
    </row>
    <row r="156" spans="1:16" ht="15" customHeight="1" thickBot="1" x14ac:dyDescent="0.25">
      <c r="A156" s="6" t="s">
        <v>1086</v>
      </c>
      <c r="B156" s="336" t="s">
        <v>1089</v>
      </c>
      <c r="C156" s="6">
        <v>2026901</v>
      </c>
      <c r="D156" s="666" t="s">
        <v>1090</v>
      </c>
      <c r="E156" s="940">
        <v>37228</v>
      </c>
      <c r="F156" s="6"/>
      <c r="G156" s="1">
        <v>35823</v>
      </c>
      <c r="H156" s="1" t="s">
        <v>873</v>
      </c>
      <c r="I156" s="1" t="s">
        <v>874</v>
      </c>
      <c r="J156" s="245" t="str">
        <f t="shared" si="20"/>
        <v>GD</v>
      </c>
      <c r="K156" s="245">
        <f t="shared" ref="K156:K217" si="23">IF(ISNA(VLOOKUP(B156,cngdata,13,FALSE)),"na",VLOOKUP(B156,cngdata,13,FALSE))</f>
        <v>0</v>
      </c>
      <c r="L156" s="245">
        <f t="shared" ref="L156:L217" si="24">IF(ISNA(VLOOKUP(B156,cngdata,14,FALSE)),0,VLOOKUP(B156,cngdata,14,FALSE))</f>
        <v>0</v>
      </c>
      <c r="M156" s="249">
        <v>2</v>
      </c>
      <c r="N156" s="720">
        <v>0</v>
      </c>
      <c r="O156" s="247">
        <f t="shared" si="21"/>
        <v>2</v>
      </c>
      <c r="P156" s="248">
        <f t="shared" si="22"/>
        <v>0</v>
      </c>
    </row>
    <row r="157" spans="1:16" ht="15" customHeight="1" thickBot="1" x14ac:dyDescent="0.25">
      <c r="A157" s="6" t="s">
        <v>1103</v>
      </c>
      <c r="B157" s="336" t="s">
        <v>1325</v>
      </c>
      <c r="C157" s="6">
        <v>3512101</v>
      </c>
      <c r="D157" s="941" t="s">
        <v>495</v>
      </c>
      <c r="E157" s="942">
        <v>37256</v>
      </c>
      <c r="F157" s="6"/>
      <c r="G157" s="6">
        <v>37148</v>
      </c>
      <c r="H157" s="6" t="s">
        <v>371</v>
      </c>
      <c r="I157" s="307" t="s">
        <v>1424</v>
      </c>
      <c r="J157" s="245" t="str">
        <f t="shared" si="20"/>
        <v>GW</v>
      </c>
      <c r="K157" s="245">
        <f t="shared" si="23"/>
        <v>0</v>
      </c>
      <c r="L157" s="245">
        <f t="shared" si="24"/>
        <v>0</v>
      </c>
      <c r="M157" s="259">
        <f t="shared" ref="M157:M170" si="25">M$2*100%</f>
        <v>2.2000000000000002</v>
      </c>
      <c r="N157" s="720">
        <v>0</v>
      </c>
      <c r="O157" s="247">
        <f t="shared" si="21"/>
        <v>2.2000000000000002</v>
      </c>
      <c r="P157" s="248">
        <f t="shared" si="22"/>
        <v>0</v>
      </c>
    </row>
    <row r="158" spans="1:16" ht="15" customHeight="1" thickBot="1" x14ac:dyDescent="0.25">
      <c r="A158" s="6" t="s">
        <v>1103</v>
      </c>
      <c r="B158" s="336" t="s">
        <v>1326</v>
      </c>
      <c r="C158" s="6">
        <v>3524201</v>
      </c>
      <c r="D158" s="941" t="s">
        <v>495</v>
      </c>
      <c r="E158" s="942">
        <v>37256</v>
      </c>
      <c r="F158" s="6"/>
      <c r="G158" s="6">
        <v>37148</v>
      </c>
      <c r="H158" s="6" t="s">
        <v>371</v>
      </c>
      <c r="I158" s="307" t="s">
        <v>1424</v>
      </c>
      <c r="J158" s="245" t="str">
        <f t="shared" si="20"/>
        <v>GW</v>
      </c>
      <c r="K158" s="245">
        <f t="shared" si="23"/>
        <v>0</v>
      </c>
      <c r="L158" s="245">
        <f t="shared" si="24"/>
        <v>0</v>
      </c>
      <c r="M158" s="259">
        <f t="shared" si="25"/>
        <v>2.2000000000000002</v>
      </c>
      <c r="N158" s="720">
        <v>0</v>
      </c>
      <c r="O158" s="247">
        <f t="shared" si="21"/>
        <v>2.2000000000000002</v>
      </c>
      <c r="P158" s="248">
        <f t="shared" si="22"/>
        <v>0</v>
      </c>
    </row>
    <row r="159" spans="1:16" ht="15" customHeight="1" thickBot="1" x14ac:dyDescent="0.25">
      <c r="A159" s="6" t="s">
        <v>1103</v>
      </c>
      <c r="B159" s="336" t="s">
        <v>1327</v>
      </c>
      <c r="C159" s="6">
        <v>3541601</v>
      </c>
      <c r="D159" s="941" t="s">
        <v>495</v>
      </c>
      <c r="E159" s="942">
        <v>37256</v>
      </c>
      <c r="F159" s="6"/>
      <c r="G159" s="6">
        <v>37148</v>
      </c>
      <c r="H159" s="6" t="s">
        <v>371</v>
      </c>
      <c r="I159" s="307" t="s">
        <v>1424</v>
      </c>
      <c r="J159" s="245" t="str">
        <f t="shared" si="20"/>
        <v>GW</v>
      </c>
      <c r="K159" s="245">
        <f t="shared" si="23"/>
        <v>0</v>
      </c>
      <c r="L159" s="245">
        <f t="shared" si="24"/>
        <v>0</v>
      </c>
      <c r="M159" s="259">
        <f t="shared" si="25"/>
        <v>2.2000000000000002</v>
      </c>
      <c r="N159" s="720">
        <v>0</v>
      </c>
      <c r="O159" s="247">
        <f t="shared" si="21"/>
        <v>2.2000000000000002</v>
      </c>
      <c r="P159" s="248">
        <f t="shared" si="22"/>
        <v>0</v>
      </c>
    </row>
    <row r="160" spans="1:16" ht="15" customHeight="1" thickBot="1" x14ac:dyDescent="0.25">
      <c r="A160" s="6" t="s">
        <v>1103</v>
      </c>
      <c r="B160" s="336" t="s">
        <v>1335</v>
      </c>
      <c r="C160" s="6">
        <v>3178601</v>
      </c>
      <c r="D160" s="941" t="s">
        <v>495</v>
      </c>
      <c r="E160" s="942">
        <v>37256</v>
      </c>
      <c r="F160" s="6"/>
      <c r="G160" s="6">
        <v>37148</v>
      </c>
      <c r="H160" s="6" t="s">
        <v>371</v>
      </c>
      <c r="I160" s="307" t="s">
        <v>1424</v>
      </c>
      <c r="J160" s="245" t="str">
        <f t="shared" si="20"/>
        <v>GW</v>
      </c>
      <c r="K160" s="245">
        <f t="shared" si="23"/>
        <v>0</v>
      </c>
      <c r="L160" s="245">
        <f t="shared" si="24"/>
        <v>0</v>
      </c>
      <c r="M160" s="259">
        <f t="shared" si="25"/>
        <v>2.2000000000000002</v>
      </c>
      <c r="N160" s="720">
        <v>0</v>
      </c>
      <c r="O160" s="247">
        <f t="shared" si="21"/>
        <v>2.2000000000000002</v>
      </c>
      <c r="P160" s="248">
        <f t="shared" si="22"/>
        <v>0</v>
      </c>
    </row>
    <row r="161" spans="1:16" ht="15" customHeight="1" thickBot="1" x14ac:dyDescent="0.25">
      <c r="A161" s="6" t="s">
        <v>1103</v>
      </c>
      <c r="B161" s="336" t="s">
        <v>1336</v>
      </c>
      <c r="C161" s="6">
        <v>3405301</v>
      </c>
      <c r="D161" s="941" t="s">
        <v>495</v>
      </c>
      <c r="E161" s="942">
        <v>37256</v>
      </c>
      <c r="F161" s="6"/>
      <c r="G161" s="6">
        <v>37148</v>
      </c>
      <c r="H161" s="6" t="s">
        <v>371</v>
      </c>
      <c r="I161" s="307" t="s">
        <v>1424</v>
      </c>
      <c r="J161" s="245" t="str">
        <f t="shared" si="20"/>
        <v>GW</v>
      </c>
      <c r="K161" s="245">
        <f t="shared" si="23"/>
        <v>0</v>
      </c>
      <c r="L161" s="245">
        <f t="shared" si="24"/>
        <v>0</v>
      </c>
      <c r="M161" s="259">
        <f t="shared" si="25"/>
        <v>2.2000000000000002</v>
      </c>
      <c r="N161" s="720">
        <v>0</v>
      </c>
      <c r="O161" s="247">
        <f t="shared" si="21"/>
        <v>2.2000000000000002</v>
      </c>
      <c r="P161" s="248">
        <f t="shared" si="22"/>
        <v>0</v>
      </c>
    </row>
    <row r="162" spans="1:16" ht="15" customHeight="1" thickBot="1" x14ac:dyDescent="0.25">
      <c r="A162" s="6" t="s">
        <v>1103</v>
      </c>
      <c r="B162" s="336" t="s">
        <v>1338</v>
      </c>
      <c r="C162" s="6">
        <v>3422901</v>
      </c>
      <c r="D162" s="941" t="s">
        <v>495</v>
      </c>
      <c r="E162" s="942">
        <v>37256</v>
      </c>
      <c r="F162" s="6"/>
      <c r="G162" s="6">
        <v>37148</v>
      </c>
      <c r="H162" s="6" t="s">
        <v>371</v>
      </c>
      <c r="I162" s="307" t="s">
        <v>1424</v>
      </c>
      <c r="J162" s="245" t="str">
        <f t="shared" si="20"/>
        <v>GW</v>
      </c>
      <c r="K162" s="245">
        <f t="shared" si="23"/>
        <v>0</v>
      </c>
      <c r="L162" s="245">
        <f t="shared" si="24"/>
        <v>0</v>
      </c>
      <c r="M162" s="259">
        <f t="shared" si="25"/>
        <v>2.2000000000000002</v>
      </c>
      <c r="N162" s="720">
        <v>0</v>
      </c>
      <c r="O162" s="247">
        <f t="shared" si="21"/>
        <v>2.2000000000000002</v>
      </c>
      <c r="P162" s="248">
        <f t="shared" si="22"/>
        <v>0</v>
      </c>
    </row>
    <row r="163" spans="1:16" ht="15" customHeight="1" thickBot="1" x14ac:dyDescent="0.25">
      <c r="A163" s="6" t="s">
        <v>1103</v>
      </c>
      <c r="B163" s="336" t="s">
        <v>1339</v>
      </c>
      <c r="C163" s="6">
        <v>3510601</v>
      </c>
      <c r="D163" s="941" t="s">
        <v>495</v>
      </c>
      <c r="E163" s="942">
        <v>37256</v>
      </c>
      <c r="F163" s="6"/>
      <c r="G163" s="6">
        <v>37148</v>
      </c>
      <c r="H163" s="6" t="s">
        <v>371</v>
      </c>
      <c r="I163" s="307" t="s">
        <v>1424</v>
      </c>
      <c r="J163" s="245" t="str">
        <f t="shared" si="20"/>
        <v>GW</v>
      </c>
      <c r="K163" s="245">
        <f t="shared" si="23"/>
        <v>0</v>
      </c>
      <c r="L163" s="245">
        <f t="shared" si="24"/>
        <v>0</v>
      </c>
      <c r="M163" s="259">
        <f t="shared" si="25"/>
        <v>2.2000000000000002</v>
      </c>
      <c r="N163" s="720">
        <v>0</v>
      </c>
      <c r="O163" s="247">
        <f t="shared" si="21"/>
        <v>2.2000000000000002</v>
      </c>
      <c r="P163" s="248">
        <f t="shared" si="22"/>
        <v>0</v>
      </c>
    </row>
    <row r="164" spans="1:16" ht="15" customHeight="1" thickBot="1" x14ac:dyDescent="0.25">
      <c r="A164" s="6" t="s">
        <v>1103</v>
      </c>
      <c r="B164" s="336" t="s">
        <v>1340</v>
      </c>
      <c r="C164" s="6">
        <v>3513301</v>
      </c>
      <c r="D164" s="941" t="s">
        <v>495</v>
      </c>
      <c r="E164" s="942">
        <v>37256</v>
      </c>
      <c r="F164" s="6"/>
      <c r="G164" s="6">
        <v>37148</v>
      </c>
      <c r="H164" s="6" t="s">
        <v>371</v>
      </c>
      <c r="I164" s="307" t="s">
        <v>1424</v>
      </c>
      <c r="J164" s="245" t="str">
        <f t="shared" si="20"/>
        <v>GW</v>
      </c>
      <c r="K164" s="245">
        <f t="shared" si="23"/>
        <v>0</v>
      </c>
      <c r="L164" s="245">
        <f t="shared" si="24"/>
        <v>0</v>
      </c>
      <c r="M164" s="259">
        <f t="shared" si="25"/>
        <v>2.2000000000000002</v>
      </c>
      <c r="N164" s="720">
        <v>0</v>
      </c>
      <c r="O164" s="247">
        <f t="shared" si="21"/>
        <v>2.2000000000000002</v>
      </c>
      <c r="P164" s="248">
        <f t="shared" si="22"/>
        <v>0</v>
      </c>
    </row>
    <row r="165" spans="1:16" ht="15" customHeight="1" thickBot="1" x14ac:dyDescent="0.25">
      <c r="A165" s="6" t="s">
        <v>1103</v>
      </c>
      <c r="B165" s="336" t="s">
        <v>1341</v>
      </c>
      <c r="C165" s="6">
        <v>3510801</v>
      </c>
      <c r="D165" s="941" t="s">
        <v>495</v>
      </c>
      <c r="E165" s="942">
        <v>37256</v>
      </c>
      <c r="F165" s="6"/>
      <c r="G165" s="6">
        <v>37148</v>
      </c>
      <c r="H165" s="6" t="s">
        <v>371</v>
      </c>
      <c r="I165" s="307" t="s">
        <v>1424</v>
      </c>
      <c r="J165" s="245" t="str">
        <f t="shared" si="20"/>
        <v>GW</v>
      </c>
      <c r="K165" s="245">
        <f t="shared" si="23"/>
        <v>0</v>
      </c>
      <c r="L165" s="245">
        <f t="shared" si="24"/>
        <v>0</v>
      </c>
      <c r="M165" s="259">
        <f t="shared" si="25"/>
        <v>2.2000000000000002</v>
      </c>
      <c r="N165" s="720">
        <v>0</v>
      </c>
      <c r="O165" s="247">
        <f t="shared" si="21"/>
        <v>2.2000000000000002</v>
      </c>
      <c r="P165" s="248">
        <f t="shared" si="22"/>
        <v>0</v>
      </c>
    </row>
    <row r="166" spans="1:16" ht="15" customHeight="1" thickBot="1" x14ac:dyDescent="0.25">
      <c r="A166" s="6" t="s">
        <v>1103</v>
      </c>
      <c r="B166" s="336" t="s">
        <v>1342</v>
      </c>
      <c r="C166" s="6">
        <v>3526101</v>
      </c>
      <c r="D166" s="941" t="s">
        <v>495</v>
      </c>
      <c r="E166" s="942">
        <v>37256</v>
      </c>
      <c r="F166" s="6"/>
      <c r="G166" s="6">
        <v>37148</v>
      </c>
      <c r="H166" s="6" t="s">
        <v>371</v>
      </c>
      <c r="I166" s="307" t="s">
        <v>1424</v>
      </c>
      <c r="J166" s="245" t="str">
        <f t="shared" si="20"/>
        <v>GW</v>
      </c>
      <c r="K166" s="245">
        <f t="shared" si="23"/>
        <v>0</v>
      </c>
      <c r="L166" s="245">
        <f t="shared" si="24"/>
        <v>0</v>
      </c>
      <c r="M166" s="259">
        <f t="shared" si="25"/>
        <v>2.2000000000000002</v>
      </c>
      <c r="N166" s="720">
        <v>0</v>
      </c>
      <c r="O166" s="247">
        <f t="shared" si="21"/>
        <v>2.2000000000000002</v>
      </c>
      <c r="P166" s="248">
        <f t="shared" si="22"/>
        <v>0</v>
      </c>
    </row>
    <row r="167" spans="1:16" ht="15" customHeight="1" thickBot="1" x14ac:dyDescent="0.25">
      <c r="A167" s="6" t="s">
        <v>1103</v>
      </c>
      <c r="B167" s="336" t="s">
        <v>1345</v>
      </c>
      <c r="C167" s="6">
        <v>4334701</v>
      </c>
      <c r="D167" s="941" t="s">
        <v>495</v>
      </c>
      <c r="E167" s="942">
        <v>37256</v>
      </c>
      <c r="F167" s="6"/>
      <c r="G167" s="6">
        <v>37148</v>
      </c>
      <c r="H167" s="6" t="s">
        <v>371</v>
      </c>
      <c r="I167" s="307" t="s">
        <v>1424</v>
      </c>
      <c r="J167" s="245" t="str">
        <f t="shared" si="20"/>
        <v>GW</v>
      </c>
      <c r="K167" s="245">
        <f t="shared" si="23"/>
        <v>0</v>
      </c>
      <c r="L167" s="245">
        <f t="shared" si="24"/>
        <v>0</v>
      </c>
      <c r="M167" s="259">
        <f t="shared" si="25"/>
        <v>2.2000000000000002</v>
      </c>
      <c r="N167" s="720">
        <v>0</v>
      </c>
      <c r="O167" s="247">
        <f t="shared" si="21"/>
        <v>2.2000000000000002</v>
      </c>
      <c r="P167" s="248">
        <f t="shared" si="22"/>
        <v>0</v>
      </c>
    </row>
    <row r="168" spans="1:16" ht="15" customHeight="1" thickBot="1" x14ac:dyDescent="0.25">
      <c r="A168" s="6" t="s">
        <v>1375</v>
      </c>
      <c r="B168" s="336" t="s">
        <v>1376</v>
      </c>
      <c r="C168" s="6">
        <v>3525501</v>
      </c>
      <c r="D168" s="941" t="s">
        <v>495</v>
      </c>
      <c r="E168" s="942">
        <v>37256</v>
      </c>
      <c r="F168" s="6"/>
      <c r="G168" s="6">
        <v>37148</v>
      </c>
      <c r="H168" s="6" t="s">
        <v>371</v>
      </c>
      <c r="I168" s="307" t="s">
        <v>1424</v>
      </c>
      <c r="J168" s="245" t="str">
        <f t="shared" si="20"/>
        <v>GD</v>
      </c>
      <c r="K168" s="245">
        <f t="shared" si="23"/>
        <v>0</v>
      </c>
      <c r="L168" s="245">
        <f t="shared" si="24"/>
        <v>0</v>
      </c>
      <c r="M168" s="259">
        <f t="shared" si="25"/>
        <v>2.2000000000000002</v>
      </c>
      <c r="N168" s="720">
        <v>0</v>
      </c>
      <c r="O168" s="247">
        <f t="shared" si="21"/>
        <v>2.2000000000000002</v>
      </c>
      <c r="P168" s="248">
        <f t="shared" si="22"/>
        <v>0</v>
      </c>
    </row>
    <row r="169" spans="1:16" ht="15" customHeight="1" thickBot="1" x14ac:dyDescent="0.25">
      <c r="A169" s="6" t="s">
        <v>1103</v>
      </c>
      <c r="B169" s="336" t="s">
        <v>1106</v>
      </c>
      <c r="C169" s="6">
        <v>2152501</v>
      </c>
      <c r="D169" s="941" t="s">
        <v>495</v>
      </c>
      <c r="E169" s="942">
        <v>37256</v>
      </c>
      <c r="F169" s="6"/>
      <c r="G169" s="6">
        <v>37148</v>
      </c>
      <c r="H169" s="6" t="s">
        <v>371</v>
      </c>
      <c r="I169" s="307" t="s">
        <v>1424</v>
      </c>
      <c r="J169" s="245" t="str">
        <f t="shared" si="20"/>
        <v>GW</v>
      </c>
      <c r="K169" s="245">
        <f t="shared" si="23"/>
        <v>0</v>
      </c>
      <c r="L169" s="245">
        <f t="shared" si="24"/>
        <v>0</v>
      </c>
      <c r="M169" s="259">
        <f t="shared" si="25"/>
        <v>2.2000000000000002</v>
      </c>
      <c r="N169" s="720">
        <v>0</v>
      </c>
      <c r="O169" s="247">
        <f t="shared" si="21"/>
        <v>2.2000000000000002</v>
      </c>
      <c r="P169" s="248">
        <f t="shared" si="22"/>
        <v>0</v>
      </c>
    </row>
    <row r="170" spans="1:16" ht="15" customHeight="1" thickBot="1" x14ac:dyDescent="0.25">
      <c r="A170" s="6" t="s">
        <v>1086</v>
      </c>
      <c r="B170" s="336" t="s">
        <v>1091</v>
      </c>
      <c r="C170" s="6">
        <v>2075601</v>
      </c>
      <c r="D170" s="941" t="s">
        <v>495</v>
      </c>
      <c r="E170" s="942">
        <v>37256</v>
      </c>
      <c r="F170" s="6"/>
      <c r="G170" s="6">
        <v>37148</v>
      </c>
      <c r="H170" s="6" t="s">
        <v>371</v>
      </c>
      <c r="I170" s="307" t="s">
        <v>1424</v>
      </c>
      <c r="J170" s="245" t="str">
        <f t="shared" si="20"/>
        <v>GD</v>
      </c>
      <c r="K170" s="245">
        <f t="shared" si="23"/>
        <v>0</v>
      </c>
      <c r="L170" s="245">
        <f t="shared" si="24"/>
        <v>0</v>
      </c>
      <c r="M170" s="259">
        <f t="shared" si="25"/>
        <v>2.2000000000000002</v>
      </c>
      <c r="N170" s="720">
        <v>0</v>
      </c>
      <c r="O170" s="247">
        <f t="shared" si="21"/>
        <v>2.2000000000000002</v>
      </c>
      <c r="P170" s="248">
        <f t="shared" si="22"/>
        <v>0</v>
      </c>
    </row>
    <row r="171" spans="1:16" ht="15" customHeight="1" thickBot="1" x14ac:dyDescent="0.25">
      <c r="A171" s="6" t="s">
        <v>1103</v>
      </c>
      <c r="B171" s="336" t="s">
        <v>1121</v>
      </c>
      <c r="C171" s="6">
        <v>3507801</v>
      </c>
      <c r="D171" s="941" t="s">
        <v>1122</v>
      </c>
      <c r="E171" s="942">
        <v>37257</v>
      </c>
      <c r="F171" s="6"/>
      <c r="G171" s="1">
        <v>38334</v>
      </c>
      <c r="H171" s="1" t="s">
        <v>878</v>
      </c>
      <c r="I171" s="1" t="s">
        <v>1423</v>
      </c>
      <c r="J171" s="245" t="str">
        <f t="shared" si="20"/>
        <v>GW</v>
      </c>
      <c r="K171" s="245">
        <f t="shared" si="23"/>
        <v>0</v>
      </c>
      <c r="L171" s="245">
        <f t="shared" si="24"/>
        <v>0</v>
      </c>
      <c r="M171" s="249">
        <f>M$2*99%</f>
        <v>2.1779999999999999</v>
      </c>
      <c r="N171" s="720">
        <v>0</v>
      </c>
      <c r="O171" s="247">
        <f t="shared" si="21"/>
        <v>2.1779999999999999</v>
      </c>
      <c r="P171" s="248">
        <f t="shared" si="22"/>
        <v>0</v>
      </c>
    </row>
    <row r="172" spans="1:16" ht="15" customHeight="1" thickBot="1" x14ac:dyDescent="0.25">
      <c r="A172" s="6" t="s">
        <v>1103</v>
      </c>
      <c r="B172" s="336" t="s">
        <v>1123</v>
      </c>
      <c r="C172" s="6">
        <v>3507901</v>
      </c>
      <c r="D172" s="941" t="s">
        <v>1122</v>
      </c>
      <c r="E172" s="942">
        <v>37257</v>
      </c>
      <c r="F172" s="6"/>
      <c r="G172" s="1">
        <v>38334</v>
      </c>
      <c r="H172" s="1" t="s">
        <v>878</v>
      </c>
      <c r="I172" s="1" t="s">
        <v>1423</v>
      </c>
      <c r="J172" s="245" t="str">
        <f t="shared" si="20"/>
        <v>GW</v>
      </c>
      <c r="K172" s="245">
        <f t="shared" si="23"/>
        <v>0</v>
      </c>
      <c r="L172" s="245">
        <f t="shared" si="24"/>
        <v>0</v>
      </c>
      <c r="M172" s="249">
        <f>M$2*99%</f>
        <v>2.1779999999999999</v>
      </c>
      <c r="N172" s="720">
        <v>0</v>
      </c>
      <c r="O172" s="247">
        <f t="shared" si="21"/>
        <v>2.1779999999999999</v>
      </c>
      <c r="P172" s="248">
        <f t="shared" si="22"/>
        <v>0</v>
      </c>
    </row>
    <row r="173" spans="1:16" ht="15" customHeight="1" thickBot="1" x14ac:dyDescent="0.25">
      <c r="A173" s="6" t="s">
        <v>1103</v>
      </c>
      <c r="B173" s="336" t="s">
        <v>1124</v>
      </c>
      <c r="C173" s="6">
        <v>3508401</v>
      </c>
      <c r="D173" s="941" t="s">
        <v>1122</v>
      </c>
      <c r="E173" s="942">
        <v>37257</v>
      </c>
      <c r="F173" s="6"/>
      <c r="G173" s="1">
        <v>38334</v>
      </c>
      <c r="H173" s="1" t="s">
        <v>878</v>
      </c>
      <c r="I173" s="1" t="s">
        <v>1423</v>
      </c>
      <c r="J173" s="245" t="str">
        <f t="shared" si="20"/>
        <v>GW</v>
      </c>
      <c r="K173" s="245">
        <f t="shared" si="23"/>
        <v>0</v>
      </c>
      <c r="L173" s="245">
        <f t="shared" si="24"/>
        <v>0</v>
      </c>
      <c r="M173" s="249">
        <f>M$2*99%</f>
        <v>2.1779999999999999</v>
      </c>
      <c r="N173" s="720">
        <v>0</v>
      </c>
      <c r="O173" s="247">
        <f t="shared" si="21"/>
        <v>2.1779999999999999</v>
      </c>
      <c r="P173" s="248">
        <f t="shared" si="22"/>
        <v>0</v>
      </c>
    </row>
    <row r="174" spans="1:16" ht="15" customHeight="1" thickBot="1" x14ac:dyDescent="0.25">
      <c r="A174" s="6" t="s">
        <v>1103</v>
      </c>
      <c r="B174" s="336" t="s">
        <v>1307</v>
      </c>
      <c r="C174" s="6">
        <v>3427001</v>
      </c>
      <c r="D174" s="941" t="s">
        <v>1122</v>
      </c>
      <c r="E174" s="942">
        <v>37257</v>
      </c>
      <c r="F174" s="6"/>
      <c r="G174" s="1">
        <v>38334</v>
      </c>
      <c r="H174" s="1" t="s">
        <v>878</v>
      </c>
      <c r="I174" s="1" t="s">
        <v>1423</v>
      </c>
      <c r="J174" s="245" t="str">
        <f t="shared" si="20"/>
        <v>GW</v>
      </c>
      <c r="K174" s="245">
        <f t="shared" si="23"/>
        <v>0</v>
      </c>
      <c r="L174" s="245">
        <f t="shared" si="24"/>
        <v>0</v>
      </c>
      <c r="M174" s="249">
        <f>M$2*99%</f>
        <v>2.1779999999999999</v>
      </c>
      <c r="N174" s="720">
        <v>0</v>
      </c>
      <c r="O174" s="247">
        <f t="shared" si="21"/>
        <v>2.1779999999999999</v>
      </c>
      <c r="P174" s="248">
        <f t="shared" si="22"/>
        <v>0</v>
      </c>
    </row>
    <row r="175" spans="1:16" ht="15" customHeight="1" thickBot="1" x14ac:dyDescent="0.25">
      <c r="A175" s="1" t="s">
        <v>21</v>
      </c>
      <c r="B175" s="1" t="s">
        <v>66</v>
      </c>
      <c r="C175" s="224">
        <v>3153201</v>
      </c>
      <c r="D175" s="6" t="s">
        <v>67</v>
      </c>
      <c r="E175" s="938" t="s">
        <v>1403</v>
      </c>
      <c r="F175" s="1" t="s">
        <v>67</v>
      </c>
      <c r="G175" s="224">
        <v>211568</v>
      </c>
      <c r="H175" s="224"/>
      <c r="I175" s="590" t="s">
        <v>1424</v>
      </c>
      <c r="J175" s="245" t="str">
        <f t="shared" si="20"/>
        <v>na</v>
      </c>
      <c r="K175" s="245" t="str">
        <f t="shared" si="23"/>
        <v>na</v>
      </c>
      <c r="L175" s="245">
        <f t="shared" si="24"/>
        <v>0</v>
      </c>
      <c r="M175" s="249">
        <f>$M$2</f>
        <v>2.2000000000000002</v>
      </c>
      <c r="N175" s="720">
        <v>0</v>
      </c>
      <c r="O175" s="247">
        <f t="shared" si="21"/>
        <v>2.2000000000000002</v>
      </c>
      <c r="P175" s="248">
        <f t="shared" si="22"/>
        <v>0</v>
      </c>
    </row>
    <row r="176" spans="1:16" ht="15" customHeight="1" thickBot="1" x14ac:dyDescent="0.25">
      <c r="A176" s="6" t="s">
        <v>831</v>
      </c>
      <c r="B176" s="336" t="s">
        <v>880</v>
      </c>
      <c r="C176" s="6" t="s">
        <v>831</v>
      </c>
      <c r="D176" s="6" t="s">
        <v>881</v>
      </c>
      <c r="E176" s="938" t="s">
        <v>1403</v>
      </c>
      <c r="F176" s="6"/>
      <c r="G176" s="1">
        <v>43001</v>
      </c>
      <c r="H176" s="1" t="s">
        <v>882</v>
      </c>
      <c r="I176" s="1" t="s">
        <v>507</v>
      </c>
      <c r="J176" s="245" t="str">
        <f t="shared" si="20"/>
        <v>na</v>
      </c>
      <c r="K176" s="245" t="str">
        <f t="shared" si="23"/>
        <v>na</v>
      </c>
      <c r="L176" s="245">
        <f t="shared" si="24"/>
        <v>0</v>
      </c>
      <c r="M176" s="249">
        <f>M$3*98%</f>
        <v>2.1168</v>
      </c>
      <c r="N176" s="720">
        <v>0</v>
      </c>
      <c r="O176" s="247">
        <f t="shared" si="21"/>
        <v>2.1168</v>
      </c>
      <c r="P176" s="248">
        <f t="shared" ref="P176:P208" si="26">L176*O176</f>
        <v>0</v>
      </c>
    </row>
    <row r="177" spans="1:16" ht="15" customHeight="1" thickBot="1" x14ac:dyDescent="0.25">
      <c r="A177" s="6" t="s">
        <v>831</v>
      </c>
      <c r="B177" s="336" t="s">
        <v>883</v>
      </c>
      <c r="C177" s="6" t="s">
        <v>831</v>
      </c>
      <c r="D177" s="6" t="s">
        <v>881</v>
      </c>
      <c r="E177" s="938" t="s">
        <v>1403</v>
      </c>
      <c r="F177" s="6"/>
      <c r="G177" s="1">
        <v>43001</v>
      </c>
      <c r="H177" s="1" t="s">
        <v>882</v>
      </c>
      <c r="I177" s="1" t="s">
        <v>507</v>
      </c>
      <c r="J177" s="245" t="str">
        <f t="shared" si="20"/>
        <v>na</v>
      </c>
      <c r="K177" s="245" t="str">
        <f t="shared" si="23"/>
        <v>na</v>
      </c>
      <c r="L177" s="245">
        <f t="shared" si="24"/>
        <v>0</v>
      </c>
      <c r="M177" s="249">
        <f>M$3*98%</f>
        <v>2.1168</v>
      </c>
      <c r="N177" s="720">
        <v>0</v>
      </c>
      <c r="O177" s="247">
        <f t="shared" si="21"/>
        <v>2.1168</v>
      </c>
      <c r="P177" s="248">
        <f t="shared" si="26"/>
        <v>0</v>
      </c>
    </row>
    <row r="178" spans="1:16" ht="15" customHeight="1" thickBot="1" x14ac:dyDescent="0.25">
      <c r="A178" s="6" t="s">
        <v>1103</v>
      </c>
      <c r="B178" s="336" t="s">
        <v>1266</v>
      </c>
      <c r="C178" s="6">
        <v>4058801</v>
      </c>
      <c r="D178" s="6" t="s">
        <v>200</v>
      </c>
      <c r="E178" s="938" t="s">
        <v>1403</v>
      </c>
      <c r="F178" s="6"/>
      <c r="G178" s="1">
        <v>70649</v>
      </c>
      <c r="H178" s="1" t="s">
        <v>939</v>
      </c>
      <c r="I178" s="1" t="s">
        <v>909</v>
      </c>
      <c r="J178" s="245" t="str">
        <f t="shared" si="20"/>
        <v>GW</v>
      </c>
      <c r="K178" s="245">
        <f t="shared" si="23"/>
        <v>0</v>
      </c>
      <c r="L178" s="245">
        <f t="shared" si="24"/>
        <v>0</v>
      </c>
      <c r="M178" s="249">
        <f>$M$2*95%</f>
        <v>2.09</v>
      </c>
      <c r="N178" s="720">
        <v>0</v>
      </c>
      <c r="O178" s="247">
        <f t="shared" si="21"/>
        <v>2.09</v>
      </c>
      <c r="P178" s="248">
        <f t="shared" si="26"/>
        <v>0</v>
      </c>
    </row>
    <row r="179" spans="1:16" ht="15" customHeight="1" thickBot="1" x14ac:dyDescent="0.25">
      <c r="A179" s="6" t="s">
        <v>1103</v>
      </c>
      <c r="B179" s="336" t="s">
        <v>1270</v>
      </c>
      <c r="C179" s="6">
        <v>4043501</v>
      </c>
      <c r="D179" s="6" t="s">
        <v>200</v>
      </c>
      <c r="E179" s="938" t="s">
        <v>1403</v>
      </c>
      <c r="F179" s="6"/>
      <c r="G179" s="1">
        <v>70649</v>
      </c>
      <c r="H179" s="1" t="s">
        <v>939</v>
      </c>
      <c r="I179" s="1" t="s">
        <v>909</v>
      </c>
      <c r="J179" s="245" t="str">
        <f t="shared" si="20"/>
        <v>GW</v>
      </c>
      <c r="K179" s="245">
        <f t="shared" si="23"/>
        <v>0</v>
      </c>
      <c r="L179" s="245">
        <f t="shared" si="24"/>
        <v>0</v>
      </c>
      <c r="M179" s="249">
        <f>$M$2*95%</f>
        <v>2.09</v>
      </c>
      <c r="N179" s="720">
        <v>0</v>
      </c>
      <c r="O179" s="247">
        <f t="shared" si="21"/>
        <v>2.09</v>
      </c>
      <c r="P179" s="248">
        <f t="shared" si="26"/>
        <v>0</v>
      </c>
    </row>
    <row r="180" spans="1:16" ht="15" customHeight="1" thickBot="1" x14ac:dyDescent="0.25">
      <c r="A180" s="6" t="s">
        <v>1103</v>
      </c>
      <c r="B180" s="336" t="s">
        <v>1361</v>
      </c>
      <c r="C180" s="250">
        <v>3046501</v>
      </c>
      <c r="D180" s="668" t="s">
        <v>884</v>
      </c>
      <c r="E180" s="940">
        <v>37228</v>
      </c>
      <c r="F180" s="359"/>
      <c r="G180" s="359">
        <v>224027</v>
      </c>
      <c r="H180" s="359" t="s">
        <v>885</v>
      </c>
      <c r="I180" s="359" t="s">
        <v>1423</v>
      </c>
      <c r="J180" s="430" t="str">
        <f t="shared" si="20"/>
        <v>GW</v>
      </c>
      <c r="K180" s="245">
        <f t="shared" si="23"/>
        <v>0</v>
      </c>
      <c r="L180" s="245">
        <f t="shared" si="24"/>
        <v>0</v>
      </c>
      <c r="M180" s="670" t="e">
        <f>+CNGPricing!$H$115</f>
        <v>#DIV/0!</v>
      </c>
      <c r="N180" s="720">
        <v>0</v>
      </c>
      <c r="O180" s="376" t="e">
        <f t="shared" si="21"/>
        <v>#DIV/0!</v>
      </c>
      <c r="P180" s="377" t="e">
        <f t="shared" si="26"/>
        <v>#DIV/0!</v>
      </c>
    </row>
    <row r="181" spans="1:16" ht="15" customHeight="1" thickBot="1" x14ac:dyDescent="0.25">
      <c r="A181" s="6" t="s">
        <v>1103</v>
      </c>
      <c r="B181" s="336" t="s">
        <v>1300</v>
      </c>
      <c r="C181" s="250">
        <v>3123401</v>
      </c>
      <c r="D181" s="668" t="s">
        <v>884</v>
      </c>
      <c r="E181" s="940">
        <v>37228</v>
      </c>
      <c r="F181" s="359"/>
      <c r="G181" s="359">
        <v>224027</v>
      </c>
      <c r="H181" s="359" t="s">
        <v>885</v>
      </c>
      <c r="I181" s="359" t="s">
        <v>1423</v>
      </c>
      <c r="J181" s="430" t="str">
        <f t="shared" si="20"/>
        <v>GW</v>
      </c>
      <c r="K181" s="245">
        <f t="shared" si="23"/>
        <v>0</v>
      </c>
      <c r="L181" s="245">
        <f t="shared" si="24"/>
        <v>0</v>
      </c>
      <c r="M181" s="670" t="e">
        <f>+CNGPricing!$H$115</f>
        <v>#DIV/0!</v>
      </c>
      <c r="N181" s="720">
        <v>0</v>
      </c>
      <c r="O181" s="376" t="e">
        <f t="shared" si="21"/>
        <v>#DIV/0!</v>
      </c>
      <c r="P181" s="377" t="e">
        <f t="shared" si="26"/>
        <v>#DIV/0!</v>
      </c>
    </row>
    <row r="182" spans="1:16" ht="15" customHeight="1" thickBot="1" x14ac:dyDescent="0.25">
      <c r="A182" s="6" t="s">
        <v>1103</v>
      </c>
      <c r="B182" s="336" t="s">
        <v>1373</v>
      </c>
      <c r="C182" s="250">
        <v>3136601</v>
      </c>
      <c r="D182" s="668" t="s">
        <v>884</v>
      </c>
      <c r="E182" s="940">
        <v>37228</v>
      </c>
      <c r="F182" s="359"/>
      <c r="G182" s="359">
        <v>224027</v>
      </c>
      <c r="H182" s="359" t="s">
        <v>885</v>
      </c>
      <c r="I182" s="359" t="s">
        <v>1423</v>
      </c>
      <c r="J182" s="430" t="str">
        <f t="shared" si="20"/>
        <v>TW</v>
      </c>
      <c r="K182" s="245">
        <f t="shared" si="23"/>
        <v>0</v>
      </c>
      <c r="L182" s="245">
        <f t="shared" si="24"/>
        <v>0</v>
      </c>
      <c r="M182" s="670" t="e">
        <f>+CNGPricing!$H$115</f>
        <v>#DIV/0!</v>
      </c>
      <c r="N182" s="720">
        <v>0</v>
      </c>
      <c r="O182" s="376" t="e">
        <f t="shared" si="21"/>
        <v>#DIV/0!</v>
      </c>
      <c r="P182" s="377" t="e">
        <f t="shared" si="26"/>
        <v>#DIV/0!</v>
      </c>
    </row>
    <row r="183" spans="1:16" ht="15" customHeight="1" thickBot="1" x14ac:dyDescent="0.25">
      <c r="A183" s="6" t="s">
        <v>1103</v>
      </c>
      <c r="B183" s="336" t="s">
        <v>1290</v>
      </c>
      <c r="C183" s="250">
        <v>3219301</v>
      </c>
      <c r="D183" s="668" t="s">
        <v>884</v>
      </c>
      <c r="E183" s="940">
        <v>37228</v>
      </c>
      <c r="F183" s="359"/>
      <c r="G183" s="359">
        <v>224027</v>
      </c>
      <c r="H183" s="359" t="s">
        <v>885</v>
      </c>
      <c r="I183" s="359" t="s">
        <v>1423</v>
      </c>
      <c r="J183" s="430" t="str">
        <f t="shared" si="20"/>
        <v>GW</v>
      </c>
      <c r="K183" s="245">
        <f t="shared" si="23"/>
        <v>0</v>
      </c>
      <c r="L183" s="245">
        <f t="shared" si="24"/>
        <v>0</v>
      </c>
      <c r="M183" s="670" t="e">
        <f>+CNGPricing!$H$115</f>
        <v>#DIV/0!</v>
      </c>
      <c r="N183" s="720">
        <v>0</v>
      </c>
      <c r="O183" s="376" t="e">
        <f t="shared" si="21"/>
        <v>#DIV/0!</v>
      </c>
      <c r="P183" s="377" t="e">
        <f t="shared" si="26"/>
        <v>#DIV/0!</v>
      </c>
    </row>
    <row r="184" spans="1:16" ht="15" customHeight="1" thickBot="1" x14ac:dyDescent="0.25">
      <c r="A184" s="6" t="s">
        <v>1103</v>
      </c>
      <c r="B184" s="336" t="s">
        <v>1287</v>
      </c>
      <c r="C184" s="250">
        <v>3226701</v>
      </c>
      <c r="D184" s="668" t="s">
        <v>884</v>
      </c>
      <c r="E184" s="940">
        <v>37228</v>
      </c>
      <c r="F184" s="359"/>
      <c r="G184" s="359">
        <v>224027</v>
      </c>
      <c r="H184" s="359" t="s">
        <v>885</v>
      </c>
      <c r="I184" s="359" t="s">
        <v>1423</v>
      </c>
      <c r="J184" s="430" t="str">
        <f t="shared" si="20"/>
        <v>GW</v>
      </c>
      <c r="K184" s="245">
        <f t="shared" si="23"/>
        <v>0</v>
      </c>
      <c r="L184" s="245">
        <f t="shared" si="24"/>
        <v>0</v>
      </c>
      <c r="M184" s="670" t="e">
        <f>+CNGPricing!$H$115</f>
        <v>#DIV/0!</v>
      </c>
      <c r="N184" s="720">
        <v>0</v>
      </c>
      <c r="O184" s="376" t="e">
        <f t="shared" si="21"/>
        <v>#DIV/0!</v>
      </c>
      <c r="P184" s="377" t="e">
        <f t="shared" si="26"/>
        <v>#DIV/0!</v>
      </c>
    </row>
    <row r="185" spans="1:16" ht="15" customHeight="1" thickBot="1" x14ac:dyDescent="0.25">
      <c r="A185" s="6" t="s">
        <v>1103</v>
      </c>
      <c r="B185" s="336" t="s">
        <v>1299</v>
      </c>
      <c r="C185" s="250">
        <v>3290201</v>
      </c>
      <c r="D185" s="668" t="s">
        <v>884</v>
      </c>
      <c r="E185" s="940">
        <v>37228</v>
      </c>
      <c r="F185" s="359"/>
      <c r="G185" s="359">
        <v>224027</v>
      </c>
      <c r="H185" s="359" t="s">
        <v>885</v>
      </c>
      <c r="I185" s="359" t="s">
        <v>1423</v>
      </c>
      <c r="J185" s="430" t="str">
        <f t="shared" si="20"/>
        <v>GW</v>
      </c>
      <c r="K185" s="245">
        <f t="shared" si="23"/>
        <v>0</v>
      </c>
      <c r="L185" s="245">
        <f t="shared" si="24"/>
        <v>0</v>
      </c>
      <c r="M185" s="670" t="e">
        <f>+CNGPricing!$H$115</f>
        <v>#DIV/0!</v>
      </c>
      <c r="N185" s="720">
        <v>0</v>
      </c>
      <c r="O185" s="376" t="e">
        <f t="shared" si="21"/>
        <v>#DIV/0!</v>
      </c>
      <c r="P185" s="377" t="e">
        <f t="shared" si="26"/>
        <v>#DIV/0!</v>
      </c>
    </row>
    <row r="186" spans="1:16" ht="15" customHeight="1" thickBot="1" x14ac:dyDescent="0.25">
      <c r="A186" s="6" t="s">
        <v>1103</v>
      </c>
      <c r="B186" s="336" t="s">
        <v>1298</v>
      </c>
      <c r="C186" s="250">
        <v>3409901</v>
      </c>
      <c r="D186" s="668" t="s">
        <v>884</v>
      </c>
      <c r="E186" s="940">
        <v>37228</v>
      </c>
      <c r="F186" s="359"/>
      <c r="G186" s="359">
        <v>224027</v>
      </c>
      <c r="H186" s="359" t="s">
        <v>885</v>
      </c>
      <c r="I186" s="359" t="s">
        <v>1423</v>
      </c>
      <c r="J186" s="430" t="str">
        <f t="shared" si="20"/>
        <v>GW</v>
      </c>
      <c r="K186" s="245">
        <f t="shared" si="23"/>
        <v>0</v>
      </c>
      <c r="L186" s="245">
        <f t="shared" si="24"/>
        <v>0</v>
      </c>
      <c r="M186" s="670" t="e">
        <f>+CNGPricing!$H$115</f>
        <v>#DIV/0!</v>
      </c>
      <c r="N186" s="720">
        <v>0</v>
      </c>
      <c r="O186" s="376" t="e">
        <f t="shared" si="21"/>
        <v>#DIV/0!</v>
      </c>
      <c r="P186" s="377" t="e">
        <f t="shared" si="26"/>
        <v>#DIV/0!</v>
      </c>
    </row>
    <row r="187" spans="1:16" ht="15" customHeight="1" thickBot="1" x14ac:dyDescent="0.25">
      <c r="A187" s="6" t="s">
        <v>1103</v>
      </c>
      <c r="B187" s="336" t="s">
        <v>1291</v>
      </c>
      <c r="C187" s="250">
        <v>3551401</v>
      </c>
      <c r="D187" s="668" t="s">
        <v>884</v>
      </c>
      <c r="E187" s="940">
        <v>37228</v>
      </c>
      <c r="F187" s="359"/>
      <c r="G187" s="359">
        <v>224027</v>
      </c>
      <c r="H187" s="359" t="s">
        <v>885</v>
      </c>
      <c r="I187" s="359" t="s">
        <v>1423</v>
      </c>
      <c r="J187" s="430" t="str">
        <f t="shared" si="20"/>
        <v>GW</v>
      </c>
      <c r="K187" s="245">
        <f t="shared" si="23"/>
        <v>0</v>
      </c>
      <c r="L187" s="245">
        <f t="shared" si="24"/>
        <v>0</v>
      </c>
      <c r="M187" s="670" t="e">
        <f>+CNGPricing!$H$115</f>
        <v>#DIV/0!</v>
      </c>
      <c r="N187" s="720">
        <v>0</v>
      </c>
      <c r="O187" s="376" t="e">
        <f t="shared" si="21"/>
        <v>#DIV/0!</v>
      </c>
      <c r="P187" s="377" t="e">
        <f t="shared" si="26"/>
        <v>#DIV/0!</v>
      </c>
    </row>
    <row r="188" spans="1:16" ht="15" customHeight="1" thickBot="1" x14ac:dyDescent="0.25">
      <c r="A188" s="6" t="s">
        <v>1363</v>
      </c>
      <c r="B188" s="336" t="s">
        <v>1362</v>
      </c>
      <c r="C188" s="250">
        <v>3562001</v>
      </c>
      <c r="D188" s="668" t="s">
        <v>884</v>
      </c>
      <c r="E188" s="940">
        <v>37228</v>
      </c>
      <c r="F188" s="359"/>
      <c r="G188" s="359">
        <v>224027</v>
      </c>
      <c r="H188" s="359" t="s">
        <v>885</v>
      </c>
      <c r="I188" s="359" t="s">
        <v>1423</v>
      </c>
      <c r="J188" s="430" t="str">
        <f t="shared" si="20"/>
        <v>GW</v>
      </c>
      <c r="K188" s="245">
        <f t="shared" si="23"/>
        <v>0</v>
      </c>
      <c r="L188" s="245">
        <f t="shared" si="24"/>
        <v>0</v>
      </c>
      <c r="M188" s="670" t="e">
        <f>+CNGPricing!$H$115</f>
        <v>#DIV/0!</v>
      </c>
      <c r="N188" s="720">
        <v>0</v>
      </c>
      <c r="O188" s="376" t="e">
        <f t="shared" si="21"/>
        <v>#DIV/0!</v>
      </c>
      <c r="P188" s="377" t="e">
        <f t="shared" si="26"/>
        <v>#DIV/0!</v>
      </c>
    </row>
    <row r="189" spans="1:16" ht="15" customHeight="1" thickBot="1" x14ac:dyDescent="0.25">
      <c r="A189" s="6" t="s">
        <v>1103</v>
      </c>
      <c r="B189" s="336" t="s">
        <v>1149</v>
      </c>
      <c r="C189" s="250">
        <v>3565501</v>
      </c>
      <c r="D189" s="668" t="s">
        <v>884</v>
      </c>
      <c r="E189" s="940">
        <v>37228</v>
      </c>
      <c r="F189" s="359"/>
      <c r="G189" s="359">
        <v>224027</v>
      </c>
      <c r="H189" s="359" t="s">
        <v>885</v>
      </c>
      <c r="I189" s="359" t="s">
        <v>1423</v>
      </c>
      <c r="J189" s="430" t="str">
        <f t="shared" si="20"/>
        <v>GW</v>
      </c>
      <c r="K189" s="245">
        <f t="shared" si="23"/>
        <v>0</v>
      </c>
      <c r="L189" s="245">
        <f t="shared" si="24"/>
        <v>0</v>
      </c>
      <c r="M189" s="670" t="e">
        <f>+CNGPricing!$H$115</f>
        <v>#DIV/0!</v>
      </c>
      <c r="N189" s="720">
        <v>0</v>
      </c>
      <c r="O189" s="376" t="e">
        <f t="shared" si="21"/>
        <v>#DIV/0!</v>
      </c>
      <c r="P189" s="377" t="e">
        <f t="shared" si="26"/>
        <v>#DIV/0!</v>
      </c>
    </row>
    <row r="190" spans="1:16" ht="15" customHeight="1" thickBot="1" x14ac:dyDescent="0.25">
      <c r="A190" s="6" t="s">
        <v>1103</v>
      </c>
      <c r="B190" s="336" t="s">
        <v>1157</v>
      </c>
      <c r="C190" s="250">
        <v>3573701</v>
      </c>
      <c r="D190" s="668" t="s">
        <v>884</v>
      </c>
      <c r="E190" s="940">
        <v>37228</v>
      </c>
      <c r="F190" s="359"/>
      <c r="G190" s="359">
        <v>224027</v>
      </c>
      <c r="H190" s="359" t="s">
        <v>885</v>
      </c>
      <c r="I190" s="359" t="s">
        <v>1423</v>
      </c>
      <c r="J190" s="430" t="str">
        <f>IF(ISNA(VLOOKUP(B190,cngdata,7,FALSE)),"na",VLOOKUP(B190,cngdata,7,FALSE))</f>
        <v>GW</v>
      </c>
      <c r="K190" s="245">
        <f t="shared" si="23"/>
        <v>0</v>
      </c>
      <c r="L190" s="245">
        <f t="shared" si="24"/>
        <v>0</v>
      </c>
      <c r="M190" s="670" t="e">
        <f>+CNGPricing!$H$115</f>
        <v>#DIV/0!</v>
      </c>
      <c r="N190" s="720">
        <v>0</v>
      </c>
      <c r="O190" s="376" t="e">
        <f>M190-N190</f>
        <v>#DIV/0!</v>
      </c>
      <c r="P190" s="377" t="e">
        <f>L190*O190</f>
        <v>#DIV/0!</v>
      </c>
    </row>
    <row r="191" spans="1:16" ht="15" customHeight="1" thickBot="1" x14ac:dyDescent="0.25">
      <c r="A191" t="s">
        <v>1103</v>
      </c>
      <c r="B191" t="s">
        <v>948</v>
      </c>
      <c r="C191" s="702">
        <v>3585801</v>
      </c>
      <c r="D191" s="668" t="s">
        <v>884</v>
      </c>
      <c r="E191" s="940">
        <v>37228</v>
      </c>
      <c r="F191" s="359"/>
      <c r="G191" s="359">
        <v>224027</v>
      </c>
      <c r="H191" s="359" t="s">
        <v>885</v>
      </c>
      <c r="I191" s="359" t="s">
        <v>1423</v>
      </c>
      <c r="J191" s="430" t="str">
        <f t="shared" si="20"/>
        <v>GW</v>
      </c>
      <c r="K191" s="245">
        <f t="shared" si="23"/>
        <v>0</v>
      </c>
      <c r="L191" s="245">
        <f t="shared" si="24"/>
        <v>0</v>
      </c>
      <c r="M191" s="670" t="e">
        <f>+CNGPricing!$H$115</f>
        <v>#DIV/0!</v>
      </c>
      <c r="N191" s="720">
        <v>0</v>
      </c>
      <c r="O191" s="376" t="e">
        <f t="shared" si="21"/>
        <v>#DIV/0!</v>
      </c>
      <c r="P191" s="377" t="e">
        <f t="shared" si="26"/>
        <v>#DIV/0!</v>
      </c>
    </row>
    <row r="192" spans="1:16" ht="15" customHeight="1" thickBot="1" x14ac:dyDescent="0.25">
      <c r="A192" s="6" t="s">
        <v>1103</v>
      </c>
      <c r="B192" s="336" t="s">
        <v>1321</v>
      </c>
      <c r="C192" s="6">
        <v>2038501</v>
      </c>
      <c r="D192" s="6" t="s">
        <v>1322</v>
      </c>
      <c r="E192" s="938" t="s">
        <v>1403</v>
      </c>
      <c r="F192" s="6"/>
      <c r="G192" s="1">
        <v>44782</v>
      </c>
      <c r="H192" s="1" t="s">
        <v>891</v>
      </c>
      <c r="I192" s="1" t="s">
        <v>836</v>
      </c>
      <c r="J192" s="245" t="str">
        <f t="shared" si="20"/>
        <v>GW</v>
      </c>
      <c r="K192" s="245">
        <f t="shared" si="23"/>
        <v>0</v>
      </c>
      <c r="L192" s="245">
        <f t="shared" si="24"/>
        <v>0</v>
      </c>
      <c r="M192" s="249">
        <f>$M$2-0.08</f>
        <v>2.12</v>
      </c>
      <c r="N192" s="720">
        <v>0</v>
      </c>
      <c r="O192" s="247">
        <f t="shared" si="21"/>
        <v>2.12</v>
      </c>
      <c r="P192" s="248">
        <f t="shared" si="26"/>
        <v>0</v>
      </c>
    </row>
    <row r="193" spans="1:17" ht="15" customHeight="1" thickBot="1" x14ac:dyDescent="0.25">
      <c r="A193" s="6" t="s">
        <v>831</v>
      </c>
      <c r="B193" s="336" t="s">
        <v>892</v>
      </c>
      <c r="C193" s="6" t="s">
        <v>831</v>
      </c>
      <c r="D193" s="16" t="s">
        <v>893</v>
      </c>
      <c r="E193" s="938" t="s">
        <v>1403</v>
      </c>
      <c r="F193" s="16"/>
      <c r="G193" s="16">
        <v>50329</v>
      </c>
      <c r="H193" s="16" t="s">
        <v>894</v>
      </c>
      <c r="I193" s="16" t="s">
        <v>895</v>
      </c>
      <c r="J193" s="245" t="str">
        <f t="shared" si="20"/>
        <v>na</v>
      </c>
      <c r="K193" s="245" t="str">
        <f t="shared" si="23"/>
        <v>na</v>
      </c>
      <c r="L193" s="245">
        <f t="shared" si="24"/>
        <v>0</v>
      </c>
      <c r="M193" s="375">
        <f>+$M$3</f>
        <v>2.16</v>
      </c>
      <c r="N193" s="720">
        <v>0</v>
      </c>
      <c r="O193" s="376">
        <f t="shared" si="21"/>
        <v>2.16</v>
      </c>
      <c r="P193" s="377">
        <f t="shared" si="26"/>
        <v>0</v>
      </c>
    </row>
    <row r="194" spans="1:17" ht="15" customHeight="1" thickBot="1" x14ac:dyDescent="0.25">
      <c r="A194" s="6" t="s">
        <v>831</v>
      </c>
      <c r="B194" s="336" t="s">
        <v>896</v>
      </c>
      <c r="C194" s="6" t="s">
        <v>831</v>
      </c>
      <c r="D194" s="16" t="s">
        <v>893</v>
      </c>
      <c r="E194" s="938" t="s">
        <v>1403</v>
      </c>
      <c r="F194" s="16"/>
      <c r="G194" s="16">
        <v>50329</v>
      </c>
      <c r="H194" s="16" t="s">
        <v>894</v>
      </c>
      <c r="I194" s="16" t="s">
        <v>895</v>
      </c>
      <c r="J194" s="245" t="str">
        <f t="shared" si="20"/>
        <v>na</v>
      </c>
      <c r="K194" s="245" t="str">
        <f t="shared" si="23"/>
        <v>na</v>
      </c>
      <c r="L194" s="245">
        <f t="shared" si="24"/>
        <v>0</v>
      </c>
      <c r="M194" s="375">
        <f>+$M$3</f>
        <v>2.16</v>
      </c>
      <c r="N194" s="720">
        <v>0</v>
      </c>
      <c r="O194" s="376">
        <f t="shared" si="21"/>
        <v>2.16</v>
      </c>
      <c r="P194" s="377">
        <f t="shared" si="26"/>
        <v>0</v>
      </c>
    </row>
    <row r="195" spans="1:17" ht="15" customHeight="1" thickBot="1" x14ac:dyDescent="0.25">
      <c r="A195" s="6" t="s">
        <v>831</v>
      </c>
      <c r="B195" s="336" t="s">
        <v>897</v>
      </c>
      <c r="C195" s="6" t="s">
        <v>831</v>
      </c>
      <c r="D195" s="16" t="s">
        <v>893</v>
      </c>
      <c r="E195" s="938" t="s">
        <v>1403</v>
      </c>
      <c r="F195" s="16"/>
      <c r="G195" s="16">
        <v>50329</v>
      </c>
      <c r="H195" s="16" t="s">
        <v>894</v>
      </c>
      <c r="I195" s="16" t="s">
        <v>895</v>
      </c>
      <c r="J195" s="245" t="str">
        <f t="shared" si="20"/>
        <v>na</v>
      </c>
      <c r="K195" s="245" t="str">
        <f t="shared" si="23"/>
        <v>na</v>
      </c>
      <c r="L195" s="245">
        <f t="shared" si="24"/>
        <v>0</v>
      </c>
      <c r="M195" s="375">
        <f>+$M$3</f>
        <v>2.16</v>
      </c>
      <c r="N195" s="720">
        <v>0</v>
      </c>
      <c r="O195" s="376">
        <f t="shared" si="21"/>
        <v>2.16</v>
      </c>
      <c r="P195" s="377">
        <f t="shared" si="26"/>
        <v>0</v>
      </c>
    </row>
    <row r="196" spans="1:17" ht="15" customHeight="1" thickBot="1" x14ac:dyDescent="0.25">
      <c r="A196" s="6" t="s">
        <v>831</v>
      </c>
      <c r="B196" s="336" t="s">
        <v>898</v>
      </c>
      <c r="C196" s="6" t="s">
        <v>831</v>
      </c>
      <c r="D196" s="16" t="s">
        <v>893</v>
      </c>
      <c r="E196" s="938" t="s">
        <v>1403</v>
      </c>
      <c r="F196" s="16"/>
      <c r="G196" s="16">
        <v>50329</v>
      </c>
      <c r="H196" s="16" t="s">
        <v>894</v>
      </c>
      <c r="I196" s="16" t="s">
        <v>895</v>
      </c>
      <c r="J196" s="245" t="str">
        <f t="shared" si="20"/>
        <v>na</v>
      </c>
      <c r="K196" s="245" t="str">
        <f t="shared" si="23"/>
        <v>na</v>
      </c>
      <c r="L196" s="245">
        <f t="shared" si="24"/>
        <v>0</v>
      </c>
      <c r="M196" s="375">
        <f>+$M$3</f>
        <v>2.16</v>
      </c>
      <c r="N196" s="720">
        <v>0</v>
      </c>
      <c r="O196" s="376">
        <f t="shared" si="21"/>
        <v>2.16</v>
      </c>
      <c r="P196" s="377">
        <f t="shared" si="26"/>
        <v>0</v>
      </c>
    </row>
    <row r="197" spans="1:17" ht="15" customHeight="1" thickBot="1" x14ac:dyDescent="0.25">
      <c r="A197" s="6" t="s">
        <v>1103</v>
      </c>
      <c r="B197" s="336" t="s">
        <v>1163</v>
      </c>
      <c r="C197" s="6">
        <v>4342301</v>
      </c>
      <c r="D197" s="6" t="s">
        <v>899</v>
      </c>
      <c r="E197" s="938" t="s">
        <v>1403</v>
      </c>
      <c r="F197" s="6"/>
      <c r="G197" s="1">
        <v>52911</v>
      </c>
      <c r="H197" s="1" t="s">
        <v>900</v>
      </c>
      <c r="I197" s="1" t="s">
        <v>1424</v>
      </c>
      <c r="J197" s="245" t="str">
        <f t="shared" si="20"/>
        <v>GW</v>
      </c>
      <c r="K197" s="245">
        <f t="shared" si="23"/>
        <v>0</v>
      </c>
      <c r="L197" s="245">
        <f t="shared" si="24"/>
        <v>0</v>
      </c>
      <c r="M197" s="249">
        <f>M$2*100%</f>
        <v>2.2000000000000002</v>
      </c>
      <c r="N197" s="720">
        <v>0</v>
      </c>
      <c r="O197" s="247">
        <f t="shared" si="21"/>
        <v>2.2000000000000002</v>
      </c>
      <c r="P197" s="248">
        <f t="shared" si="26"/>
        <v>0</v>
      </c>
    </row>
    <row r="198" spans="1:17" ht="15" customHeight="1" thickBot="1" x14ac:dyDescent="0.25">
      <c r="A198" s="1" t="s">
        <v>2089</v>
      </c>
      <c r="B198" s="1" t="s">
        <v>1761</v>
      </c>
      <c r="C198" s="1">
        <v>3576601</v>
      </c>
      <c r="D198" s="6" t="s">
        <v>901</v>
      </c>
      <c r="E198" s="938" t="s">
        <v>1403</v>
      </c>
      <c r="F198" s="6"/>
      <c r="G198" s="6">
        <v>69167</v>
      </c>
      <c r="H198" s="1" t="s">
        <v>426</v>
      </c>
      <c r="I198" s="1" t="s">
        <v>1424</v>
      </c>
      <c r="J198" s="245" t="str">
        <f t="shared" si="20"/>
        <v>GW</v>
      </c>
      <c r="K198" s="245">
        <f t="shared" si="23"/>
        <v>0</v>
      </c>
      <c r="L198" s="245">
        <f t="shared" si="24"/>
        <v>0</v>
      </c>
      <c r="M198" s="249">
        <f>$M$2</f>
        <v>2.2000000000000002</v>
      </c>
      <c r="N198" s="720">
        <v>0</v>
      </c>
      <c r="O198" s="247">
        <f t="shared" si="21"/>
        <v>2.2000000000000002</v>
      </c>
      <c r="P198" s="248">
        <f t="shared" si="26"/>
        <v>0</v>
      </c>
    </row>
    <row r="199" spans="1:17" ht="15" customHeight="1" thickBot="1" x14ac:dyDescent="0.25">
      <c r="A199" s="1" t="s">
        <v>2089</v>
      </c>
      <c r="B199" s="1" t="s">
        <v>1762</v>
      </c>
      <c r="C199" s="1">
        <v>3584401</v>
      </c>
      <c r="D199" s="6" t="s">
        <v>901</v>
      </c>
      <c r="E199" s="938" t="s">
        <v>1403</v>
      </c>
      <c r="F199" s="6"/>
      <c r="G199" s="6">
        <v>69167</v>
      </c>
      <c r="H199" s="1" t="s">
        <v>426</v>
      </c>
      <c r="I199" s="1" t="s">
        <v>1424</v>
      </c>
      <c r="J199" s="245" t="str">
        <f>IF(ISNA(VLOOKUP(B199,cngdata,7,FALSE)),"na",VLOOKUP(B199,cngdata,7,FALSE))</f>
        <v>GW</v>
      </c>
      <c r="K199" s="245">
        <f>IF(ISNA(VLOOKUP(B199,cngdata,13,FALSE)),"na",VLOOKUP(B199,cngdata,13,FALSE))</f>
        <v>0</v>
      </c>
      <c r="L199" s="245">
        <f>IF(ISNA(VLOOKUP(B199,cngdata,14,FALSE)),0,VLOOKUP(B199,cngdata,14,FALSE))</f>
        <v>0</v>
      </c>
      <c r="M199" s="249">
        <f>$M$2</f>
        <v>2.2000000000000002</v>
      </c>
      <c r="N199" s="720">
        <v>0</v>
      </c>
      <c r="O199" s="247">
        <f>M199-N199</f>
        <v>2.2000000000000002</v>
      </c>
      <c r="P199" s="248">
        <f>L199*O199</f>
        <v>0</v>
      </c>
    </row>
    <row r="200" spans="1:17" ht="15" customHeight="1" thickBot="1" x14ac:dyDescent="0.25">
      <c r="A200" s="6" t="s">
        <v>1103</v>
      </c>
      <c r="B200" s="336" t="s">
        <v>1284</v>
      </c>
      <c r="C200" s="6">
        <v>3223401</v>
      </c>
      <c r="D200" s="6" t="s">
        <v>901</v>
      </c>
      <c r="E200" s="938" t="s">
        <v>1403</v>
      </c>
      <c r="F200" s="6"/>
      <c r="G200" s="6">
        <v>69167</v>
      </c>
      <c r="H200" s="1" t="s">
        <v>426</v>
      </c>
      <c r="I200" s="1" t="s">
        <v>1424</v>
      </c>
      <c r="J200" s="245" t="str">
        <f>IF(ISNA(VLOOKUP(B200,cngdata,7,FALSE)),"na",VLOOKUP(B200,cngdata,7,FALSE))</f>
        <v>GW</v>
      </c>
      <c r="K200" s="245">
        <f>IF(ISNA(VLOOKUP(B200,cngdata,13,FALSE)),"na",VLOOKUP(B200,cngdata,13,FALSE))</f>
        <v>0</v>
      </c>
      <c r="L200" s="245">
        <f>IF(ISNA(VLOOKUP(B200,cngdata,14,FALSE)),0,VLOOKUP(B200,cngdata,14,FALSE))</f>
        <v>0</v>
      </c>
      <c r="M200" s="249">
        <f>$M$2</f>
        <v>2.2000000000000002</v>
      </c>
      <c r="N200" s="720">
        <v>0</v>
      </c>
      <c r="O200" s="247">
        <f>M200-N200</f>
        <v>2.2000000000000002</v>
      </c>
      <c r="P200" s="248">
        <f>L200*O200</f>
        <v>0</v>
      </c>
    </row>
    <row r="201" spans="1:17" ht="15" customHeight="1" thickBot="1" x14ac:dyDescent="0.25">
      <c r="A201" s="6" t="s">
        <v>1363</v>
      </c>
      <c r="B201" s="336" t="s">
        <v>1371</v>
      </c>
      <c r="C201" s="6">
        <v>3124201</v>
      </c>
      <c r="D201" s="6" t="s">
        <v>901</v>
      </c>
      <c r="E201" s="938" t="s">
        <v>1403</v>
      </c>
      <c r="F201" s="6"/>
      <c r="G201" s="6">
        <v>69167</v>
      </c>
      <c r="H201" s="1" t="s">
        <v>426</v>
      </c>
      <c r="I201" s="1" t="s">
        <v>1424</v>
      </c>
      <c r="J201" s="245" t="str">
        <f t="shared" si="20"/>
        <v>TW</v>
      </c>
      <c r="K201" s="245">
        <f t="shared" si="23"/>
        <v>0</v>
      </c>
      <c r="L201" s="245">
        <f t="shared" si="24"/>
        <v>0</v>
      </c>
      <c r="M201" s="249">
        <f>$M$2</f>
        <v>2.2000000000000002</v>
      </c>
      <c r="N201" s="720">
        <v>0</v>
      </c>
      <c r="O201" s="247">
        <f t="shared" si="21"/>
        <v>2.2000000000000002</v>
      </c>
      <c r="P201" s="248">
        <f t="shared" si="26"/>
        <v>0</v>
      </c>
    </row>
    <row r="202" spans="1:17" ht="15" customHeight="1" thickBot="1" x14ac:dyDescent="0.25">
      <c r="A202" s="6" t="s">
        <v>1103</v>
      </c>
      <c r="B202" s="336" t="s">
        <v>1285</v>
      </c>
      <c r="C202" s="6">
        <v>3245501</v>
      </c>
      <c r="D202" s="6" t="s">
        <v>901</v>
      </c>
      <c r="E202" s="938" t="s">
        <v>1403</v>
      </c>
      <c r="F202" s="6"/>
      <c r="G202" s="6">
        <v>69167</v>
      </c>
      <c r="H202" s="1" t="s">
        <v>426</v>
      </c>
      <c r="I202" s="1" t="s">
        <v>1424</v>
      </c>
      <c r="J202" s="245" t="str">
        <f t="shared" si="20"/>
        <v>GW</v>
      </c>
      <c r="K202" s="245">
        <f t="shared" si="23"/>
        <v>0</v>
      </c>
      <c r="L202" s="245">
        <f t="shared" si="24"/>
        <v>0</v>
      </c>
      <c r="M202" s="249">
        <f>$M$2</f>
        <v>2.2000000000000002</v>
      </c>
      <c r="N202" s="720">
        <v>0</v>
      </c>
      <c r="O202" s="247">
        <f t="shared" si="21"/>
        <v>2.2000000000000002</v>
      </c>
      <c r="P202" s="248">
        <f t="shared" si="26"/>
        <v>0</v>
      </c>
    </row>
    <row r="203" spans="1:17" ht="15" customHeight="1" thickBot="1" x14ac:dyDescent="0.25">
      <c r="A203" s="6" t="s">
        <v>1103</v>
      </c>
      <c r="B203" s="336" t="s">
        <v>1187</v>
      </c>
      <c r="C203" s="6">
        <v>3016301</v>
      </c>
      <c r="D203" s="666" t="s">
        <v>1188</v>
      </c>
      <c r="E203" s="940">
        <v>37228</v>
      </c>
      <c r="F203" s="6"/>
      <c r="G203" s="6">
        <v>58860</v>
      </c>
      <c r="H203" s="6" t="s">
        <v>902</v>
      </c>
      <c r="I203" s="6" t="s">
        <v>879</v>
      </c>
      <c r="J203" s="245" t="str">
        <f t="shared" si="20"/>
        <v>GW</v>
      </c>
      <c r="K203" s="245">
        <f t="shared" si="23"/>
        <v>0</v>
      </c>
      <c r="L203" s="245">
        <f t="shared" si="24"/>
        <v>0</v>
      </c>
      <c r="M203" s="259">
        <f>+M2-0.05</f>
        <v>2.1500000000000004</v>
      </c>
      <c r="N203" s="720">
        <v>0</v>
      </c>
      <c r="O203" s="247">
        <f t="shared" si="21"/>
        <v>2.1500000000000004</v>
      </c>
      <c r="P203" s="248">
        <f t="shared" si="26"/>
        <v>0</v>
      </c>
    </row>
    <row r="204" spans="1:17" ht="15" customHeight="1" thickBot="1" x14ac:dyDescent="0.25">
      <c r="A204" s="6" t="s">
        <v>1103</v>
      </c>
      <c r="B204" s="336" t="s">
        <v>1189</v>
      </c>
      <c r="C204" s="6">
        <v>3153701</v>
      </c>
      <c r="D204" s="666" t="s">
        <v>1188</v>
      </c>
      <c r="E204" s="940">
        <v>37228</v>
      </c>
      <c r="F204" s="6"/>
      <c r="G204" s="6">
        <v>58860</v>
      </c>
      <c r="H204" s="6" t="s">
        <v>902</v>
      </c>
      <c r="I204" s="6" t="s">
        <v>879</v>
      </c>
      <c r="J204" s="245" t="str">
        <f t="shared" ref="J204:J267" si="27">IF(ISNA(VLOOKUP(B204,cngdata,7,FALSE)),"na",VLOOKUP(B204,cngdata,7,FALSE))</f>
        <v>GW</v>
      </c>
      <c r="K204" s="245">
        <f t="shared" si="23"/>
        <v>0</v>
      </c>
      <c r="L204" s="245">
        <f t="shared" si="24"/>
        <v>0</v>
      </c>
      <c r="M204" s="259">
        <f>+M2-0.05</f>
        <v>2.1500000000000004</v>
      </c>
      <c r="N204" s="720">
        <v>0</v>
      </c>
      <c r="O204" s="247">
        <f t="shared" si="21"/>
        <v>2.1500000000000004</v>
      </c>
      <c r="P204" s="248">
        <f t="shared" si="26"/>
        <v>0</v>
      </c>
    </row>
    <row r="205" spans="1:17" ht="15" customHeight="1" thickBot="1" x14ac:dyDescent="0.25">
      <c r="A205" s="6" t="s">
        <v>1103</v>
      </c>
      <c r="B205" s="336" t="s">
        <v>1195</v>
      </c>
      <c r="C205" s="6">
        <v>3316501</v>
      </c>
      <c r="D205" s="666" t="s">
        <v>1188</v>
      </c>
      <c r="E205" s="940">
        <v>37228</v>
      </c>
      <c r="F205" s="6"/>
      <c r="G205" s="6">
        <v>58860</v>
      </c>
      <c r="H205" s="6" t="s">
        <v>902</v>
      </c>
      <c r="I205" s="6" t="s">
        <v>879</v>
      </c>
      <c r="J205" s="245" t="str">
        <f t="shared" si="27"/>
        <v>GW</v>
      </c>
      <c r="K205" s="245">
        <f t="shared" si="23"/>
        <v>0</v>
      </c>
      <c r="L205" s="245">
        <f t="shared" si="24"/>
        <v>0</v>
      </c>
      <c r="M205" s="259">
        <f>+M2-0.05</f>
        <v>2.1500000000000004</v>
      </c>
      <c r="N205" s="720">
        <v>0</v>
      </c>
      <c r="O205" s="247">
        <f t="shared" si="21"/>
        <v>2.1500000000000004</v>
      </c>
      <c r="P205" s="248">
        <f t="shared" si="26"/>
        <v>0</v>
      </c>
    </row>
    <row r="206" spans="1:17" ht="15" customHeight="1" thickBot="1" x14ac:dyDescent="0.25">
      <c r="A206" s="6" t="s">
        <v>1103</v>
      </c>
      <c r="B206" s="336" t="s">
        <v>1196</v>
      </c>
      <c r="C206" s="6">
        <v>3316601</v>
      </c>
      <c r="D206" s="666" t="s">
        <v>1188</v>
      </c>
      <c r="E206" s="940">
        <v>37228</v>
      </c>
      <c r="F206" s="6"/>
      <c r="G206" s="6">
        <v>58860</v>
      </c>
      <c r="H206" s="6" t="s">
        <v>902</v>
      </c>
      <c r="I206" s="6" t="s">
        <v>879</v>
      </c>
      <c r="J206" s="245" t="str">
        <f t="shared" si="27"/>
        <v>GW</v>
      </c>
      <c r="K206" s="245">
        <f t="shared" si="23"/>
        <v>0</v>
      </c>
      <c r="L206" s="245">
        <f t="shared" si="24"/>
        <v>0</v>
      </c>
      <c r="M206" s="259">
        <f>+M2-0.05</f>
        <v>2.1500000000000004</v>
      </c>
      <c r="N206" s="720">
        <v>0</v>
      </c>
      <c r="O206" s="247">
        <f t="shared" si="21"/>
        <v>2.1500000000000004</v>
      </c>
      <c r="P206" s="248">
        <f t="shared" si="26"/>
        <v>0</v>
      </c>
    </row>
    <row r="207" spans="1:17" s="172" customFormat="1" ht="15" customHeight="1" thickBot="1" x14ac:dyDescent="0.25">
      <c r="A207" s="186" t="s">
        <v>21</v>
      </c>
      <c r="B207" s="186" t="s">
        <v>59</v>
      </c>
      <c r="C207" s="310">
        <v>3038601</v>
      </c>
      <c r="D207" s="6" t="s">
        <v>60</v>
      </c>
      <c r="E207" s="938" t="s">
        <v>1403</v>
      </c>
      <c r="F207" s="186" t="s">
        <v>60</v>
      </c>
      <c r="G207" s="310">
        <v>212178</v>
      </c>
      <c r="H207" s="310"/>
      <c r="I207" s="310" t="s">
        <v>1823</v>
      </c>
      <c r="J207" s="820" t="str">
        <f t="shared" si="27"/>
        <v>GW</v>
      </c>
      <c r="K207" s="820">
        <f t="shared" si="23"/>
        <v>0</v>
      </c>
      <c r="L207" s="820">
        <f t="shared" si="24"/>
        <v>0</v>
      </c>
      <c r="M207" s="821">
        <f>$M$2+0.01</f>
        <v>2.21</v>
      </c>
      <c r="N207" s="186">
        <v>0</v>
      </c>
      <c r="O207" s="822">
        <f t="shared" si="21"/>
        <v>2.21</v>
      </c>
      <c r="P207" s="823">
        <f t="shared" si="26"/>
        <v>0</v>
      </c>
      <c r="Q207" s="172" t="s">
        <v>1051</v>
      </c>
    </row>
    <row r="208" spans="1:17" ht="15" customHeight="1" thickBot="1" x14ac:dyDescent="0.25">
      <c r="A208" s="6" t="s">
        <v>831</v>
      </c>
      <c r="B208" s="336" t="s">
        <v>903</v>
      </c>
      <c r="C208" s="6" t="s">
        <v>831</v>
      </c>
      <c r="D208" s="6" t="s">
        <v>904</v>
      </c>
      <c r="E208" s="938" t="s">
        <v>1403</v>
      </c>
      <c r="F208" s="6"/>
      <c r="G208" s="1">
        <v>65929</v>
      </c>
      <c r="H208" s="1" t="s">
        <v>905</v>
      </c>
      <c r="I208" s="1" t="s">
        <v>906</v>
      </c>
      <c r="J208" s="245" t="str">
        <f t="shared" si="27"/>
        <v>na</v>
      </c>
      <c r="K208" s="245" t="str">
        <f t="shared" si="23"/>
        <v>na</v>
      </c>
      <c r="L208" s="245">
        <f t="shared" si="24"/>
        <v>0</v>
      </c>
      <c r="M208" s="249">
        <f>M$2*96%</f>
        <v>2.1120000000000001</v>
      </c>
      <c r="N208" s="720">
        <v>0</v>
      </c>
      <c r="O208" s="247">
        <f t="shared" si="21"/>
        <v>2.1120000000000001</v>
      </c>
      <c r="P208" s="248">
        <f t="shared" si="26"/>
        <v>0</v>
      </c>
    </row>
    <row r="209" spans="1:16" ht="15" customHeight="1" thickBot="1" x14ac:dyDescent="0.25">
      <c r="A209" s="6" t="s">
        <v>831</v>
      </c>
      <c r="B209" s="336" t="s">
        <v>907</v>
      </c>
      <c r="C209" s="6" t="s">
        <v>831</v>
      </c>
      <c r="D209" s="6" t="s">
        <v>904</v>
      </c>
      <c r="E209" s="938" t="s">
        <v>1403</v>
      </c>
      <c r="F209" s="6"/>
      <c r="G209" s="1">
        <v>65929</v>
      </c>
      <c r="H209" s="1" t="s">
        <v>905</v>
      </c>
      <c r="I209" s="1" t="s">
        <v>906</v>
      </c>
      <c r="J209" s="245" t="str">
        <f t="shared" si="27"/>
        <v>na</v>
      </c>
      <c r="K209" s="245" t="str">
        <f t="shared" si="23"/>
        <v>na</v>
      </c>
      <c r="L209" s="245">
        <f t="shared" si="24"/>
        <v>0</v>
      </c>
      <c r="M209" s="249">
        <f>M$2*96%</f>
        <v>2.1120000000000001</v>
      </c>
      <c r="N209" s="720">
        <v>0</v>
      </c>
      <c r="O209" s="247">
        <f t="shared" ref="O209:O270" si="28">M209-N209</f>
        <v>2.1120000000000001</v>
      </c>
      <c r="P209" s="248">
        <f>L209*O209</f>
        <v>0</v>
      </c>
    </row>
    <row r="210" spans="1:16" ht="15" customHeight="1" thickBot="1" x14ac:dyDescent="0.25">
      <c r="A210" s="6" t="s">
        <v>1103</v>
      </c>
      <c r="B210" s="336" t="s">
        <v>1146</v>
      </c>
      <c r="C210" s="6">
        <v>3564601</v>
      </c>
      <c r="D210" s="941" t="s">
        <v>908</v>
      </c>
      <c r="E210" s="942">
        <v>37257</v>
      </c>
      <c r="F210" s="6"/>
      <c r="G210" s="1">
        <v>66919</v>
      </c>
      <c r="H210" s="1" t="s">
        <v>405</v>
      </c>
      <c r="I210" s="1" t="s">
        <v>909</v>
      </c>
      <c r="J210" s="245" t="str">
        <f t="shared" si="27"/>
        <v>GW</v>
      </c>
      <c r="K210" s="245">
        <f t="shared" si="23"/>
        <v>0</v>
      </c>
      <c r="L210" s="245">
        <f t="shared" si="24"/>
        <v>0</v>
      </c>
      <c r="M210" s="249">
        <f>M$2*95%</f>
        <v>2.09</v>
      </c>
      <c r="N210" s="720">
        <v>0</v>
      </c>
      <c r="O210" s="247">
        <f t="shared" si="28"/>
        <v>2.09</v>
      </c>
      <c r="P210" s="248">
        <f>L210*O210</f>
        <v>0</v>
      </c>
    </row>
    <row r="211" spans="1:16" ht="15" customHeight="1" thickBot="1" x14ac:dyDescent="0.25">
      <c r="A211" s="6" t="s">
        <v>1103</v>
      </c>
      <c r="B211" s="336" t="s">
        <v>1263</v>
      </c>
      <c r="C211" s="6">
        <v>4180601</v>
      </c>
      <c r="D211" s="6" t="s">
        <v>912</v>
      </c>
      <c r="E211" s="938" t="s">
        <v>1403</v>
      </c>
      <c r="F211" s="6"/>
      <c r="G211" s="1">
        <v>67002</v>
      </c>
      <c r="H211" s="1" t="s">
        <v>913</v>
      </c>
      <c r="I211" s="1" t="s">
        <v>914</v>
      </c>
      <c r="J211" s="245" t="str">
        <f t="shared" si="27"/>
        <v>GW</v>
      </c>
      <c r="K211" s="245">
        <f t="shared" si="23"/>
        <v>0</v>
      </c>
      <c r="L211" s="245">
        <f t="shared" si="24"/>
        <v>0</v>
      </c>
      <c r="M211" s="249">
        <f>M$2*95%</f>
        <v>2.09</v>
      </c>
      <c r="N211" s="720">
        <v>0</v>
      </c>
      <c r="O211" s="247">
        <f t="shared" si="28"/>
        <v>2.09</v>
      </c>
      <c r="P211" s="248">
        <f>L211*O211</f>
        <v>0</v>
      </c>
    </row>
    <row r="212" spans="1:16" ht="15" customHeight="1" thickBot="1" x14ac:dyDescent="0.25">
      <c r="A212" s="6" t="s">
        <v>1103</v>
      </c>
      <c r="B212" s="336" t="s">
        <v>1265</v>
      </c>
      <c r="C212" s="6">
        <v>4188401</v>
      </c>
      <c r="D212" s="6" t="s">
        <v>912</v>
      </c>
      <c r="E212" s="938" t="s">
        <v>1403</v>
      </c>
      <c r="F212" s="6"/>
      <c r="G212" s="1">
        <v>67002</v>
      </c>
      <c r="H212" s="1" t="s">
        <v>913</v>
      </c>
      <c r="I212" s="1" t="s">
        <v>914</v>
      </c>
      <c r="J212" s="245" t="str">
        <f t="shared" si="27"/>
        <v>GW</v>
      </c>
      <c r="K212" s="245">
        <f t="shared" si="23"/>
        <v>0</v>
      </c>
      <c r="L212" s="245">
        <f t="shared" si="24"/>
        <v>0</v>
      </c>
      <c r="M212" s="249">
        <f>M$2*95%</f>
        <v>2.09</v>
      </c>
      <c r="N212" s="720">
        <v>0</v>
      </c>
      <c r="O212" s="247">
        <f t="shared" si="28"/>
        <v>2.09</v>
      </c>
      <c r="P212" s="248">
        <f>L212*O212</f>
        <v>0</v>
      </c>
    </row>
    <row r="213" spans="1:16" ht="15" customHeight="1" thickBot="1" x14ac:dyDescent="0.25">
      <c r="A213" s="250" t="s">
        <v>1363</v>
      </c>
      <c r="B213" s="250" t="s">
        <v>1367</v>
      </c>
      <c r="C213" s="250">
        <v>3582101</v>
      </c>
      <c r="D213" s="666" t="s">
        <v>1128</v>
      </c>
      <c r="E213" s="940">
        <v>37228</v>
      </c>
      <c r="F213" s="250"/>
      <c r="G213" s="250">
        <v>67002</v>
      </c>
      <c r="H213" s="250" t="s">
        <v>913</v>
      </c>
      <c r="I213" s="250" t="s">
        <v>1476</v>
      </c>
      <c r="J213" s="430" t="str">
        <f t="shared" si="27"/>
        <v>TW</v>
      </c>
      <c r="K213" s="430">
        <f t="shared" si="23"/>
        <v>0</v>
      </c>
      <c r="L213" s="430">
        <f t="shared" si="24"/>
        <v>0</v>
      </c>
      <c r="M213" s="670">
        <f>+CNGPricing!$H$125</f>
        <v>4.16</v>
      </c>
      <c r="N213" s="720">
        <v>0</v>
      </c>
      <c r="O213" s="851">
        <f t="shared" si="28"/>
        <v>4.16</v>
      </c>
      <c r="P213" s="852">
        <f t="shared" ref="P213:P245" si="29">L213*O213</f>
        <v>0</v>
      </c>
    </row>
    <row r="214" spans="1:16" ht="15" customHeight="1" thickBot="1" x14ac:dyDescent="0.25">
      <c r="A214" s="250" t="s">
        <v>1103</v>
      </c>
      <c r="B214" s="702" t="s">
        <v>1835</v>
      </c>
      <c r="C214" s="702">
        <v>3571701</v>
      </c>
      <c r="D214" s="666" t="s">
        <v>1128</v>
      </c>
      <c r="E214" s="940">
        <v>37228</v>
      </c>
      <c r="F214" s="250"/>
      <c r="G214" s="250">
        <v>67032</v>
      </c>
      <c r="H214" s="250" t="s">
        <v>918</v>
      </c>
      <c r="I214" s="250" t="s">
        <v>1476</v>
      </c>
      <c r="J214" s="430" t="str">
        <f t="shared" si="27"/>
        <v>GW</v>
      </c>
      <c r="K214" s="430">
        <f t="shared" si="23"/>
        <v>0</v>
      </c>
      <c r="L214" s="430">
        <f t="shared" si="24"/>
        <v>0</v>
      </c>
      <c r="M214" s="670">
        <f>+CNGPricing!$H$125</f>
        <v>4.16</v>
      </c>
      <c r="N214" s="720">
        <v>0</v>
      </c>
      <c r="O214" s="851">
        <f t="shared" si="28"/>
        <v>4.16</v>
      </c>
      <c r="P214" s="852">
        <f t="shared" si="29"/>
        <v>0</v>
      </c>
    </row>
    <row r="215" spans="1:16" ht="15" customHeight="1" thickBot="1" x14ac:dyDescent="0.25">
      <c r="A215" s="250" t="s">
        <v>1103</v>
      </c>
      <c r="B215" s="359" t="s">
        <v>1323</v>
      </c>
      <c r="C215" s="250">
        <v>3509101</v>
      </c>
      <c r="D215" s="666" t="s">
        <v>1128</v>
      </c>
      <c r="E215" s="940">
        <v>37228</v>
      </c>
      <c r="F215" s="250"/>
      <c r="G215" s="250">
        <v>67032</v>
      </c>
      <c r="H215" s="250" t="s">
        <v>918</v>
      </c>
      <c r="I215" s="250" t="s">
        <v>1476</v>
      </c>
      <c r="J215" s="430" t="str">
        <f t="shared" si="27"/>
        <v>GW</v>
      </c>
      <c r="K215" s="430">
        <f t="shared" si="23"/>
        <v>0</v>
      </c>
      <c r="L215" s="430">
        <f t="shared" si="24"/>
        <v>0</v>
      </c>
      <c r="M215" s="670">
        <f>+CNGPricing!$H$125</f>
        <v>4.16</v>
      </c>
      <c r="N215" s="720">
        <v>0</v>
      </c>
      <c r="O215" s="851">
        <f t="shared" si="28"/>
        <v>4.16</v>
      </c>
      <c r="P215" s="852">
        <f t="shared" si="29"/>
        <v>0</v>
      </c>
    </row>
    <row r="216" spans="1:16" ht="15" customHeight="1" thickBot="1" x14ac:dyDescent="0.25">
      <c r="A216" s="250" t="s">
        <v>1103</v>
      </c>
      <c r="B216" s="359" t="s">
        <v>1324</v>
      </c>
      <c r="C216" s="250">
        <v>3506201</v>
      </c>
      <c r="D216" s="666" t="s">
        <v>1128</v>
      </c>
      <c r="E216" s="940">
        <v>37228</v>
      </c>
      <c r="F216" s="250"/>
      <c r="G216" s="250">
        <v>67032</v>
      </c>
      <c r="H216" s="250" t="s">
        <v>918</v>
      </c>
      <c r="I216" s="250" t="s">
        <v>1476</v>
      </c>
      <c r="J216" s="430" t="str">
        <f t="shared" si="27"/>
        <v>GW</v>
      </c>
      <c r="K216" s="430">
        <f t="shared" si="23"/>
        <v>0</v>
      </c>
      <c r="L216" s="430">
        <f t="shared" si="24"/>
        <v>0</v>
      </c>
      <c r="M216" s="670">
        <f>+CNGPricing!$H$125</f>
        <v>4.16</v>
      </c>
      <c r="N216" s="720">
        <v>0</v>
      </c>
      <c r="O216" s="851">
        <f t="shared" si="28"/>
        <v>4.16</v>
      </c>
      <c r="P216" s="852">
        <f t="shared" si="29"/>
        <v>0</v>
      </c>
    </row>
    <row r="217" spans="1:16" ht="15" customHeight="1" thickBot="1" x14ac:dyDescent="0.25">
      <c r="A217" s="250" t="s">
        <v>1103</v>
      </c>
      <c r="B217" s="359" t="s">
        <v>1343</v>
      </c>
      <c r="C217" s="250">
        <v>3475001</v>
      </c>
      <c r="D217" s="666" t="s">
        <v>1128</v>
      </c>
      <c r="E217" s="940">
        <v>37228</v>
      </c>
      <c r="F217" s="250"/>
      <c r="G217" s="250">
        <v>67032</v>
      </c>
      <c r="H217" s="250" t="s">
        <v>918</v>
      </c>
      <c r="I217" s="250" t="s">
        <v>1476</v>
      </c>
      <c r="J217" s="430" t="str">
        <f t="shared" si="27"/>
        <v>GW</v>
      </c>
      <c r="K217" s="430">
        <f t="shared" si="23"/>
        <v>0</v>
      </c>
      <c r="L217" s="430">
        <f t="shared" si="24"/>
        <v>0</v>
      </c>
      <c r="M217" s="670">
        <f>+CNGPricing!$H$125</f>
        <v>4.16</v>
      </c>
      <c r="N217" s="720">
        <v>0</v>
      </c>
      <c r="O217" s="851">
        <f t="shared" si="28"/>
        <v>4.16</v>
      </c>
      <c r="P217" s="852">
        <f t="shared" si="29"/>
        <v>0</v>
      </c>
    </row>
    <row r="218" spans="1:16" ht="15" customHeight="1" thickBot="1" x14ac:dyDescent="0.25">
      <c r="A218" s="250" t="s">
        <v>1103</v>
      </c>
      <c r="B218" s="359" t="s">
        <v>1127</v>
      </c>
      <c r="C218" s="250">
        <v>3549301</v>
      </c>
      <c r="D218" s="666" t="s">
        <v>919</v>
      </c>
      <c r="E218" s="940">
        <v>37228</v>
      </c>
      <c r="F218" s="250"/>
      <c r="G218" s="250">
        <v>67032</v>
      </c>
      <c r="H218" s="250" t="s">
        <v>918</v>
      </c>
      <c r="I218" s="250" t="s">
        <v>1476</v>
      </c>
      <c r="J218" s="430" t="str">
        <f t="shared" si="27"/>
        <v>GW</v>
      </c>
      <c r="K218" s="430">
        <f t="shared" ref="K218:K281" si="30">IF(ISNA(VLOOKUP(B218,cngdata,13,FALSE)),"na",VLOOKUP(B218,cngdata,13,FALSE))</f>
        <v>0</v>
      </c>
      <c r="L218" s="430">
        <f t="shared" ref="L218:L281" si="31">IF(ISNA(VLOOKUP(B218,cngdata,14,FALSE)),0,VLOOKUP(B218,cngdata,14,FALSE))</f>
        <v>0</v>
      </c>
      <c r="M218" s="670">
        <f>+CNGPricing!$H$125</f>
        <v>4.16</v>
      </c>
      <c r="N218" s="720">
        <v>0</v>
      </c>
      <c r="O218" s="851">
        <f t="shared" si="28"/>
        <v>4.16</v>
      </c>
      <c r="P218" s="852">
        <f t="shared" si="29"/>
        <v>0</v>
      </c>
    </row>
    <row r="219" spans="1:16" ht="15" customHeight="1" thickBot="1" x14ac:dyDescent="0.25">
      <c r="A219" s="250" t="s">
        <v>831</v>
      </c>
      <c r="B219" s="359" t="s">
        <v>920</v>
      </c>
      <c r="C219" s="250" t="s">
        <v>831</v>
      </c>
      <c r="D219" s="666" t="s">
        <v>919</v>
      </c>
      <c r="E219" s="940">
        <v>37228</v>
      </c>
      <c r="F219" s="250"/>
      <c r="G219" s="250">
        <v>67032</v>
      </c>
      <c r="H219" s="250" t="s">
        <v>918</v>
      </c>
      <c r="I219" s="250" t="s">
        <v>1476</v>
      </c>
      <c r="J219" s="430" t="str">
        <f t="shared" si="27"/>
        <v>na</v>
      </c>
      <c r="K219" s="430" t="str">
        <f t="shared" si="30"/>
        <v>na</v>
      </c>
      <c r="L219" s="430">
        <f t="shared" si="31"/>
        <v>0</v>
      </c>
      <c r="M219" s="670">
        <f>+CNGPricing!$H$125</f>
        <v>4.16</v>
      </c>
      <c r="N219" s="720">
        <v>0</v>
      </c>
      <c r="O219" s="851">
        <f t="shared" si="28"/>
        <v>4.16</v>
      </c>
      <c r="P219" s="852">
        <f t="shared" si="29"/>
        <v>0</v>
      </c>
    </row>
    <row r="220" spans="1:16" ht="15" customHeight="1" thickBot="1" x14ac:dyDescent="0.25">
      <c r="A220" s="250" t="s">
        <v>1103</v>
      </c>
      <c r="B220" s="250" t="s">
        <v>1308</v>
      </c>
      <c r="C220" s="250">
        <v>3426101</v>
      </c>
      <c r="D220" s="666" t="s">
        <v>919</v>
      </c>
      <c r="E220" s="940">
        <v>37228</v>
      </c>
      <c r="F220" s="250"/>
      <c r="G220" s="250">
        <v>67032</v>
      </c>
      <c r="H220" s="359"/>
      <c r="I220" s="250" t="s">
        <v>1476</v>
      </c>
      <c r="J220" s="430" t="str">
        <f t="shared" si="27"/>
        <v>GW</v>
      </c>
      <c r="K220" s="430">
        <f t="shared" si="30"/>
        <v>0</v>
      </c>
      <c r="L220" s="430">
        <f t="shared" si="31"/>
        <v>0</v>
      </c>
      <c r="M220" s="670">
        <f>+CNGPricing!$H$125</f>
        <v>4.16</v>
      </c>
      <c r="N220" s="720">
        <v>0</v>
      </c>
      <c r="O220" s="744">
        <f t="shared" si="28"/>
        <v>4.16</v>
      </c>
      <c r="P220" s="853">
        <f t="shared" si="29"/>
        <v>0</v>
      </c>
    </row>
    <row r="221" spans="1:16" ht="15" customHeight="1" thickBot="1" x14ac:dyDescent="0.25">
      <c r="A221" s="250" t="s">
        <v>1363</v>
      </c>
      <c r="B221" s="359" t="s">
        <v>1372</v>
      </c>
      <c r="C221" s="250">
        <v>3405001</v>
      </c>
      <c r="D221" s="666" t="s">
        <v>919</v>
      </c>
      <c r="E221" s="940">
        <v>37228</v>
      </c>
      <c r="F221" s="250"/>
      <c r="G221" s="250">
        <v>67032</v>
      </c>
      <c r="H221" s="250" t="s">
        <v>918</v>
      </c>
      <c r="I221" s="250" t="s">
        <v>1476</v>
      </c>
      <c r="J221" s="430" t="str">
        <f t="shared" si="27"/>
        <v>TW</v>
      </c>
      <c r="K221" s="430">
        <f t="shared" si="30"/>
        <v>0</v>
      </c>
      <c r="L221" s="430">
        <f t="shared" si="31"/>
        <v>0</v>
      </c>
      <c r="M221" s="670">
        <f>+CNGPricing!$H$125</f>
        <v>4.16</v>
      </c>
      <c r="N221" s="720">
        <v>0</v>
      </c>
      <c r="O221" s="851">
        <f t="shared" si="28"/>
        <v>4.16</v>
      </c>
      <c r="P221" s="852">
        <f t="shared" si="29"/>
        <v>0</v>
      </c>
    </row>
    <row r="222" spans="1:16" ht="15" customHeight="1" thickBot="1" x14ac:dyDescent="0.25">
      <c r="A222" s="250" t="s">
        <v>1103</v>
      </c>
      <c r="B222" s="359" t="s">
        <v>1311</v>
      </c>
      <c r="C222" s="250">
        <v>3420401</v>
      </c>
      <c r="D222" s="666" t="s">
        <v>919</v>
      </c>
      <c r="E222" s="940">
        <v>37228</v>
      </c>
      <c r="F222" s="250"/>
      <c r="G222" s="250">
        <v>67032</v>
      </c>
      <c r="H222" s="250" t="s">
        <v>918</v>
      </c>
      <c r="I222" s="250" t="s">
        <v>1476</v>
      </c>
      <c r="J222" s="430" t="str">
        <f t="shared" si="27"/>
        <v>GW</v>
      </c>
      <c r="K222" s="430">
        <f t="shared" si="30"/>
        <v>0</v>
      </c>
      <c r="L222" s="430">
        <f t="shared" si="31"/>
        <v>0</v>
      </c>
      <c r="M222" s="670">
        <f>+CNGPricing!$H$125</f>
        <v>4.16</v>
      </c>
      <c r="N222" s="720">
        <v>0</v>
      </c>
      <c r="O222" s="851">
        <f t="shared" si="28"/>
        <v>4.16</v>
      </c>
      <c r="P222" s="852">
        <f t="shared" si="29"/>
        <v>0</v>
      </c>
    </row>
    <row r="223" spans="1:16" ht="15" customHeight="1" thickBot="1" x14ac:dyDescent="0.25">
      <c r="A223" s="1" t="s">
        <v>21</v>
      </c>
      <c r="B223" s="1" t="s">
        <v>31</v>
      </c>
      <c r="C223" s="224">
        <v>1077501</v>
      </c>
      <c r="D223" s="6" t="s">
        <v>30</v>
      </c>
      <c r="E223" s="938" t="s">
        <v>1403</v>
      </c>
      <c r="F223" s="1" t="s">
        <v>30</v>
      </c>
      <c r="G223" s="224">
        <v>212194</v>
      </c>
      <c r="H223" s="224"/>
      <c r="I223" s="252" t="s">
        <v>168</v>
      </c>
      <c r="J223" s="245" t="str">
        <f t="shared" si="27"/>
        <v>na</v>
      </c>
      <c r="K223" s="245" t="str">
        <f t="shared" si="30"/>
        <v>na</v>
      </c>
      <c r="L223" s="245">
        <f t="shared" si="31"/>
        <v>0</v>
      </c>
      <c r="M223" s="249">
        <f>$M$2</f>
        <v>2.2000000000000002</v>
      </c>
      <c r="N223" s="720">
        <v>0</v>
      </c>
      <c r="O223" s="247">
        <f t="shared" si="28"/>
        <v>2.2000000000000002</v>
      </c>
      <c r="P223" s="248">
        <v>0</v>
      </c>
    </row>
    <row r="224" spans="1:16" ht="15" customHeight="1" thickBot="1" x14ac:dyDescent="0.25">
      <c r="A224" s="1" t="s">
        <v>21</v>
      </c>
      <c r="B224" s="1" t="s">
        <v>140</v>
      </c>
      <c r="C224" s="224">
        <v>4335601</v>
      </c>
      <c r="D224" s="6" t="s">
        <v>30</v>
      </c>
      <c r="E224" s="938" t="s">
        <v>1403</v>
      </c>
      <c r="F224" s="1" t="s">
        <v>30</v>
      </c>
      <c r="G224" s="224">
        <v>212194</v>
      </c>
      <c r="H224" s="224"/>
      <c r="I224" s="252" t="s">
        <v>168</v>
      </c>
      <c r="J224" s="245" t="str">
        <f t="shared" ref="J224:J232" si="32">IF(ISNA(VLOOKUP(B224,cngdata,7,FALSE)),"na",VLOOKUP(B224,cngdata,7,FALSE))</f>
        <v>na</v>
      </c>
      <c r="K224" s="245" t="str">
        <f t="shared" si="30"/>
        <v>na</v>
      </c>
      <c r="L224" s="245">
        <f t="shared" si="31"/>
        <v>0</v>
      </c>
      <c r="M224" s="249">
        <f t="shared" ref="M224:M232" si="33">$M$2</f>
        <v>2.2000000000000002</v>
      </c>
      <c r="N224" s="720">
        <v>0</v>
      </c>
      <c r="O224" s="247">
        <f t="shared" si="28"/>
        <v>2.2000000000000002</v>
      </c>
      <c r="P224" s="248">
        <f t="shared" si="29"/>
        <v>0</v>
      </c>
    </row>
    <row r="225" spans="1:16" ht="15" customHeight="1" thickBot="1" x14ac:dyDescent="0.25">
      <c r="A225" s="1" t="s">
        <v>21</v>
      </c>
      <c r="B225" s="1" t="s">
        <v>141</v>
      </c>
      <c r="C225" s="224">
        <v>4336401</v>
      </c>
      <c r="D225" s="6" t="s">
        <v>30</v>
      </c>
      <c r="E225" s="938" t="s">
        <v>1403</v>
      </c>
      <c r="F225" s="1" t="s">
        <v>30</v>
      </c>
      <c r="G225" s="224">
        <v>212194</v>
      </c>
      <c r="H225" s="224"/>
      <c r="I225" s="252" t="s">
        <v>168</v>
      </c>
      <c r="J225" s="245" t="str">
        <f t="shared" si="32"/>
        <v>na</v>
      </c>
      <c r="K225" s="245" t="str">
        <f t="shared" si="30"/>
        <v>na</v>
      </c>
      <c r="L225" s="245">
        <f t="shared" si="31"/>
        <v>0</v>
      </c>
      <c r="M225" s="249">
        <f t="shared" si="33"/>
        <v>2.2000000000000002</v>
      </c>
      <c r="N225" s="720">
        <v>0</v>
      </c>
      <c r="O225" s="247">
        <f t="shared" si="28"/>
        <v>2.2000000000000002</v>
      </c>
      <c r="P225" s="248">
        <f t="shared" si="29"/>
        <v>0</v>
      </c>
    </row>
    <row r="226" spans="1:16" ht="15" customHeight="1" thickBot="1" x14ac:dyDescent="0.25">
      <c r="A226" s="1" t="s">
        <v>21</v>
      </c>
      <c r="B226" s="1" t="s">
        <v>142</v>
      </c>
      <c r="C226" s="224">
        <v>4338501</v>
      </c>
      <c r="D226" s="6" t="s">
        <v>30</v>
      </c>
      <c r="E226" s="938" t="s">
        <v>1403</v>
      </c>
      <c r="F226" s="1" t="s">
        <v>30</v>
      </c>
      <c r="G226" s="224">
        <v>212194</v>
      </c>
      <c r="H226" s="224"/>
      <c r="I226" s="252" t="s">
        <v>168</v>
      </c>
      <c r="J226" s="245" t="str">
        <f t="shared" si="32"/>
        <v>na</v>
      </c>
      <c r="K226" s="245" t="str">
        <f t="shared" si="30"/>
        <v>na</v>
      </c>
      <c r="L226" s="245">
        <f t="shared" si="31"/>
        <v>0</v>
      </c>
      <c r="M226" s="249">
        <f t="shared" si="33"/>
        <v>2.2000000000000002</v>
      </c>
      <c r="N226" s="720">
        <v>0</v>
      </c>
      <c r="O226" s="247">
        <f t="shared" si="28"/>
        <v>2.2000000000000002</v>
      </c>
      <c r="P226" s="248">
        <f t="shared" si="29"/>
        <v>0</v>
      </c>
    </row>
    <row r="227" spans="1:16" ht="15" customHeight="1" thickBot="1" x14ac:dyDescent="0.25">
      <c r="A227" s="1" t="s">
        <v>21</v>
      </c>
      <c r="B227" s="1" t="s">
        <v>143</v>
      </c>
      <c r="C227" s="224">
        <v>4339701</v>
      </c>
      <c r="D227" s="6" t="s">
        <v>30</v>
      </c>
      <c r="E227" s="938" t="s">
        <v>1403</v>
      </c>
      <c r="F227" s="1" t="s">
        <v>30</v>
      </c>
      <c r="G227" s="224">
        <v>212194</v>
      </c>
      <c r="H227" s="224"/>
      <c r="I227" s="252" t="s">
        <v>168</v>
      </c>
      <c r="J227" s="245" t="str">
        <f t="shared" si="32"/>
        <v>na</v>
      </c>
      <c r="K227" s="245" t="str">
        <f t="shared" si="30"/>
        <v>na</v>
      </c>
      <c r="L227" s="245">
        <f t="shared" si="31"/>
        <v>0</v>
      </c>
      <c r="M227" s="249">
        <f t="shared" si="33"/>
        <v>2.2000000000000002</v>
      </c>
      <c r="N227" s="720">
        <v>0</v>
      </c>
      <c r="O227" s="247">
        <f t="shared" si="28"/>
        <v>2.2000000000000002</v>
      </c>
      <c r="P227" s="248">
        <f t="shared" si="29"/>
        <v>0</v>
      </c>
    </row>
    <row r="228" spans="1:16" ht="15" customHeight="1" thickBot="1" x14ac:dyDescent="0.25">
      <c r="A228" s="1" t="s">
        <v>21</v>
      </c>
      <c r="B228" s="1" t="s">
        <v>87</v>
      </c>
      <c r="C228" s="224">
        <v>3511201</v>
      </c>
      <c r="D228" s="6" t="s">
        <v>30</v>
      </c>
      <c r="E228" s="938" t="s">
        <v>1403</v>
      </c>
      <c r="F228" s="1" t="s">
        <v>30</v>
      </c>
      <c r="G228" s="224">
        <v>212194</v>
      </c>
      <c r="H228" s="224"/>
      <c r="I228" s="252" t="s">
        <v>168</v>
      </c>
      <c r="J228" s="245" t="str">
        <f t="shared" si="32"/>
        <v>na</v>
      </c>
      <c r="K228" s="245" t="str">
        <f t="shared" si="30"/>
        <v>na</v>
      </c>
      <c r="L228" s="245">
        <f t="shared" si="31"/>
        <v>0</v>
      </c>
      <c r="M228" s="249">
        <f t="shared" si="33"/>
        <v>2.2000000000000002</v>
      </c>
      <c r="N228" s="720">
        <v>0</v>
      </c>
      <c r="O228" s="247">
        <f t="shared" si="28"/>
        <v>2.2000000000000002</v>
      </c>
      <c r="P228" s="248">
        <f t="shared" si="29"/>
        <v>0</v>
      </c>
    </row>
    <row r="229" spans="1:16" ht="15" customHeight="1" thickBot="1" x14ac:dyDescent="0.25">
      <c r="A229" s="1" t="s">
        <v>21</v>
      </c>
      <c r="B229" s="1" t="s">
        <v>115</v>
      </c>
      <c r="C229" s="224">
        <v>4026101</v>
      </c>
      <c r="D229" s="6" t="s">
        <v>30</v>
      </c>
      <c r="E229" s="938" t="s">
        <v>1403</v>
      </c>
      <c r="F229" s="1" t="s">
        <v>30</v>
      </c>
      <c r="G229" s="224">
        <v>212194</v>
      </c>
      <c r="H229" s="224"/>
      <c r="I229" s="252" t="s">
        <v>168</v>
      </c>
      <c r="J229" s="245" t="str">
        <f t="shared" si="32"/>
        <v>na</v>
      </c>
      <c r="K229" s="245" t="str">
        <f t="shared" si="30"/>
        <v>na</v>
      </c>
      <c r="L229" s="245">
        <f t="shared" si="31"/>
        <v>0</v>
      </c>
      <c r="M229" s="249">
        <f t="shared" si="33"/>
        <v>2.2000000000000002</v>
      </c>
      <c r="N229" s="720">
        <v>0</v>
      </c>
      <c r="O229" s="247">
        <f t="shared" si="28"/>
        <v>2.2000000000000002</v>
      </c>
      <c r="P229" s="248">
        <f t="shared" si="29"/>
        <v>0</v>
      </c>
    </row>
    <row r="230" spans="1:16" ht="15" customHeight="1" thickBot="1" x14ac:dyDescent="0.25">
      <c r="A230" s="1" t="s">
        <v>21</v>
      </c>
      <c r="B230" s="1" t="s">
        <v>114</v>
      </c>
      <c r="C230" s="224">
        <v>4025301</v>
      </c>
      <c r="D230" s="6" t="s">
        <v>30</v>
      </c>
      <c r="E230" s="938" t="s">
        <v>1403</v>
      </c>
      <c r="F230" s="1" t="s">
        <v>30</v>
      </c>
      <c r="G230" s="224">
        <v>212194</v>
      </c>
      <c r="H230" s="224"/>
      <c r="I230" s="252" t="s">
        <v>168</v>
      </c>
      <c r="J230" s="245" t="str">
        <f t="shared" si="32"/>
        <v>na</v>
      </c>
      <c r="K230" s="245" t="str">
        <f t="shared" si="30"/>
        <v>na</v>
      </c>
      <c r="L230" s="245">
        <f t="shared" si="31"/>
        <v>0</v>
      </c>
      <c r="M230" s="249">
        <f t="shared" si="33"/>
        <v>2.2000000000000002</v>
      </c>
      <c r="N230" s="720">
        <v>0</v>
      </c>
      <c r="O230" s="247">
        <f t="shared" si="28"/>
        <v>2.2000000000000002</v>
      </c>
      <c r="P230" s="248">
        <f t="shared" si="29"/>
        <v>0</v>
      </c>
    </row>
    <row r="231" spans="1:16" ht="15" customHeight="1" thickBot="1" x14ac:dyDescent="0.25">
      <c r="A231" s="1" t="s">
        <v>21</v>
      </c>
      <c r="B231" s="1" t="s">
        <v>138</v>
      </c>
      <c r="C231" s="224">
        <v>4194701</v>
      </c>
      <c r="D231" s="6" t="s">
        <v>30</v>
      </c>
      <c r="E231" s="938" t="s">
        <v>1403</v>
      </c>
      <c r="F231" s="1" t="s">
        <v>30</v>
      </c>
      <c r="G231" s="224">
        <v>212194</v>
      </c>
      <c r="H231" s="224"/>
      <c r="I231" s="252" t="s">
        <v>168</v>
      </c>
      <c r="J231" s="245" t="str">
        <f t="shared" si="32"/>
        <v>na</v>
      </c>
      <c r="K231" s="245" t="str">
        <f t="shared" si="30"/>
        <v>na</v>
      </c>
      <c r="L231" s="245">
        <f t="shared" si="31"/>
        <v>0</v>
      </c>
      <c r="M231" s="249">
        <f t="shared" si="33"/>
        <v>2.2000000000000002</v>
      </c>
      <c r="N231" s="720">
        <v>0</v>
      </c>
      <c r="O231" s="247">
        <f t="shared" si="28"/>
        <v>2.2000000000000002</v>
      </c>
      <c r="P231" s="248">
        <f t="shared" si="29"/>
        <v>0</v>
      </c>
    </row>
    <row r="232" spans="1:16" ht="15" customHeight="1" thickBot="1" x14ac:dyDescent="0.25">
      <c r="A232" s="1" t="s">
        <v>21</v>
      </c>
      <c r="B232" s="1" t="s">
        <v>29</v>
      </c>
      <c r="C232" s="224">
        <v>1070001</v>
      </c>
      <c r="D232" s="6" t="s">
        <v>30</v>
      </c>
      <c r="E232" s="938" t="s">
        <v>1403</v>
      </c>
      <c r="F232" s="1" t="s">
        <v>30</v>
      </c>
      <c r="G232" s="224">
        <v>212194</v>
      </c>
      <c r="H232" s="224"/>
      <c r="I232" s="252" t="s">
        <v>168</v>
      </c>
      <c r="J232" s="245" t="str">
        <f t="shared" si="32"/>
        <v>na</v>
      </c>
      <c r="K232" s="245" t="str">
        <f t="shared" si="30"/>
        <v>na</v>
      </c>
      <c r="L232" s="245">
        <f t="shared" si="31"/>
        <v>0</v>
      </c>
      <c r="M232" s="249">
        <f t="shared" si="33"/>
        <v>2.2000000000000002</v>
      </c>
      <c r="N232" s="720">
        <v>0</v>
      </c>
      <c r="O232" s="247">
        <f t="shared" si="28"/>
        <v>2.2000000000000002</v>
      </c>
      <c r="P232" s="248">
        <f t="shared" si="29"/>
        <v>0</v>
      </c>
    </row>
    <row r="233" spans="1:16" ht="15" customHeight="1" thickBot="1" x14ac:dyDescent="0.25">
      <c r="A233" s="1" t="s">
        <v>21</v>
      </c>
      <c r="B233" s="1" t="s">
        <v>125</v>
      </c>
      <c r="C233" s="224">
        <v>4099201</v>
      </c>
      <c r="D233" s="941" t="s">
        <v>110</v>
      </c>
      <c r="E233" s="942">
        <v>37256</v>
      </c>
      <c r="F233" s="250" t="s">
        <v>110</v>
      </c>
      <c r="G233" s="185">
        <v>212218</v>
      </c>
      <c r="H233" s="185"/>
      <c r="I233" s="185" t="s">
        <v>168</v>
      </c>
      <c r="J233" s="430" t="str">
        <f t="shared" si="27"/>
        <v>GW</v>
      </c>
      <c r="K233" s="430">
        <f t="shared" si="30"/>
        <v>0</v>
      </c>
      <c r="L233" s="430">
        <f t="shared" si="31"/>
        <v>0</v>
      </c>
      <c r="M233" s="670" t="e">
        <f>+CNGPricing!H135</f>
        <v>#DIV/0!</v>
      </c>
      <c r="N233" s="720">
        <v>0</v>
      </c>
      <c r="O233" s="247" t="e">
        <f t="shared" si="28"/>
        <v>#DIV/0!</v>
      </c>
      <c r="P233" s="248" t="e">
        <f t="shared" si="29"/>
        <v>#DIV/0!</v>
      </c>
    </row>
    <row r="234" spans="1:16" ht="15" customHeight="1" thickBot="1" x14ac:dyDescent="0.25">
      <c r="A234" s="1" t="s">
        <v>147</v>
      </c>
      <c r="B234" s="1" t="s">
        <v>152</v>
      </c>
      <c r="C234" s="224">
        <v>5156201</v>
      </c>
      <c r="D234" s="941" t="s">
        <v>110</v>
      </c>
      <c r="E234" s="942">
        <v>37256</v>
      </c>
      <c r="F234" s="250" t="s">
        <v>110</v>
      </c>
      <c r="G234" s="185">
        <v>212218</v>
      </c>
      <c r="H234" s="185"/>
      <c r="I234" s="185" t="s">
        <v>168</v>
      </c>
      <c r="J234" s="430" t="str">
        <f t="shared" si="27"/>
        <v>GD</v>
      </c>
      <c r="K234" s="430">
        <f t="shared" si="30"/>
        <v>0</v>
      </c>
      <c r="L234" s="430">
        <f t="shared" si="31"/>
        <v>0</v>
      </c>
      <c r="M234" s="670" t="e">
        <f>+CNGPricing!H135</f>
        <v>#DIV/0!</v>
      </c>
      <c r="N234" s="720">
        <v>0</v>
      </c>
      <c r="O234" s="247" t="e">
        <f t="shared" si="28"/>
        <v>#DIV/0!</v>
      </c>
      <c r="P234" s="248" t="e">
        <f t="shared" si="29"/>
        <v>#DIV/0!</v>
      </c>
    </row>
    <row r="235" spans="1:16" ht="15" customHeight="1" thickBot="1" x14ac:dyDescent="0.25">
      <c r="A235" s="1" t="s">
        <v>147</v>
      </c>
      <c r="B235" s="1" t="s">
        <v>153</v>
      </c>
      <c r="C235" s="224">
        <v>5171101</v>
      </c>
      <c r="D235" s="941" t="s">
        <v>110</v>
      </c>
      <c r="E235" s="942">
        <v>37256</v>
      </c>
      <c r="F235" s="250" t="s">
        <v>110</v>
      </c>
      <c r="G235" s="185">
        <v>212218</v>
      </c>
      <c r="H235" s="185"/>
      <c r="I235" s="185" t="s">
        <v>168</v>
      </c>
      <c r="J235" s="430" t="str">
        <f t="shared" si="27"/>
        <v>GD</v>
      </c>
      <c r="K235" s="430">
        <f t="shared" si="30"/>
        <v>0</v>
      </c>
      <c r="L235" s="430">
        <f t="shared" si="31"/>
        <v>0</v>
      </c>
      <c r="M235" s="670" t="e">
        <f>+CNGPricing!H135</f>
        <v>#DIV/0!</v>
      </c>
      <c r="N235" s="720">
        <v>0</v>
      </c>
      <c r="O235" s="247" t="e">
        <f t="shared" si="28"/>
        <v>#DIV/0!</v>
      </c>
      <c r="P235" s="248" t="e">
        <f t="shared" si="29"/>
        <v>#DIV/0!</v>
      </c>
    </row>
    <row r="236" spans="1:16" ht="15" customHeight="1" thickBot="1" x14ac:dyDescent="0.25">
      <c r="A236" s="1" t="s">
        <v>21</v>
      </c>
      <c r="B236" s="1" t="s">
        <v>124</v>
      </c>
      <c r="C236" s="224">
        <v>4098601</v>
      </c>
      <c r="D236" s="941" t="s">
        <v>110</v>
      </c>
      <c r="E236" s="942">
        <v>37256</v>
      </c>
      <c r="F236" s="250" t="s">
        <v>110</v>
      </c>
      <c r="G236" s="185">
        <v>212218</v>
      </c>
      <c r="H236" s="185"/>
      <c r="I236" s="185" t="s">
        <v>168</v>
      </c>
      <c r="J236" s="430" t="str">
        <f t="shared" si="27"/>
        <v>GW</v>
      </c>
      <c r="K236" s="430">
        <f t="shared" si="30"/>
        <v>0</v>
      </c>
      <c r="L236" s="430">
        <f t="shared" si="31"/>
        <v>0</v>
      </c>
      <c r="M236" s="670" t="e">
        <f>+CNGPricing!H135</f>
        <v>#DIV/0!</v>
      </c>
      <c r="N236" s="720">
        <v>0</v>
      </c>
      <c r="O236" s="247" t="e">
        <f t="shared" si="28"/>
        <v>#DIV/0!</v>
      </c>
      <c r="P236" s="248" t="e">
        <f t="shared" si="29"/>
        <v>#DIV/0!</v>
      </c>
    </row>
    <row r="237" spans="1:16" ht="15" customHeight="1" thickBot="1" x14ac:dyDescent="0.25">
      <c r="A237" s="1" t="s">
        <v>21</v>
      </c>
      <c r="B237" s="1" t="s">
        <v>126</v>
      </c>
      <c r="C237" s="224">
        <v>4110101</v>
      </c>
      <c r="D237" s="941" t="s">
        <v>110</v>
      </c>
      <c r="E237" s="942">
        <v>37256</v>
      </c>
      <c r="F237" s="250" t="s">
        <v>110</v>
      </c>
      <c r="G237" s="185">
        <v>212218</v>
      </c>
      <c r="H237" s="185"/>
      <c r="I237" s="185" t="s">
        <v>168</v>
      </c>
      <c r="J237" s="430" t="str">
        <f t="shared" si="27"/>
        <v>GW</v>
      </c>
      <c r="K237" s="430">
        <f t="shared" si="30"/>
        <v>0</v>
      </c>
      <c r="L237" s="430">
        <f t="shared" si="31"/>
        <v>0</v>
      </c>
      <c r="M237" s="670" t="e">
        <f>+CNGPricing!H135</f>
        <v>#DIV/0!</v>
      </c>
      <c r="N237" s="720">
        <v>0</v>
      </c>
      <c r="O237" s="247" t="e">
        <f t="shared" si="28"/>
        <v>#DIV/0!</v>
      </c>
      <c r="P237" s="248" t="e">
        <f t="shared" si="29"/>
        <v>#DIV/0!</v>
      </c>
    </row>
    <row r="238" spans="1:16" ht="15" customHeight="1" thickBot="1" x14ac:dyDescent="0.25">
      <c r="A238" s="1" t="s">
        <v>21</v>
      </c>
      <c r="B238" s="1" t="s">
        <v>127</v>
      </c>
      <c r="C238" s="224">
        <v>4110201</v>
      </c>
      <c r="D238" s="941" t="s">
        <v>110</v>
      </c>
      <c r="E238" s="942">
        <v>37256</v>
      </c>
      <c r="F238" s="250" t="s">
        <v>110</v>
      </c>
      <c r="G238" s="185">
        <v>212218</v>
      </c>
      <c r="H238" s="185"/>
      <c r="I238" s="185" t="s">
        <v>168</v>
      </c>
      <c r="J238" s="430" t="str">
        <f t="shared" si="27"/>
        <v>GW</v>
      </c>
      <c r="K238" s="430">
        <f t="shared" si="30"/>
        <v>0</v>
      </c>
      <c r="L238" s="430">
        <f t="shared" si="31"/>
        <v>0</v>
      </c>
      <c r="M238" s="670" t="e">
        <f>+CNGPricing!H135</f>
        <v>#DIV/0!</v>
      </c>
      <c r="N238" s="720">
        <v>0</v>
      </c>
      <c r="O238" s="247" t="e">
        <f t="shared" si="28"/>
        <v>#DIV/0!</v>
      </c>
      <c r="P238" s="248" t="e">
        <f t="shared" si="29"/>
        <v>#DIV/0!</v>
      </c>
    </row>
    <row r="239" spans="1:16" ht="15" customHeight="1" thickBot="1" x14ac:dyDescent="0.25">
      <c r="A239" s="1" t="s">
        <v>21</v>
      </c>
      <c r="B239" s="1" t="s">
        <v>113</v>
      </c>
      <c r="C239" s="224">
        <v>4023001</v>
      </c>
      <c r="D239" s="941" t="s">
        <v>110</v>
      </c>
      <c r="E239" s="942">
        <v>37256</v>
      </c>
      <c r="F239" s="250" t="s">
        <v>110</v>
      </c>
      <c r="G239" s="185">
        <v>212218</v>
      </c>
      <c r="H239" s="185"/>
      <c r="I239" s="185" t="s">
        <v>168</v>
      </c>
      <c r="J239" s="430" t="str">
        <f t="shared" si="27"/>
        <v>GW</v>
      </c>
      <c r="K239" s="430">
        <f t="shared" si="30"/>
        <v>0</v>
      </c>
      <c r="L239" s="430">
        <f t="shared" si="31"/>
        <v>0</v>
      </c>
      <c r="M239" s="670" t="e">
        <f>+CNGPricing!H135</f>
        <v>#DIV/0!</v>
      </c>
      <c r="N239" s="720">
        <v>0</v>
      </c>
      <c r="O239" s="247" t="e">
        <f t="shared" si="28"/>
        <v>#DIV/0!</v>
      </c>
      <c r="P239" s="248" t="e">
        <f t="shared" si="29"/>
        <v>#DIV/0!</v>
      </c>
    </row>
    <row r="240" spans="1:16" ht="15" customHeight="1" thickBot="1" x14ac:dyDescent="0.25">
      <c r="A240" s="1" t="s">
        <v>21</v>
      </c>
      <c r="B240" s="1" t="s">
        <v>128</v>
      </c>
      <c r="C240" s="224">
        <v>4110301</v>
      </c>
      <c r="D240" s="941" t="s">
        <v>110</v>
      </c>
      <c r="E240" s="942">
        <v>37256</v>
      </c>
      <c r="F240" s="250" t="s">
        <v>110</v>
      </c>
      <c r="G240" s="185">
        <v>212218</v>
      </c>
      <c r="H240" s="185"/>
      <c r="I240" s="185" t="s">
        <v>168</v>
      </c>
      <c r="J240" s="430" t="str">
        <f t="shared" si="27"/>
        <v>GW</v>
      </c>
      <c r="K240" s="430">
        <f t="shared" si="30"/>
        <v>0</v>
      </c>
      <c r="L240" s="430">
        <f t="shared" si="31"/>
        <v>0</v>
      </c>
      <c r="M240" s="670" t="e">
        <f>+CNGPricing!H135</f>
        <v>#DIV/0!</v>
      </c>
      <c r="N240" s="720">
        <v>0</v>
      </c>
      <c r="O240" s="247" t="e">
        <f t="shared" si="28"/>
        <v>#DIV/0!</v>
      </c>
      <c r="P240" s="248" t="e">
        <f t="shared" si="29"/>
        <v>#DIV/0!</v>
      </c>
    </row>
    <row r="241" spans="1:16" ht="15" customHeight="1" thickBot="1" x14ac:dyDescent="0.25">
      <c r="A241" s="1" t="s">
        <v>21</v>
      </c>
      <c r="B241" s="1" t="s">
        <v>112</v>
      </c>
      <c r="C241" s="224">
        <v>4017601</v>
      </c>
      <c r="D241" s="941" t="s">
        <v>110</v>
      </c>
      <c r="E241" s="942">
        <v>37256</v>
      </c>
      <c r="F241" s="250" t="s">
        <v>110</v>
      </c>
      <c r="G241" s="185">
        <v>212218</v>
      </c>
      <c r="H241" s="185"/>
      <c r="I241" s="185" t="s">
        <v>168</v>
      </c>
      <c r="J241" s="430" t="str">
        <f t="shared" si="27"/>
        <v>GW</v>
      </c>
      <c r="K241" s="430">
        <f t="shared" si="30"/>
        <v>0</v>
      </c>
      <c r="L241" s="430">
        <f t="shared" si="31"/>
        <v>0</v>
      </c>
      <c r="M241" s="670" t="e">
        <f>+CNGPricing!H135</f>
        <v>#DIV/0!</v>
      </c>
      <c r="N241" s="720">
        <v>0</v>
      </c>
      <c r="O241" s="247" t="e">
        <f t="shared" si="28"/>
        <v>#DIV/0!</v>
      </c>
      <c r="P241" s="248" t="e">
        <f t="shared" si="29"/>
        <v>#DIV/0!</v>
      </c>
    </row>
    <row r="242" spans="1:16" ht="15" customHeight="1" thickBot="1" x14ac:dyDescent="0.25">
      <c r="A242" s="1" t="s">
        <v>21</v>
      </c>
      <c r="B242" s="1" t="s">
        <v>109</v>
      </c>
      <c r="C242" s="224">
        <v>4004301</v>
      </c>
      <c r="D242" s="941" t="s">
        <v>110</v>
      </c>
      <c r="E242" s="942">
        <v>37256</v>
      </c>
      <c r="F242" s="250" t="s">
        <v>110</v>
      </c>
      <c r="G242" s="185">
        <v>212218</v>
      </c>
      <c r="H242" s="185"/>
      <c r="I242" s="185" t="s">
        <v>168</v>
      </c>
      <c r="J242" s="430" t="str">
        <f t="shared" si="27"/>
        <v>GW</v>
      </c>
      <c r="K242" s="430">
        <f t="shared" si="30"/>
        <v>0</v>
      </c>
      <c r="L242" s="430">
        <f t="shared" si="31"/>
        <v>0</v>
      </c>
      <c r="M242" s="670" t="e">
        <f>+CNGPricing!H135</f>
        <v>#DIV/0!</v>
      </c>
      <c r="N242" s="720">
        <v>0</v>
      </c>
      <c r="O242" s="247" t="e">
        <f t="shared" si="28"/>
        <v>#DIV/0!</v>
      </c>
      <c r="P242" s="248" t="e">
        <f t="shared" si="29"/>
        <v>#DIV/0!</v>
      </c>
    </row>
    <row r="243" spans="1:16" ht="15" customHeight="1" thickBot="1" x14ac:dyDescent="0.25">
      <c r="A243" s="1" t="s">
        <v>21</v>
      </c>
      <c r="B243" s="1" t="s">
        <v>129</v>
      </c>
      <c r="C243" s="224">
        <v>4110401</v>
      </c>
      <c r="D243" s="941" t="s">
        <v>110</v>
      </c>
      <c r="E243" s="942">
        <v>37256</v>
      </c>
      <c r="F243" s="250" t="s">
        <v>110</v>
      </c>
      <c r="G243" s="185">
        <v>212218</v>
      </c>
      <c r="H243" s="185"/>
      <c r="I243" s="185" t="s">
        <v>168</v>
      </c>
      <c r="J243" s="430" t="str">
        <f t="shared" si="27"/>
        <v>GW</v>
      </c>
      <c r="K243" s="430">
        <f t="shared" si="30"/>
        <v>0</v>
      </c>
      <c r="L243" s="430">
        <f t="shared" si="31"/>
        <v>0</v>
      </c>
      <c r="M243" s="670" t="e">
        <f>+CNGPricing!H135</f>
        <v>#DIV/0!</v>
      </c>
      <c r="N243" s="720">
        <v>0</v>
      </c>
      <c r="O243" s="247" t="e">
        <f t="shared" si="28"/>
        <v>#DIV/0!</v>
      </c>
      <c r="P243" s="248" t="e">
        <f t="shared" si="29"/>
        <v>#DIV/0!</v>
      </c>
    </row>
    <row r="244" spans="1:16" ht="15" customHeight="1" thickBot="1" x14ac:dyDescent="0.25">
      <c r="A244" s="1" t="s">
        <v>21</v>
      </c>
      <c r="B244" s="1" t="s">
        <v>130</v>
      </c>
      <c r="C244" s="224">
        <v>4110701</v>
      </c>
      <c r="D244" s="941" t="s">
        <v>110</v>
      </c>
      <c r="E244" s="942">
        <v>37256</v>
      </c>
      <c r="F244" s="250" t="s">
        <v>110</v>
      </c>
      <c r="G244" s="185">
        <v>212218</v>
      </c>
      <c r="H244" s="185"/>
      <c r="I244" s="185" t="s">
        <v>168</v>
      </c>
      <c r="J244" s="430" t="str">
        <f t="shared" si="27"/>
        <v>GW</v>
      </c>
      <c r="K244" s="430">
        <f t="shared" si="30"/>
        <v>0</v>
      </c>
      <c r="L244" s="430">
        <f t="shared" si="31"/>
        <v>0</v>
      </c>
      <c r="M244" s="670" t="e">
        <f>+CNGPricing!H135</f>
        <v>#DIV/0!</v>
      </c>
      <c r="N244" s="720">
        <v>0</v>
      </c>
      <c r="O244" s="247" t="e">
        <f t="shared" si="28"/>
        <v>#DIV/0!</v>
      </c>
      <c r="P244" s="248" t="e">
        <f t="shared" si="29"/>
        <v>#DIV/0!</v>
      </c>
    </row>
    <row r="245" spans="1:16" ht="15" customHeight="1" thickBot="1" x14ac:dyDescent="0.25">
      <c r="A245" s="1" t="s">
        <v>21</v>
      </c>
      <c r="B245" s="1" t="s">
        <v>116</v>
      </c>
      <c r="C245" s="224">
        <v>4036701</v>
      </c>
      <c r="D245" s="941" t="s">
        <v>110</v>
      </c>
      <c r="E245" s="942">
        <v>37256</v>
      </c>
      <c r="F245" s="250" t="s">
        <v>110</v>
      </c>
      <c r="G245" s="185">
        <v>212218</v>
      </c>
      <c r="H245" s="185"/>
      <c r="I245" s="185" t="s">
        <v>168</v>
      </c>
      <c r="J245" s="430" t="str">
        <f t="shared" si="27"/>
        <v>GW</v>
      </c>
      <c r="K245" s="430">
        <f t="shared" si="30"/>
        <v>0</v>
      </c>
      <c r="L245" s="430">
        <f t="shared" si="31"/>
        <v>0</v>
      </c>
      <c r="M245" s="670" t="e">
        <f>+CNGPricing!H135</f>
        <v>#DIV/0!</v>
      </c>
      <c r="N245" s="720">
        <v>0</v>
      </c>
      <c r="O245" s="247" t="e">
        <f t="shared" si="28"/>
        <v>#DIV/0!</v>
      </c>
      <c r="P245" s="248" t="e">
        <f t="shared" si="29"/>
        <v>#DIV/0!</v>
      </c>
    </row>
    <row r="246" spans="1:16" ht="15" customHeight="1" thickBot="1" x14ac:dyDescent="0.25">
      <c r="A246" s="1" t="s">
        <v>21</v>
      </c>
      <c r="B246" s="1" t="s">
        <v>117</v>
      </c>
      <c r="C246" s="224">
        <v>4037201</v>
      </c>
      <c r="D246" s="941" t="s">
        <v>110</v>
      </c>
      <c r="E246" s="942">
        <v>37256</v>
      </c>
      <c r="F246" s="250" t="s">
        <v>118</v>
      </c>
      <c r="G246" s="185">
        <v>212218</v>
      </c>
      <c r="H246" s="185"/>
      <c r="I246" s="185" t="s">
        <v>168</v>
      </c>
      <c r="J246" s="430" t="str">
        <f t="shared" si="27"/>
        <v>GW</v>
      </c>
      <c r="K246" s="430">
        <f t="shared" si="30"/>
        <v>0</v>
      </c>
      <c r="L246" s="430">
        <f t="shared" si="31"/>
        <v>0</v>
      </c>
      <c r="M246" s="670" t="e">
        <f>+CNGPricing!H135</f>
        <v>#DIV/0!</v>
      </c>
      <c r="N246" s="720">
        <v>0</v>
      </c>
      <c r="O246" s="247" t="e">
        <f t="shared" si="28"/>
        <v>#DIV/0!</v>
      </c>
      <c r="P246" s="248" t="e">
        <f t="shared" ref="P246:P275" si="34">L246*O246</f>
        <v>#DIV/0!</v>
      </c>
    </row>
    <row r="247" spans="1:16" ht="15" customHeight="1" thickBot="1" x14ac:dyDescent="0.25">
      <c r="A247" s="1" t="s">
        <v>21</v>
      </c>
      <c r="B247" s="1" t="s">
        <v>121</v>
      </c>
      <c r="C247" s="224">
        <v>4075401</v>
      </c>
      <c r="D247" s="941" t="s">
        <v>110</v>
      </c>
      <c r="E247" s="942">
        <v>37256</v>
      </c>
      <c r="F247" s="250" t="s">
        <v>110</v>
      </c>
      <c r="G247" s="185">
        <v>212218</v>
      </c>
      <c r="H247" s="185"/>
      <c r="I247" s="185" t="s">
        <v>168</v>
      </c>
      <c r="J247" s="430" t="str">
        <f t="shared" si="27"/>
        <v>GW</v>
      </c>
      <c r="K247" s="430">
        <f t="shared" si="30"/>
        <v>0</v>
      </c>
      <c r="L247" s="430">
        <f t="shared" si="31"/>
        <v>0</v>
      </c>
      <c r="M247" s="670" t="e">
        <f>+CNGPricing!H135</f>
        <v>#DIV/0!</v>
      </c>
      <c r="N247" s="720">
        <v>0</v>
      </c>
      <c r="O247" s="247" t="e">
        <f t="shared" si="28"/>
        <v>#DIV/0!</v>
      </c>
      <c r="P247" s="248" t="e">
        <f t="shared" si="34"/>
        <v>#DIV/0!</v>
      </c>
    </row>
    <row r="248" spans="1:16" ht="15" customHeight="1" thickBot="1" x14ac:dyDescent="0.25">
      <c r="A248" s="1" t="s">
        <v>21</v>
      </c>
      <c r="B248" s="1" t="s">
        <v>120</v>
      </c>
      <c r="C248" s="224">
        <v>4065201</v>
      </c>
      <c r="D248" s="941" t="s">
        <v>110</v>
      </c>
      <c r="E248" s="942">
        <v>37256</v>
      </c>
      <c r="F248" s="250" t="s">
        <v>110</v>
      </c>
      <c r="G248" s="185">
        <v>212218</v>
      </c>
      <c r="H248" s="185"/>
      <c r="I248" s="185" t="s">
        <v>168</v>
      </c>
      <c r="J248" s="430" t="str">
        <f t="shared" si="27"/>
        <v>GW</v>
      </c>
      <c r="K248" s="430">
        <f t="shared" si="30"/>
        <v>0</v>
      </c>
      <c r="L248" s="430">
        <f t="shared" si="31"/>
        <v>0</v>
      </c>
      <c r="M248" s="670" t="e">
        <f>+CNGPricing!H135</f>
        <v>#DIV/0!</v>
      </c>
      <c r="N248" s="720">
        <v>0</v>
      </c>
      <c r="O248" s="247" t="e">
        <f t="shared" si="28"/>
        <v>#DIV/0!</v>
      </c>
      <c r="P248" s="248" t="e">
        <f t="shared" si="34"/>
        <v>#DIV/0!</v>
      </c>
    </row>
    <row r="249" spans="1:16" ht="15" customHeight="1" thickBot="1" x14ac:dyDescent="0.25">
      <c r="A249" s="1" t="s">
        <v>21</v>
      </c>
      <c r="B249" s="1" t="s">
        <v>119</v>
      </c>
      <c r="C249" s="224">
        <v>4051201</v>
      </c>
      <c r="D249" s="941" t="s">
        <v>110</v>
      </c>
      <c r="E249" s="942">
        <v>37256</v>
      </c>
      <c r="F249" s="250" t="s">
        <v>110</v>
      </c>
      <c r="G249" s="185">
        <v>212218</v>
      </c>
      <c r="H249" s="185"/>
      <c r="I249" s="185" t="s">
        <v>168</v>
      </c>
      <c r="J249" s="430" t="str">
        <f t="shared" si="27"/>
        <v>GW</v>
      </c>
      <c r="K249" s="430">
        <f t="shared" si="30"/>
        <v>0</v>
      </c>
      <c r="L249" s="430">
        <f t="shared" si="31"/>
        <v>0</v>
      </c>
      <c r="M249" s="670" t="e">
        <f>+CNGPricing!H135</f>
        <v>#DIV/0!</v>
      </c>
      <c r="N249" s="720">
        <v>0</v>
      </c>
      <c r="O249" s="247" t="e">
        <f t="shared" si="28"/>
        <v>#DIV/0!</v>
      </c>
      <c r="P249" s="248" t="e">
        <f t="shared" si="34"/>
        <v>#DIV/0!</v>
      </c>
    </row>
    <row r="250" spans="1:16" ht="15" customHeight="1" thickBot="1" x14ac:dyDescent="0.25">
      <c r="A250" s="1" t="s">
        <v>21</v>
      </c>
      <c r="B250" s="1" t="s">
        <v>111</v>
      </c>
      <c r="C250" s="224">
        <v>4004801</v>
      </c>
      <c r="D250" s="941" t="s">
        <v>110</v>
      </c>
      <c r="E250" s="942">
        <v>37256</v>
      </c>
      <c r="F250" s="250" t="s">
        <v>110</v>
      </c>
      <c r="G250" s="185">
        <v>212218</v>
      </c>
      <c r="H250" s="185"/>
      <c r="I250" s="185" t="s">
        <v>168</v>
      </c>
      <c r="J250" s="430" t="str">
        <f t="shared" si="27"/>
        <v>GW</v>
      </c>
      <c r="K250" s="430">
        <f t="shared" si="30"/>
        <v>0</v>
      </c>
      <c r="L250" s="430">
        <f t="shared" si="31"/>
        <v>0</v>
      </c>
      <c r="M250" s="670" t="e">
        <f>+CNGPricing!H135</f>
        <v>#DIV/0!</v>
      </c>
      <c r="N250" s="720">
        <v>0</v>
      </c>
      <c r="O250" s="247" t="e">
        <f t="shared" si="28"/>
        <v>#DIV/0!</v>
      </c>
      <c r="P250" s="248" t="e">
        <f t="shared" si="34"/>
        <v>#DIV/0!</v>
      </c>
    </row>
    <row r="251" spans="1:16" ht="15" customHeight="1" thickBot="1" x14ac:dyDescent="0.25">
      <c r="A251" s="6" t="s">
        <v>1103</v>
      </c>
      <c r="B251" s="336" t="s">
        <v>1272</v>
      </c>
      <c r="C251" s="6">
        <v>3086501</v>
      </c>
      <c r="D251" s="666" t="s">
        <v>1273</v>
      </c>
      <c r="E251" s="940">
        <v>37228</v>
      </c>
      <c r="F251" s="6"/>
      <c r="G251" s="1">
        <v>68783</v>
      </c>
      <c r="H251" s="1" t="s">
        <v>921</v>
      </c>
      <c r="I251" s="1" t="s">
        <v>906</v>
      </c>
      <c r="J251" s="245" t="str">
        <f t="shared" si="27"/>
        <v>GW</v>
      </c>
      <c r="K251" s="245">
        <f t="shared" si="30"/>
        <v>0</v>
      </c>
      <c r="L251" s="245">
        <f t="shared" si="31"/>
        <v>0</v>
      </c>
      <c r="M251" s="249">
        <f>M$2*96%</f>
        <v>2.1120000000000001</v>
      </c>
      <c r="N251" s="720">
        <v>0</v>
      </c>
      <c r="O251" s="247">
        <f t="shared" si="28"/>
        <v>2.1120000000000001</v>
      </c>
      <c r="P251" s="248">
        <f t="shared" si="34"/>
        <v>0</v>
      </c>
    </row>
    <row r="252" spans="1:16" ht="15" customHeight="1" thickBot="1" x14ac:dyDescent="0.25">
      <c r="A252" s="6" t="s">
        <v>1103</v>
      </c>
      <c r="B252" t="s">
        <v>1832</v>
      </c>
      <c r="C252">
        <v>3584101</v>
      </c>
      <c r="D252" s="943" t="s">
        <v>922</v>
      </c>
      <c r="E252" s="940">
        <v>37228</v>
      </c>
      <c r="F252" s="379"/>
      <c r="G252" s="137">
        <v>30661</v>
      </c>
      <c r="H252" s="1" t="s">
        <v>837</v>
      </c>
      <c r="I252" s="666" t="s">
        <v>838</v>
      </c>
      <c r="J252" s="245" t="str">
        <f t="shared" si="27"/>
        <v>GW</v>
      </c>
      <c r="K252" s="245">
        <f t="shared" si="30"/>
        <v>0</v>
      </c>
      <c r="L252" s="245">
        <f t="shared" si="31"/>
        <v>0</v>
      </c>
      <c r="M252" s="667">
        <f>$M$2-0.01</f>
        <v>2.1900000000000004</v>
      </c>
      <c r="N252" s="720">
        <v>0</v>
      </c>
      <c r="O252" s="247">
        <f t="shared" si="28"/>
        <v>2.1900000000000004</v>
      </c>
      <c r="P252" s="248">
        <f t="shared" si="34"/>
        <v>0</v>
      </c>
    </row>
    <row r="253" spans="1:16" ht="15" customHeight="1" thickBot="1" x14ac:dyDescent="0.25">
      <c r="A253" s="6" t="s">
        <v>1103</v>
      </c>
      <c r="B253" t="s">
        <v>1834</v>
      </c>
      <c r="C253">
        <v>3584201</v>
      </c>
      <c r="D253" s="943" t="s">
        <v>922</v>
      </c>
      <c r="E253" s="940">
        <v>37228</v>
      </c>
      <c r="F253" s="379"/>
      <c r="G253" s="137">
        <v>30661</v>
      </c>
      <c r="H253" s="1" t="s">
        <v>837</v>
      </c>
      <c r="I253" s="666" t="s">
        <v>838</v>
      </c>
      <c r="J253" s="245" t="str">
        <f t="shared" si="27"/>
        <v>GW</v>
      </c>
      <c r="K253" s="245">
        <f t="shared" si="30"/>
        <v>0</v>
      </c>
      <c r="L253" s="245">
        <f t="shared" si="31"/>
        <v>0</v>
      </c>
      <c r="M253" s="667">
        <f>$M$2-0.01</f>
        <v>2.1900000000000004</v>
      </c>
      <c r="N253" s="720">
        <v>0</v>
      </c>
      <c r="O253" s="247">
        <f t="shared" si="28"/>
        <v>2.1900000000000004</v>
      </c>
      <c r="P253" s="248">
        <f t="shared" si="34"/>
        <v>0</v>
      </c>
    </row>
    <row r="254" spans="1:16" ht="15" customHeight="1" thickBot="1" x14ac:dyDescent="0.25">
      <c r="A254" s="6" t="s">
        <v>1103</v>
      </c>
      <c r="B254" s="336" t="s">
        <v>1170</v>
      </c>
      <c r="C254" s="6">
        <v>4362001</v>
      </c>
      <c r="D254" s="943" t="s">
        <v>922</v>
      </c>
      <c r="E254" s="940">
        <v>37228</v>
      </c>
      <c r="F254" s="379"/>
      <c r="G254" s="137">
        <v>30661</v>
      </c>
      <c r="H254" s="1" t="s">
        <v>837</v>
      </c>
      <c r="I254" s="666" t="s">
        <v>838</v>
      </c>
      <c r="J254" s="245" t="str">
        <f t="shared" si="27"/>
        <v>GW</v>
      </c>
      <c r="K254" s="245">
        <f t="shared" si="30"/>
        <v>0</v>
      </c>
      <c r="L254" s="245">
        <f t="shared" si="31"/>
        <v>0</v>
      </c>
      <c r="M254" s="667">
        <f>$M$2-0.01</f>
        <v>2.1900000000000004</v>
      </c>
      <c r="N254" s="720">
        <v>0</v>
      </c>
      <c r="O254" s="247">
        <f t="shared" si="28"/>
        <v>2.1900000000000004</v>
      </c>
      <c r="P254" s="248">
        <f t="shared" si="34"/>
        <v>0</v>
      </c>
    </row>
    <row r="255" spans="1:16" ht="15" customHeight="1" thickBot="1" x14ac:dyDescent="0.25">
      <c r="A255" s="6" t="s">
        <v>1103</v>
      </c>
      <c r="B255" s="336" t="s">
        <v>1278</v>
      </c>
      <c r="C255" s="6">
        <v>4106301</v>
      </c>
      <c r="D255" s="943" t="s">
        <v>922</v>
      </c>
      <c r="E255" s="940">
        <v>37228</v>
      </c>
      <c r="F255" s="379"/>
      <c r="G255" s="137">
        <v>30661</v>
      </c>
      <c r="H255" s="1" t="s">
        <v>837</v>
      </c>
      <c r="I255" s="666" t="s">
        <v>838</v>
      </c>
      <c r="J255" s="245" t="str">
        <f t="shared" si="27"/>
        <v>GW</v>
      </c>
      <c r="K255" s="245">
        <f t="shared" si="30"/>
        <v>0</v>
      </c>
      <c r="L255" s="245">
        <f t="shared" si="31"/>
        <v>0</v>
      </c>
      <c r="M255" s="667">
        <f>$M$2-0.01</f>
        <v>2.1900000000000004</v>
      </c>
      <c r="N255" s="720">
        <v>0</v>
      </c>
      <c r="O255" s="247">
        <f t="shared" si="28"/>
        <v>2.1900000000000004</v>
      </c>
      <c r="P255" s="248">
        <f t="shared" si="34"/>
        <v>0</v>
      </c>
    </row>
    <row r="256" spans="1:16" ht="15" customHeight="1" thickBot="1" x14ac:dyDescent="0.25">
      <c r="A256" s="6" t="s">
        <v>831</v>
      </c>
      <c r="B256" s="336" t="s">
        <v>923</v>
      </c>
      <c r="C256" s="6" t="s">
        <v>831</v>
      </c>
      <c r="D256" s="6" t="s">
        <v>924</v>
      </c>
      <c r="E256" s="938" t="s">
        <v>1403</v>
      </c>
      <c r="F256" s="6"/>
      <c r="G256" s="1">
        <v>70062</v>
      </c>
      <c r="H256" s="1" t="s">
        <v>925</v>
      </c>
      <c r="I256" s="1" t="s">
        <v>926</v>
      </c>
      <c r="J256" s="245" t="str">
        <f t="shared" si="27"/>
        <v>na</v>
      </c>
      <c r="K256" s="245" t="str">
        <f t="shared" si="30"/>
        <v>na</v>
      </c>
      <c r="L256" s="245">
        <f t="shared" si="31"/>
        <v>0</v>
      </c>
      <c r="M256" s="249">
        <f t="shared" ref="M256:M264" si="35">M$3*98%</f>
        <v>2.1168</v>
      </c>
      <c r="N256" s="720">
        <v>0</v>
      </c>
      <c r="O256" s="247">
        <f t="shared" si="28"/>
        <v>2.1168</v>
      </c>
      <c r="P256" s="248">
        <f t="shared" si="34"/>
        <v>0</v>
      </c>
    </row>
    <row r="257" spans="1:17" ht="15" customHeight="1" thickBot="1" x14ac:dyDescent="0.25">
      <c r="A257" s="6" t="s">
        <v>831</v>
      </c>
      <c r="B257" s="336" t="s">
        <v>927</v>
      </c>
      <c r="C257" s="6" t="s">
        <v>831</v>
      </c>
      <c r="D257" s="6" t="s">
        <v>924</v>
      </c>
      <c r="E257" s="938" t="s">
        <v>1403</v>
      </c>
      <c r="F257" s="6"/>
      <c r="G257" s="1">
        <v>70062</v>
      </c>
      <c r="H257" s="1" t="s">
        <v>925</v>
      </c>
      <c r="I257" s="1" t="s">
        <v>926</v>
      </c>
      <c r="J257" s="245" t="str">
        <f t="shared" si="27"/>
        <v>na</v>
      </c>
      <c r="K257" s="245" t="str">
        <f t="shared" si="30"/>
        <v>na</v>
      </c>
      <c r="L257" s="245">
        <f t="shared" si="31"/>
        <v>0</v>
      </c>
      <c r="M257" s="249">
        <f t="shared" si="35"/>
        <v>2.1168</v>
      </c>
      <c r="N257" s="720">
        <v>0</v>
      </c>
      <c r="O257" s="247">
        <f t="shared" si="28"/>
        <v>2.1168</v>
      </c>
      <c r="P257" s="248">
        <f t="shared" si="34"/>
        <v>0</v>
      </c>
    </row>
    <row r="258" spans="1:17" ht="15" customHeight="1" thickBot="1" x14ac:dyDescent="0.25">
      <c r="A258" s="6" t="s">
        <v>831</v>
      </c>
      <c r="B258" s="336" t="s">
        <v>928</v>
      </c>
      <c r="C258" s="6" t="s">
        <v>831</v>
      </c>
      <c r="D258" s="6" t="s">
        <v>924</v>
      </c>
      <c r="E258" s="938" t="s">
        <v>1403</v>
      </c>
      <c r="F258" s="6"/>
      <c r="G258" s="1">
        <v>70062</v>
      </c>
      <c r="H258" s="1" t="s">
        <v>925</v>
      </c>
      <c r="I258" s="1" t="s">
        <v>926</v>
      </c>
      <c r="J258" s="245" t="str">
        <f t="shared" si="27"/>
        <v>na</v>
      </c>
      <c r="K258" s="245" t="str">
        <f t="shared" si="30"/>
        <v>na</v>
      </c>
      <c r="L258" s="245">
        <f t="shared" si="31"/>
        <v>0</v>
      </c>
      <c r="M258" s="249">
        <f t="shared" si="35"/>
        <v>2.1168</v>
      </c>
      <c r="N258" s="720">
        <v>0</v>
      </c>
      <c r="O258" s="247">
        <f t="shared" si="28"/>
        <v>2.1168</v>
      </c>
      <c r="P258" s="248">
        <f t="shared" si="34"/>
        <v>0</v>
      </c>
    </row>
    <row r="259" spans="1:17" ht="15" customHeight="1" thickBot="1" x14ac:dyDescent="0.25">
      <c r="A259" s="6" t="s">
        <v>831</v>
      </c>
      <c r="B259" s="336" t="s">
        <v>929</v>
      </c>
      <c r="C259" s="6" t="s">
        <v>831</v>
      </c>
      <c r="D259" s="6" t="s">
        <v>924</v>
      </c>
      <c r="E259" s="938" t="s">
        <v>1403</v>
      </c>
      <c r="F259" s="6"/>
      <c r="G259" s="1">
        <v>70062</v>
      </c>
      <c r="H259" s="1" t="s">
        <v>925</v>
      </c>
      <c r="I259" s="1" t="s">
        <v>926</v>
      </c>
      <c r="J259" s="245" t="str">
        <f t="shared" si="27"/>
        <v>na</v>
      </c>
      <c r="K259" s="245" t="str">
        <f t="shared" si="30"/>
        <v>na</v>
      </c>
      <c r="L259" s="245">
        <f t="shared" si="31"/>
        <v>0</v>
      </c>
      <c r="M259" s="249">
        <f t="shared" si="35"/>
        <v>2.1168</v>
      </c>
      <c r="N259" s="720">
        <v>0</v>
      </c>
      <c r="O259" s="247">
        <f t="shared" si="28"/>
        <v>2.1168</v>
      </c>
      <c r="P259" s="248">
        <f t="shared" si="34"/>
        <v>0</v>
      </c>
    </row>
    <row r="260" spans="1:17" ht="15" customHeight="1" thickBot="1" x14ac:dyDescent="0.25">
      <c r="A260" s="6" t="s">
        <v>831</v>
      </c>
      <c r="B260" s="336" t="s">
        <v>930</v>
      </c>
      <c r="C260" s="6" t="s">
        <v>831</v>
      </c>
      <c r="D260" s="6" t="s">
        <v>924</v>
      </c>
      <c r="E260" s="938" t="s">
        <v>1403</v>
      </c>
      <c r="F260" s="6"/>
      <c r="G260" s="1">
        <v>70062</v>
      </c>
      <c r="H260" s="1" t="s">
        <v>925</v>
      </c>
      <c r="I260" s="1" t="s">
        <v>926</v>
      </c>
      <c r="J260" s="245" t="str">
        <f t="shared" si="27"/>
        <v>na</v>
      </c>
      <c r="K260" s="245" t="str">
        <f t="shared" si="30"/>
        <v>na</v>
      </c>
      <c r="L260" s="245">
        <f t="shared" si="31"/>
        <v>0</v>
      </c>
      <c r="M260" s="249">
        <f t="shared" si="35"/>
        <v>2.1168</v>
      </c>
      <c r="N260" s="720">
        <v>0</v>
      </c>
      <c r="O260" s="247">
        <f t="shared" si="28"/>
        <v>2.1168</v>
      </c>
      <c r="P260" s="248">
        <f t="shared" si="34"/>
        <v>0</v>
      </c>
    </row>
    <row r="261" spans="1:17" ht="15" customHeight="1" thickBot="1" x14ac:dyDescent="0.25">
      <c r="A261" s="6" t="s">
        <v>831</v>
      </c>
      <c r="B261" s="336" t="s">
        <v>931</v>
      </c>
      <c r="C261" s="6" t="s">
        <v>831</v>
      </c>
      <c r="D261" s="6" t="s">
        <v>924</v>
      </c>
      <c r="E261" s="938" t="s">
        <v>1403</v>
      </c>
      <c r="F261" s="6"/>
      <c r="G261" s="1">
        <v>70062</v>
      </c>
      <c r="H261" s="1" t="s">
        <v>925</v>
      </c>
      <c r="I261" s="1" t="s">
        <v>926</v>
      </c>
      <c r="J261" s="245" t="str">
        <f t="shared" si="27"/>
        <v>na</v>
      </c>
      <c r="K261" s="245" t="str">
        <f t="shared" si="30"/>
        <v>na</v>
      </c>
      <c r="L261" s="245">
        <f t="shared" si="31"/>
        <v>0</v>
      </c>
      <c r="M261" s="249">
        <f t="shared" si="35"/>
        <v>2.1168</v>
      </c>
      <c r="N261" s="720">
        <v>0</v>
      </c>
      <c r="O261" s="247">
        <f t="shared" si="28"/>
        <v>2.1168</v>
      </c>
      <c r="P261" s="248">
        <f t="shared" si="34"/>
        <v>0</v>
      </c>
    </row>
    <row r="262" spans="1:17" ht="15" customHeight="1" thickBot="1" x14ac:dyDescent="0.25">
      <c r="A262" s="6" t="s">
        <v>831</v>
      </c>
      <c r="B262" s="336" t="s">
        <v>932</v>
      </c>
      <c r="C262" s="6" t="s">
        <v>831</v>
      </c>
      <c r="D262" s="6" t="s">
        <v>924</v>
      </c>
      <c r="E262" s="938" t="s">
        <v>1403</v>
      </c>
      <c r="F262" s="6"/>
      <c r="G262" s="1">
        <v>70062</v>
      </c>
      <c r="H262" s="1" t="s">
        <v>925</v>
      </c>
      <c r="I262" s="1" t="s">
        <v>926</v>
      </c>
      <c r="J262" s="245" t="str">
        <f t="shared" si="27"/>
        <v>na</v>
      </c>
      <c r="K262" s="245" t="str">
        <f t="shared" si="30"/>
        <v>na</v>
      </c>
      <c r="L262" s="245">
        <f t="shared" si="31"/>
        <v>0</v>
      </c>
      <c r="M262" s="249">
        <f t="shared" si="35"/>
        <v>2.1168</v>
      </c>
      <c r="N262" s="720">
        <v>0</v>
      </c>
      <c r="O262" s="247">
        <f t="shared" si="28"/>
        <v>2.1168</v>
      </c>
      <c r="P262" s="248">
        <f t="shared" si="34"/>
        <v>0</v>
      </c>
    </row>
    <row r="263" spans="1:17" ht="15" customHeight="1" thickBot="1" x14ac:dyDescent="0.25">
      <c r="A263" s="6" t="s">
        <v>831</v>
      </c>
      <c r="B263" s="336" t="s">
        <v>933</v>
      </c>
      <c r="C263" s="6" t="s">
        <v>831</v>
      </c>
      <c r="D263" s="6" t="s">
        <v>924</v>
      </c>
      <c r="E263" s="938" t="s">
        <v>1403</v>
      </c>
      <c r="F263" s="6"/>
      <c r="G263" s="1">
        <v>70062</v>
      </c>
      <c r="H263" s="1" t="s">
        <v>925</v>
      </c>
      <c r="I263" s="1" t="s">
        <v>926</v>
      </c>
      <c r="J263" s="245" t="str">
        <f t="shared" si="27"/>
        <v>na</v>
      </c>
      <c r="K263" s="245" t="str">
        <f t="shared" si="30"/>
        <v>na</v>
      </c>
      <c r="L263" s="245">
        <f t="shared" si="31"/>
        <v>0</v>
      </c>
      <c r="M263" s="249">
        <f t="shared" si="35"/>
        <v>2.1168</v>
      </c>
      <c r="N263" s="720">
        <v>0</v>
      </c>
      <c r="O263" s="247">
        <f t="shared" si="28"/>
        <v>2.1168</v>
      </c>
      <c r="P263" s="248">
        <f t="shared" si="34"/>
        <v>0</v>
      </c>
    </row>
    <row r="264" spans="1:17" ht="15" customHeight="1" thickBot="1" x14ac:dyDescent="0.25">
      <c r="A264" s="6" t="s">
        <v>831</v>
      </c>
      <c r="B264" s="336" t="s">
        <v>934</v>
      </c>
      <c r="C264" s="6" t="s">
        <v>831</v>
      </c>
      <c r="D264" s="6" t="s">
        <v>924</v>
      </c>
      <c r="E264" s="938" t="s">
        <v>1403</v>
      </c>
      <c r="F264" s="6"/>
      <c r="G264" s="1">
        <v>70062</v>
      </c>
      <c r="H264" s="1" t="s">
        <v>925</v>
      </c>
      <c r="I264" s="1" t="s">
        <v>926</v>
      </c>
      <c r="J264" s="245" t="str">
        <f t="shared" si="27"/>
        <v>na</v>
      </c>
      <c r="K264" s="245" t="str">
        <f t="shared" si="30"/>
        <v>na</v>
      </c>
      <c r="L264" s="245">
        <f t="shared" si="31"/>
        <v>0</v>
      </c>
      <c r="M264" s="249">
        <f t="shared" si="35"/>
        <v>2.1168</v>
      </c>
      <c r="N264" s="720">
        <v>0</v>
      </c>
      <c r="O264" s="247">
        <f t="shared" si="28"/>
        <v>2.1168</v>
      </c>
      <c r="P264" s="248">
        <f t="shared" si="34"/>
        <v>0</v>
      </c>
    </row>
    <row r="265" spans="1:17" ht="15" customHeight="1" thickBot="1" x14ac:dyDescent="0.25">
      <c r="A265" s="6" t="s">
        <v>1103</v>
      </c>
      <c r="B265" s="336" t="s">
        <v>1279</v>
      </c>
      <c r="C265" s="6">
        <v>3001401</v>
      </c>
      <c r="D265" s="666" t="s">
        <v>936</v>
      </c>
      <c r="E265" s="940">
        <v>37228</v>
      </c>
      <c r="F265" s="250"/>
      <c r="G265" s="250">
        <v>70303</v>
      </c>
      <c r="H265" s="250" t="s">
        <v>937</v>
      </c>
      <c r="I265" s="666" t="s">
        <v>938</v>
      </c>
      <c r="J265" s="430" t="str">
        <f t="shared" si="27"/>
        <v>GW</v>
      </c>
      <c r="K265" s="245">
        <f t="shared" si="30"/>
        <v>0</v>
      </c>
      <c r="L265" s="245">
        <f t="shared" si="31"/>
        <v>0</v>
      </c>
      <c r="M265" s="667" t="e">
        <f>+CNGPricing!$H$147</f>
        <v>#DIV/0!</v>
      </c>
      <c r="N265" s="720">
        <v>0</v>
      </c>
      <c r="O265" s="247" t="e">
        <f t="shared" si="28"/>
        <v>#DIV/0!</v>
      </c>
      <c r="P265" s="248" t="e">
        <f t="shared" si="34"/>
        <v>#DIV/0!</v>
      </c>
    </row>
    <row r="266" spans="1:17" ht="15" customHeight="1" thickBot="1" x14ac:dyDescent="0.25">
      <c r="A266" s="6" t="s">
        <v>1103</v>
      </c>
      <c r="B266" s="336" t="s">
        <v>1280</v>
      </c>
      <c r="C266" s="6">
        <v>3001601</v>
      </c>
      <c r="D266" s="666" t="s">
        <v>936</v>
      </c>
      <c r="E266" s="940">
        <v>37228</v>
      </c>
      <c r="F266" s="250"/>
      <c r="G266" s="250">
        <v>70303</v>
      </c>
      <c r="H266" s="250" t="s">
        <v>937</v>
      </c>
      <c r="I266" s="666" t="s">
        <v>938</v>
      </c>
      <c r="J266" s="430" t="str">
        <f t="shared" si="27"/>
        <v>GW</v>
      </c>
      <c r="K266" s="245">
        <f t="shared" si="30"/>
        <v>0</v>
      </c>
      <c r="L266" s="245">
        <f t="shared" si="31"/>
        <v>0</v>
      </c>
      <c r="M266" s="667" t="e">
        <f>+CNGPricing!$H$147</f>
        <v>#DIV/0!</v>
      </c>
      <c r="N266" s="720">
        <v>0</v>
      </c>
      <c r="O266" s="247" t="e">
        <f t="shared" si="28"/>
        <v>#DIV/0!</v>
      </c>
      <c r="P266" s="248" t="e">
        <f t="shared" si="34"/>
        <v>#DIV/0!</v>
      </c>
    </row>
    <row r="267" spans="1:17" ht="15" customHeight="1" thickBot="1" x14ac:dyDescent="0.25">
      <c r="A267" s="6" t="s">
        <v>1103</v>
      </c>
      <c r="B267" s="336" t="s">
        <v>1281</v>
      </c>
      <c r="C267" s="6">
        <v>3043201</v>
      </c>
      <c r="D267" s="666" t="s">
        <v>936</v>
      </c>
      <c r="E267" s="940">
        <v>37228</v>
      </c>
      <c r="F267" s="250"/>
      <c r="G267" s="250">
        <v>70303</v>
      </c>
      <c r="H267" s="250" t="s">
        <v>937</v>
      </c>
      <c r="I267" s="666" t="s">
        <v>938</v>
      </c>
      <c r="J267" s="430" t="str">
        <f t="shared" si="27"/>
        <v>GW</v>
      </c>
      <c r="K267" s="245">
        <f t="shared" si="30"/>
        <v>0</v>
      </c>
      <c r="L267" s="245">
        <f t="shared" si="31"/>
        <v>0</v>
      </c>
      <c r="M267" s="667" t="e">
        <f>+CNGPricing!$H$147</f>
        <v>#DIV/0!</v>
      </c>
      <c r="N267" s="720">
        <v>0</v>
      </c>
      <c r="O267" s="247" t="e">
        <f t="shared" si="28"/>
        <v>#DIV/0!</v>
      </c>
      <c r="P267" s="248" t="e">
        <f t="shared" si="34"/>
        <v>#DIV/0!</v>
      </c>
    </row>
    <row r="268" spans="1:17" ht="15" customHeight="1" thickBot="1" x14ac:dyDescent="0.25">
      <c r="A268" s="6" t="s">
        <v>1103</v>
      </c>
      <c r="B268" s="336" t="s">
        <v>1282</v>
      </c>
      <c r="C268" s="6">
        <v>3043401</v>
      </c>
      <c r="D268" s="666" t="s">
        <v>936</v>
      </c>
      <c r="E268" s="940">
        <v>37228</v>
      </c>
      <c r="F268" s="250"/>
      <c r="G268" s="250">
        <v>70303</v>
      </c>
      <c r="H268" s="250" t="s">
        <v>937</v>
      </c>
      <c r="I268" s="666" t="s">
        <v>938</v>
      </c>
      <c r="J268" s="430" t="str">
        <f t="shared" ref="J268:J318" si="36">IF(ISNA(VLOOKUP(B268,cngdata,7,FALSE)),"na",VLOOKUP(B268,cngdata,7,FALSE))</f>
        <v>GW</v>
      </c>
      <c r="K268" s="245">
        <f t="shared" si="30"/>
        <v>0</v>
      </c>
      <c r="L268" s="245">
        <f t="shared" si="31"/>
        <v>0</v>
      </c>
      <c r="M268" s="667" t="e">
        <f>+CNGPricing!$H$147</f>
        <v>#DIV/0!</v>
      </c>
      <c r="N268" s="720">
        <v>0</v>
      </c>
      <c r="O268" s="247" t="e">
        <f t="shared" si="28"/>
        <v>#DIV/0!</v>
      </c>
      <c r="P268" s="248" t="e">
        <f t="shared" si="34"/>
        <v>#DIV/0!</v>
      </c>
    </row>
    <row r="269" spans="1:17" ht="15" customHeight="1" thickBot="1" x14ac:dyDescent="0.25">
      <c r="A269" s="6" t="s">
        <v>1103</v>
      </c>
      <c r="B269" s="336" t="s">
        <v>1283</v>
      </c>
      <c r="C269" s="6">
        <v>3038201</v>
      </c>
      <c r="D269" s="666" t="s">
        <v>936</v>
      </c>
      <c r="E269" s="940">
        <v>37228</v>
      </c>
      <c r="F269" s="250"/>
      <c r="G269" s="250">
        <v>70303</v>
      </c>
      <c r="H269" s="250" t="s">
        <v>937</v>
      </c>
      <c r="I269" s="666" t="s">
        <v>938</v>
      </c>
      <c r="J269" s="430" t="str">
        <f t="shared" si="36"/>
        <v>GW</v>
      </c>
      <c r="K269" s="245">
        <f t="shared" si="30"/>
        <v>0</v>
      </c>
      <c r="L269" s="245">
        <f t="shared" si="31"/>
        <v>0</v>
      </c>
      <c r="M269" s="667" t="e">
        <f>+CNGPricing!$H$147</f>
        <v>#DIV/0!</v>
      </c>
      <c r="N269" s="720">
        <v>0</v>
      </c>
      <c r="O269" s="247" t="e">
        <f t="shared" si="28"/>
        <v>#DIV/0!</v>
      </c>
      <c r="P269" s="248" t="e">
        <f t="shared" si="34"/>
        <v>#DIV/0!</v>
      </c>
    </row>
    <row r="270" spans="1:17" s="172" customFormat="1" ht="15" customHeight="1" thickBot="1" x14ac:dyDescent="0.25">
      <c r="A270" s="6" t="s">
        <v>1103</v>
      </c>
      <c r="B270" s="16" t="s">
        <v>1107</v>
      </c>
      <c r="C270" s="6">
        <v>3130401</v>
      </c>
      <c r="D270" s="941" t="s">
        <v>425</v>
      </c>
      <c r="E270" s="942">
        <v>37257</v>
      </c>
      <c r="F270" s="6"/>
      <c r="G270" s="6">
        <v>71375</v>
      </c>
      <c r="H270" s="6" t="s">
        <v>426</v>
      </c>
      <c r="I270" s="6" t="s">
        <v>1424</v>
      </c>
      <c r="J270" s="245" t="str">
        <f t="shared" si="36"/>
        <v>GW</v>
      </c>
      <c r="K270" s="245">
        <f t="shared" si="30"/>
        <v>0</v>
      </c>
      <c r="L270" s="245">
        <f t="shared" si="31"/>
        <v>0</v>
      </c>
      <c r="M270" s="259" t="e">
        <f>+CNGPricing!$H$158</f>
        <v>#DIV/0!</v>
      </c>
      <c r="N270" s="6">
        <v>0</v>
      </c>
      <c r="O270" s="260" t="e">
        <f t="shared" si="28"/>
        <v>#DIV/0!</v>
      </c>
      <c r="P270" s="261" t="e">
        <f t="shared" si="34"/>
        <v>#DIV/0!</v>
      </c>
      <c r="Q270" s="908" t="s">
        <v>2002</v>
      </c>
    </row>
    <row r="271" spans="1:17" s="172" customFormat="1" ht="15" customHeight="1" thickBot="1" x14ac:dyDescent="0.25">
      <c r="A271" s="6" t="s">
        <v>1103</v>
      </c>
      <c r="B271" s="16" t="s">
        <v>1347</v>
      </c>
      <c r="C271" s="6">
        <v>3131001</v>
      </c>
      <c r="D271" s="941" t="s">
        <v>1108</v>
      </c>
      <c r="E271" s="942">
        <v>37257</v>
      </c>
      <c r="F271" s="6"/>
      <c r="G271" s="6">
        <v>71375</v>
      </c>
      <c r="H271" s="6" t="s">
        <v>426</v>
      </c>
      <c r="I271" s="6" t="s">
        <v>1424</v>
      </c>
      <c r="J271" s="245" t="str">
        <f t="shared" si="36"/>
        <v>GW</v>
      </c>
      <c r="K271" s="245">
        <f t="shared" si="30"/>
        <v>0</v>
      </c>
      <c r="L271" s="245">
        <f t="shared" si="31"/>
        <v>0</v>
      </c>
      <c r="M271" s="259" t="e">
        <f>+CNGPricing!$H$158</f>
        <v>#DIV/0!</v>
      </c>
      <c r="N271" s="6">
        <v>0</v>
      </c>
      <c r="O271" s="260" t="e">
        <f t="shared" ref="O271:O318" si="37">M271-N271</f>
        <v>#DIV/0!</v>
      </c>
      <c r="P271" s="261" t="e">
        <f t="shared" si="34"/>
        <v>#DIV/0!</v>
      </c>
      <c r="Q271" s="908" t="s">
        <v>2002</v>
      </c>
    </row>
    <row r="272" spans="1:17" s="172" customFormat="1" ht="15" customHeight="1" thickBot="1" x14ac:dyDescent="0.25">
      <c r="A272" s="6" t="s">
        <v>1103</v>
      </c>
      <c r="B272" s="16" t="s">
        <v>1348</v>
      </c>
      <c r="C272" s="6">
        <v>3127401</v>
      </c>
      <c r="D272" s="941" t="s">
        <v>1108</v>
      </c>
      <c r="E272" s="942">
        <v>37257</v>
      </c>
      <c r="F272" s="6"/>
      <c r="G272" s="6">
        <v>71375</v>
      </c>
      <c r="H272" s="6" t="s">
        <v>426</v>
      </c>
      <c r="I272" s="6" t="s">
        <v>1424</v>
      </c>
      <c r="J272" s="245" t="str">
        <f t="shared" si="36"/>
        <v>GW</v>
      </c>
      <c r="K272" s="245">
        <f t="shared" si="30"/>
        <v>0</v>
      </c>
      <c r="L272" s="245">
        <f t="shared" si="31"/>
        <v>0</v>
      </c>
      <c r="M272" s="259" t="e">
        <f>+CNGPricing!$H$158</f>
        <v>#DIV/0!</v>
      </c>
      <c r="N272" s="6">
        <v>0</v>
      </c>
      <c r="O272" s="260" t="e">
        <f t="shared" si="37"/>
        <v>#DIV/0!</v>
      </c>
      <c r="P272" s="261" t="e">
        <f t="shared" si="34"/>
        <v>#DIV/0!</v>
      </c>
      <c r="Q272" s="908" t="s">
        <v>2002</v>
      </c>
    </row>
    <row r="273" spans="1:17" s="172" customFormat="1" ht="15" customHeight="1" thickBot="1" x14ac:dyDescent="0.25">
      <c r="A273" s="6" t="s">
        <v>1103</v>
      </c>
      <c r="B273" s="16" t="s">
        <v>1349</v>
      </c>
      <c r="C273" s="6">
        <v>3131101</v>
      </c>
      <c r="D273" s="941" t="s">
        <v>1108</v>
      </c>
      <c r="E273" s="942">
        <v>37257</v>
      </c>
      <c r="F273" s="6"/>
      <c r="G273" s="6">
        <v>71375</v>
      </c>
      <c r="H273" s="6" t="s">
        <v>426</v>
      </c>
      <c r="I273" s="6" t="s">
        <v>1424</v>
      </c>
      <c r="J273" s="245" t="str">
        <f t="shared" si="36"/>
        <v>GW</v>
      </c>
      <c r="K273" s="245">
        <f t="shared" si="30"/>
        <v>0</v>
      </c>
      <c r="L273" s="245">
        <f t="shared" si="31"/>
        <v>0</v>
      </c>
      <c r="M273" s="259" t="e">
        <f>+CNGPricing!$H$158</f>
        <v>#DIV/0!</v>
      </c>
      <c r="N273" s="6">
        <v>0</v>
      </c>
      <c r="O273" s="260" t="e">
        <f t="shared" si="37"/>
        <v>#DIV/0!</v>
      </c>
      <c r="P273" s="261" t="e">
        <f t="shared" si="34"/>
        <v>#DIV/0!</v>
      </c>
      <c r="Q273" s="908" t="s">
        <v>2002</v>
      </c>
    </row>
    <row r="274" spans="1:17" s="172" customFormat="1" ht="15" customHeight="1" thickBot="1" x14ac:dyDescent="0.25">
      <c r="A274" s="6" t="s">
        <v>831</v>
      </c>
      <c r="B274" s="16" t="s">
        <v>940</v>
      </c>
      <c r="C274" s="6" t="s">
        <v>831</v>
      </c>
      <c r="D274" s="941" t="s">
        <v>1108</v>
      </c>
      <c r="E274" s="942">
        <v>37257</v>
      </c>
      <c r="F274" s="6"/>
      <c r="G274" s="6">
        <v>71375</v>
      </c>
      <c r="H274" s="6" t="s">
        <v>426</v>
      </c>
      <c r="I274" s="6" t="s">
        <v>1424</v>
      </c>
      <c r="J274" s="245" t="str">
        <f t="shared" si="36"/>
        <v>na</v>
      </c>
      <c r="K274" s="245" t="str">
        <f t="shared" si="30"/>
        <v>na</v>
      </c>
      <c r="L274" s="245">
        <f t="shared" si="31"/>
        <v>0</v>
      </c>
      <c r="M274" s="259" t="e">
        <f>+CNGPricing!$H$158</f>
        <v>#DIV/0!</v>
      </c>
      <c r="N274" s="6">
        <v>0</v>
      </c>
      <c r="O274" s="260" t="e">
        <f t="shared" si="37"/>
        <v>#DIV/0!</v>
      </c>
      <c r="P274" s="261" t="e">
        <f t="shared" si="34"/>
        <v>#DIV/0!</v>
      </c>
      <c r="Q274" s="908" t="s">
        <v>2002</v>
      </c>
    </row>
    <row r="275" spans="1:17" s="172" customFormat="1" ht="15" customHeight="1" thickBot="1" x14ac:dyDescent="0.25">
      <c r="A275" s="6" t="s">
        <v>1103</v>
      </c>
      <c r="B275" s="16" t="s">
        <v>1350</v>
      </c>
      <c r="C275" s="6">
        <v>3327701</v>
      </c>
      <c r="D275" s="941" t="s">
        <v>1108</v>
      </c>
      <c r="E275" s="942">
        <v>37257</v>
      </c>
      <c r="F275" s="6"/>
      <c r="G275" s="6">
        <v>71375</v>
      </c>
      <c r="H275" s="6" t="s">
        <v>426</v>
      </c>
      <c r="I275" s="6" t="s">
        <v>1424</v>
      </c>
      <c r="J275" s="245" t="str">
        <f t="shared" si="36"/>
        <v>GW</v>
      </c>
      <c r="K275" s="245">
        <f t="shared" si="30"/>
        <v>0</v>
      </c>
      <c r="L275" s="245">
        <f t="shared" si="31"/>
        <v>0</v>
      </c>
      <c r="M275" s="259" t="e">
        <f>+CNGPricing!$H$158</f>
        <v>#DIV/0!</v>
      </c>
      <c r="N275" s="6">
        <v>0</v>
      </c>
      <c r="O275" s="260" t="e">
        <f t="shared" si="37"/>
        <v>#DIV/0!</v>
      </c>
      <c r="P275" s="261" t="e">
        <f t="shared" si="34"/>
        <v>#DIV/0!</v>
      </c>
      <c r="Q275" s="908" t="s">
        <v>2002</v>
      </c>
    </row>
    <row r="276" spans="1:17" s="172" customFormat="1" ht="15" customHeight="1" thickBot="1" x14ac:dyDescent="0.25">
      <c r="A276" s="6" t="s">
        <v>1103</v>
      </c>
      <c r="B276" s="16" t="s">
        <v>1111</v>
      </c>
      <c r="C276" s="6">
        <v>3330401</v>
      </c>
      <c r="D276" s="941" t="s">
        <v>952</v>
      </c>
      <c r="E276" s="942">
        <v>37257</v>
      </c>
      <c r="F276" s="6"/>
      <c r="G276" s="6">
        <v>71375</v>
      </c>
      <c r="H276" s="6" t="s">
        <v>426</v>
      </c>
      <c r="I276" s="6" t="s">
        <v>1424</v>
      </c>
      <c r="J276" s="245" t="str">
        <f t="shared" si="36"/>
        <v>GW</v>
      </c>
      <c r="K276" s="245">
        <f t="shared" si="30"/>
        <v>0</v>
      </c>
      <c r="L276" s="245">
        <f t="shared" si="31"/>
        <v>0</v>
      </c>
      <c r="M276" s="259" t="e">
        <f>+CNGPricing!$H$158</f>
        <v>#DIV/0!</v>
      </c>
      <c r="N276" s="6">
        <v>0</v>
      </c>
      <c r="O276" s="260" t="e">
        <f t="shared" si="37"/>
        <v>#DIV/0!</v>
      </c>
      <c r="P276" s="261" t="e">
        <f t="shared" ref="P276:P315" si="38">L276*O276</f>
        <v>#DIV/0!</v>
      </c>
      <c r="Q276" s="908" t="s">
        <v>2002</v>
      </c>
    </row>
    <row r="277" spans="1:17" ht="15" customHeight="1" thickBot="1" x14ac:dyDescent="0.25">
      <c r="A277" s="6" t="s">
        <v>1103</v>
      </c>
      <c r="B277" s="336" t="s">
        <v>1109</v>
      </c>
      <c r="C277" s="6">
        <v>3225601</v>
      </c>
      <c r="D277" s="666" t="s">
        <v>1110</v>
      </c>
      <c r="E277" s="940">
        <v>37228</v>
      </c>
      <c r="F277" s="250"/>
      <c r="G277" s="250">
        <v>73629</v>
      </c>
      <c r="H277" s="250" t="s">
        <v>953</v>
      </c>
      <c r="I277" s="250" t="s">
        <v>205</v>
      </c>
      <c r="J277" s="430" t="str">
        <f t="shared" si="36"/>
        <v>GW</v>
      </c>
      <c r="K277" s="245">
        <f t="shared" si="30"/>
        <v>0</v>
      </c>
      <c r="L277" s="245">
        <f t="shared" si="31"/>
        <v>0</v>
      </c>
      <c r="M277" s="413" t="e">
        <f>+CNGPricing!$H$169</f>
        <v>#DIV/0!</v>
      </c>
      <c r="N277" s="720">
        <v>0</v>
      </c>
      <c r="O277" s="247" t="e">
        <f t="shared" si="37"/>
        <v>#DIV/0!</v>
      </c>
      <c r="P277" s="248" t="e">
        <f t="shared" si="38"/>
        <v>#DIV/0!</v>
      </c>
    </row>
    <row r="278" spans="1:17" ht="15" customHeight="1" thickBot="1" x14ac:dyDescent="0.25">
      <c r="A278" s="6" t="s">
        <v>1103</v>
      </c>
      <c r="B278" s="336" t="s">
        <v>1185</v>
      </c>
      <c r="C278" s="6">
        <v>3250501</v>
      </c>
      <c r="D278" s="666" t="s">
        <v>1110</v>
      </c>
      <c r="E278" s="940">
        <v>37228</v>
      </c>
      <c r="F278" s="250"/>
      <c r="G278" s="250">
        <v>73629</v>
      </c>
      <c r="H278" s="250" t="s">
        <v>953</v>
      </c>
      <c r="I278" s="250" t="s">
        <v>205</v>
      </c>
      <c r="J278" s="430" t="str">
        <f t="shared" si="36"/>
        <v>GW</v>
      </c>
      <c r="K278" s="245">
        <f t="shared" si="30"/>
        <v>0</v>
      </c>
      <c r="L278" s="245">
        <f t="shared" si="31"/>
        <v>0</v>
      </c>
      <c r="M278" s="413" t="e">
        <f>+CNGPricing!$H$169</f>
        <v>#DIV/0!</v>
      </c>
      <c r="N278" s="720">
        <v>0</v>
      </c>
      <c r="O278" s="247" t="e">
        <f t="shared" si="37"/>
        <v>#DIV/0!</v>
      </c>
      <c r="P278" s="248" t="e">
        <f t="shared" si="38"/>
        <v>#DIV/0!</v>
      </c>
    </row>
    <row r="279" spans="1:17" ht="15" customHeight="1" thickBot="1" x14ac:dyDescent="0.25">
      <c r="A279" s="6" t="s">
        <v>1103</v>
      </c>
      <c r="B279" s="336" t="s">
        <v>1286</v>
      </c>
      <c r="C279" s="6">
        <v>3231101</v>
      </c>
      <c r="D279" s="666" t="s">
        <v>1110</v>
      </c>
      <c r="E279" s="940">
        <v>37228</v>
      </c>
      <c r="F279" s="250"/>
      <c r="G279" s="250">
        <v>73629</v>
      </c>
      <c r="H279" s="250" t="s">
        <v>953</v>
      </c>
      <c r="I279" s="250" t="s">
        <v>205</v>
      </c>
      <c r="J279" s="430" t="str">
        <f t="shared" si="36"/>
        <v>GW</v>
      </c>
      <c r="K279" s="245">
        <f t="shared" si="30"/>
        <v>0</v>
      </c>
      <c r="L279" s="245">
        <f t="shared" si="31"/>
        <v>0</v>
      </c>
      <c r="M279" s="413" t="e">
        <f>+CNGPricing!$H$169</f>
        <v>#DIV/0!</v>
      </c>
      <c r="N279" s="720">
        <v>0</v>
      </c>
      <c r="O279" s="247" t="e">
        <f t="shared" si="37"/>
        <v>#DIV/0!</v>
      </c>
      <c r="P279" s="248" t="e">
        <f t="shared" si="38"/>
        <v>#DIV/0!</v>
      </c>
    </row>
    <row r="280" spans="1:17" ht="15" customHeight="1" thickBot="1" x14ac:dyDescent="0.25">
      <c r="A280" s="6" t="s">
        <v>1103</v>
      </c>
      <c r="B280" s="336" t="s">
        <v>1344</v>
      </c>
      <c r="C280" s="6">
        <v>3325801</v>
      </c>
      <c r="D280" s="941" t="s">
        <v>954</v>
      </c>
      <c r="E280" s="942">
        <v>37257</v>
      </c>
      <c r="F280" s="6"/>
      <c r="G280" s="1">
        <v>73632</v>
      </c>
      <c r="H280" s="1" t="s">
        <v>955</v>
      </c>
      <c r="I280" s="1" t="s">
        <v>1423</v>
      </c>
      <c r="J280" s="245" t="str">
        <f t="shared" si="36"/>
        <v>GW</v>
      </c>
      <c r="K280" s="245">
        <f t="shared" si="30"/>
        <v>0</v>
      </c>
      <c r="L280" s="245">
        <f t="shared" si="31"/>
        <v>0</v>
      </c>
      <c r="M280" s="249">
        <f t="shared" ref="M280:M286" si="39">M$2*99%</f>
        <v>2.1779999999999999</v>
      </c>
      <c r="N280" s="720">
        <v>0</v>
      </c>
      <c r="O280" s="247">
        <f t="shared" si="37"/>
        <v>2.1779999999999999</v>
      </c>
      <c r="P280" s="248">
        <f t="shared" si="38"/>
        <v>0</v>
      </c>
    </row>
    <row r="281" spans="1:17" ht="15" customHeight="1" thickBot="1" x14ac:dyDescent="0.25">
      <c r="A281" s="1" t="s">
        <v>2089</v>
      </c>
      <c r="B281" s="1" t="s">
        <v>2101</v>
      </c>
      <c r="C281" s="1">
        <v>3425601</v>
      </c>
      <c r="D281" s="941" t="s">
        <v>956</v>
      </c>
      <c r="E281" s="942">
        <v>37257</v>
      </c>
      <c r="F281" s="6"/>
      <c r="G281" s="1">
        <v>73632</v>
      </c>
      <c r="H281" s="1" t="s">
        <v>878</v>
      </c>
      <c r="I281" s="1" t="s">
        <v>1423</v>
      </c>
      <c r="J281" s="245" t="str">
        <f t="shared" si="36"/>
        <v>GW</v>
      </c>
      <c r="K281" s="245">
        <f t="shared" si="30"/>
        <v>0</v>
      </c>
      <c r="L281" s="245">
        <f t="shared" si="31"/>
        <v>0</v>
      </c>
      <c r="M281" s="249">
        <f t="shared" si="39"/>
        <v>2.1779999999999999</v>
      </c>
      <c r="N281" s="720">
        <v>0</v>
      </c>
      <c r="O281" s="247">
        <f t="shared" si="37"/>
        <v>2.1779999999999999</v>
      </c>
      <c r="P281" s="248">
        <f t="shared" si="38"/>
        <v>0</v>
      </c>
    </row>
    <row r="282" spans="1:17" ht="15" customHeight="1" thickBot="1" x14ac:dyDescent="0.25">
      <c r="A282" s="1" t="s">
        <v>2089</v>
      </c>
      <c r="B282" s="1" t="s">
        <v>1763</v>
      </c>
      <c r="C282" s="1">
        <v>3587701</v>
      </c>
      <c r="D282" s="941" t="s">
        <v>956</v>
      </c>
      <c r="E282" s="942">
        <v>37257</v>
      </c>
      <c r="F282" s="6"/>
      <c r="G282" s="1">
        <v>73632</v>
      </c>
      <c r="H282" s="1" t="s">
        <v>878</v>
      </c>
      <c r="I282" s="1" t="s">
        <v>1423</v>
      </c>
      <c r="J282" s="245" t="str">
        <f t="shared" si="36"/>
        <v>GW</v>
      </c>
      <c r="K282" s="245">
        <f t="shared" ref="K282:K318" si="40">IF(ISNA(VLOOKUP(B282,cngdata,13,FALSE)),"na",VLOOKUP(B282,cngdata,13,FALSE))</f>
        <v>0</v>
      </c>
      <c r="L282" s="245">
        <f t="shared" ref="L282:L288" si="41">IF(ISNA(VLOOKUP(B282,cngdata,14,FALSE)),0,VLOOKUP(B282,cngdata,14,FALSE))</f>
        <v>0</v>
      </c>
      <c r="M282" s="249">
        <f t="shared" si="39"/>
        <v>2.1779999999999999</v>
      </c>
      <c r="N282" s="720">
        <v>0</v>
      </c>
      <c r="O282" s="247">
        <f t="shared" si="37"/>
        <v>2.1779999999999999</v>
      </c>
      <c r="P282" s="248">
        <f t="shared" si="38"/>
        <v>0</v>
      </c>
    </row>
    <row r="283" spans="1:17" ht="15" customHeight="1" thickBot="1" x14ac:dyDescent="0.25">
      <c r="A283" s="1" t="s">
        <v>2089</v>
      </c>
      <c r="B283" s="1" t="s">
        <v>2102</v>
      </c>
      <c r="C283" s="1">
        <v>3241501</v>
      </c>
      <c r="D283" s="941" t="s">
        <v>956</v>
      </c>
      <c r="E283" s="942">
        <v>37257</v>
      </c>
      <c r="F283" s="6"/>
      <c r="G283" s="1">
        <v>73632</v>
      </c>
      <c r="H283" s="1" t="s">
        <v>878</v>
      </c>
      <c r="I283" s="1" t="s">
        <v>1423</v>
      </c>
      <c r="J283" s="245" t="str">
        <f t="shared" si="36"/>
        <v>GW</v>
      </c>
      <c r="K283" s="245">
        <f t="shared" si="40"/>
        <v>0</v>
      </c>
      <c r="L283" s="245">
        <f t="shared" si="41"/>
        <v>0</v>
      </c>
      <c r="M283" s="249">
        <f t="shared" si="39"/>
        <v>2.1779999999999999</v>
      </c>
      <c r="N283" s="720">
        <v>0</v>
      </c>
      <c r="O283" s="247">
        <f t="shared" si="37"/>
        <v>2.1779999999999999</v>
      </c>
      <c r="P283" s="248">
        <f t="shared" si="38"/>
        <v>0</v>
      </c>
    </row>
    <row r="284" spans="1:17" ht="15" customHeight="1" thickBot="1" x14ac:dyDescent="0.25">
      <c r="A284" s="1" t="s">
        <v>2089</v>
      </c>
      <c r="B284" s="1" t="s">
        <v>2103</v>
      </c>
      <c r="C284" s="1">
        <v>3533901</v>
      </c>
      <c r="D284" s="941" t="s">
        <v>956</v>
      </c>
      <c r="E284" s="942">
        <v>37257</v>
      </c>
      <c r="F284" s="6"/>
      <c r="G284" s="1">
        <v>73632</v>
      </c>
      <c r="H284" s="1" t="s">
        <v>878</v>
      </c>
      <c r="I284" s="1" t="s">
        <v>1423</v>
      </c>
      <c r="J284" s="245" t="str">
        <f t="shared" si="36"/>
        <v>GW</v>
      </c>
      <c r="K284" s="245">
        <f t="shared" si="40"/>
        <v>0</v>
      </c>
      <c r="L284" s="245">
        <f t="shared" si="41"/>
        <v>0</v>
      </c>
      <c r="M284" s="249">
        <f t="shared" si="39"/>
        <v>2.1779999999999999</v>
      </c>
      <c r="N284" s="720">
        <v>0</v>
      </c>
      <c r="O284" s="247">
        <f t="shared" si="37"/>
        <v>2.1779999999999999</v>
      </c>
      <c r="P284" s="248">
        <f t="shared" si="38"/>
        <v>0</v>
      </c>
    </row>
    <row r="285" spans="1:17" ht="15" customHeight="1" thickBot="1" x14ac:dyDescent="0.25">
      <c r="A285" s="1" t="s">
        <v>2089</v>
      </c>
      <c r="B285" s="1" t="s">
        <v>2104</v>
      </c>
      <c r="C285" s="1">
        <v>3415201</v>
      </c>
      <c r="D285" s="941" t="s">
        <v>956</v>
      </c>
      <c r="E285" s="942">
        <v>37257</v>
      </c>
      <c r="F285" s="6"/>
      <c r="G285" s="1">
        <v>73632</v>
      </c>
      <c r="H285" s="1" t="s">
        <v>878</v>
      </c>
      <c r="I285" s="1" t="s">
        <v>1423</v>
      </c>
      <c r="J285" s="245" t="str">
        <f t="shared" si="36"/>
        <v>GW</v>
      </c>
      <c r="K285" s="245">
        <f t="shared" si="40"/>
        <v>0</v>
      </c>
      <c r="L285" s="245">
        <f t="shared" si="41"/>
        <v>0</v>
      </c>
      <c r="M285" s="249">
        <f t="shared" si="39"/>
        <v>2.1779999999999999</v>
      </c>
      <c r="N285" s="720">
        <v>0</v>
      </c>
      <c r="O285" s="247">
        <f t="shared" si="37"/>
        <v>2.1779999999999999</v>
      </c>
      <c r="P285" s="248">
        <f t="shared" si="38"/>
        <v>0</v>
      </c>
    </row>
    <row r="286" spans="1:17" ht="15" customHeight="1" thickBot="1" x14ac:dyDescent="0.25">
      <c r="A286" s="1" t="s">
        <v>2089</v>
      </c>
      <c r="B286" s="1" t="s">
        <v>2105</v>
      </c>
      <c r="C286" s="1">
        <v>3133001</v>
      </c>
      <c r="D286" s="941" t="s">
        <v>956</v>
      </c>
      <c r="E286" s="942">
        <v>37257</v>
      </c>
      <c r="F286" s="6"/>
      <c r="G286" s="1">
        <v>73632</v>
      </c>
      <c r="H286" s="1" t="s">
        <v>878</v>
      </c>
      <c r="I286" s="1" t="s">
        <v>1423</v>
      </c>
      <c r="J286" s="245" t="str">
        <f t="shared" ref="J286:J291" si="42">IF(ISNA(VLOOKUP(B286,cngdata,7,FALSE)),"na",VLOOKUP(B286,cngdata,7,FALSE))</f>
        <v>GW</v>
      </c>
      <c r="K286" s="245">
        <f t="shared" ref="K286:K291" si="43">IF(ISNA(VLOOKUP(B286,cngdata,13,FALSE)),"na",VLOOKUP(B286,cngdata,13,FALSE))</f>
        <v>0</v>
      </c>
      <c r="L286" s="245">
        <f t="shared" si="41"/>
        <v>0</v>
      </c>
      <c r="M286" s="249">
        <f t="shared" si="39"/>
        <v>2.1779999999999999</v>
      </c>
      <c r="N286" s="720">
        <v>0</v>
      </c>
      <c r="O286" s="247">
        <f t="shared" ref="O286:O291" si="44">M286-N286</f>
        <v>2.1779999999999999</v>
      </c>
      <c r="P286" s="248">
        <f t="shared" ref="P286:P291" si="45">L286*O286</f>
        <v>0</v>
      </c>
    </row>
    <row r="287" spans="1:17" ht="15" customHeight="1" thickBot="1" x14ac:dyDescent="0.25">
      <c r="A287" s="6" t="s">
        <v>1103</v>
      </c>
      <c r="B287" s="336" t="s">
        <v>1334</v>
      </c>
      <c r="C287" s="6">
        <v>3130301</v>
      </c>
      <c r="D287" s="941" t="s">
        <v>956</v>
      </c>
      <c r="E287" s="942">
        <v>37257</v>
      </c>
      <c r="F287" s="6"/>
      <c r="G287" s="1">
        <v>73632</v>
      </c>
      <c r="H287" s="1" t="s">
        <v>878</v>
      </c>
      <c r="I287" s="1" t="s">
        <v>1423</v>
      </c>
      <c r="J287" s="245" t="str">
        <f t="shared" si="42"/>
        <v>GW</v>
      </c>
      <c r="K287" s="245">
        <f t="shared" si="43"/>
        <v>0</v>
      </c>
      <c r="L287" s="245">
        <f t="shared" si="41"/>
        <v>0</v>
      </c>
      <c r="M287" s="249">
        <f>M$2*99%</f>
        <v>2.1779999999999999</v>
      </c>
      <c r="N287" s="720">
        <v>0</v>
      </c>
      <c r="O287" s="247">
        <f t="shared" si="44"/>
        <v>2.1779999999999999</v>
      </c>
      <c r="P287" s="248">
        <f t="shared" si="45"/>
        <v>0</v>
      </c>
    </row>
    <row r="288" spans="1:17" ht="15" customHeight="1" thickBot="1" x14ac:dyDescent="0.25">
      <c r="A288" s="6" t="s">
        <v>1363</v>
      </c>
      <c r="B288" s="336" t="s">
        <v>1374</v>
      </c>
      <c r="C288" s="6">
        <v>3394401</v>
      </c>
      <c r="D288" s="941" t="s">
        <v>956</v>
      </c>
      <c r="E288" s="942">
        <v>37257</v>
      </c>
      <c r="F288" s="6"/>
      <c r="G288" s="1">
        <v>73632</v>
      </c>
      <c r="H288" s="1" t="s">
        <v>878</v>
      </c>
      <c r="I288" s="1" t="s">
        <v>1423</v>
      </c>
      <c r="J288" s="245" t="str">
        <f t="shared" si="42"/>
        <v>TW</v>
      </c>
      <c r="K288" s="245">
        <f t="shared" si="43"/>
        <v>0</v>
      </c>
      <c r="L288" s="245">
        <f t="shared" si="41"/>
        <v>0</v>
      </c>
      <c r="M288" s="249">
        <f>M$2*99%</f>
        <v>2.1779999999999999</v>
      </c>
      <c r="N288" s="720">
        <v>0</v>
      </c>
      <c r="O288" s="247">
        <f t="shared" si="44"/>
        <v>2.1779999999999999</v>
      </c>
      <c r="P288" s="248">
        <f t="shared" si="45"/>
        <v>0</v>
      </c>
    </row>
    <row r="289" spans="1:16" ht="15" customHeight="1" thickBot="1" x14ac:dyDescent="0.25">
      <c r="A289" s="6" t="s">
        <v>1103</v>
      </c>
      <c r="B289" s="336" t="s">
        <v>1337</v>
      </c>
      <c r="C289" s="6">
        <v>4243601</v>
      </c>
      <c r="D289" s="941" t="s">
        <v>956</v>
      </c>
      <c r="E289" s="942">
        <v>37257</v>
      </c>
      <c r="F289" s="6"/>
      <c r="G289" s="1">
        <v>73632</v>
      </c>
      <c r="H289" s="1" t="s">
        <v>878</v>
      </c>
      <c r="I289" s="1" t="s">
        <v>1423</v>
      </c>
      <c r="J289" s="245" t="str">
        <f t="shared" si="42"/>
        <v>GW</v>
      </c>
      <c r="K289" s="245">
        <f t="shared" si="43"/>
        <v>0</v>
      </c>
      <c r="L289" s="245">
        <f>IF(ISNA(VLOOKUP(B289,cngdata,14,FALSE)),0,VLOOKUP(B289,cngdata,14,FALSE))</f>
        <v>0</v>
      </c>
      <c r="M289" s="249">
        <f>M$2*99%</f>
        <v>2.1779999999999999</v>
      </c>
      <c r="N289" s="720">
        <v>0</v>
      </c>
      <c r="O289" s="247">
        <f t="shared" si="44"/>
        <v>2.1779999999999999</v>
      </c>
      <c r="P289" s="248">
        <f t="shared" si="45"/>
        <v>0</v>
      </c>
    </row>
    <row r="290" spans="1:16" ht="15" customHeight="1" thickBot="1" x14ac:dyDescent="0.25">
      <c r="A290" s="149" t="s">
        <v>1075</v>
      </c>
      <c r="B290" s="90" t="s">
        <v>1082</v>
      </c>
      <c r="C290" s="149">
        <v>4156001</v>
      </c>
      <c r="D290" s="941" t="s">
        <v>956</v>
      </c>
      <c r="E290" s="942">
        <v>37257</v>
      </c>
      <c r="F290" s="6"/>
      <c r="G290" s="1">
        <v>73632</v>
      </c>
      <c r="H290" s="1" t="s">
        <v>878</v>
      </c>
      <c r="I290" s="1" t="s">
        <v>1423</v>
      </c>
      <c r="J290" s="245" t="str">
        <f>IF(ISNA(VLOOKUP(B290,cngdata,7,FALSE)),"na",VLOOKUP(B290,cngdata,7,FALSE))</f>
        <v>GD</v>
      </c>
      <c r="K290" s="245">
        <f>IF(ISNA(VLOOKUP(B290,cngdata,13,FALSE)),"na",VLOOKUP(B290,cngdata,13,FALSE))</f>
        <v>0</v>
      </c>
      <c r="L290" s="245">
        <f>IF(ISNA(VLOOKUP(B290,cngdata,14,FALSE)),0,VLOOKUP(B290,cngdata,14,FALSE))</f>
        <v>0</v>
      </c>
      <c r="M290" s="249">
        <f>M$2*99%</f>
        <v>2.1779999999999999</v>
      </c>
      <c r="N290" s="720">
        <v>0</v>
      </c>
      <c r="O290" s="247">
        <f>M290-N290</f>
        <v>2.1779999999999999</v>
      </c>
      <c r="P290" s="248">
        <f>L290*O290</f>
        <v>0</v>
      </c>
    </row>
    <row r="291" spans="1:16" ht="15" customHeight="1" thickBot="1" x14ac:dyDescent="0.25">
      <c r="A291" s="1" t="s">
        <v>2089</v>
      </c>
      <c r="B291" s="1" t="s">
        <v>2106</v>
      </c>
      <c r="C291" s="1">
        <v>3410301</v>
      </c>
      <c r="D291" s="941" t="s">
        <v>956</v>
      </c>
      <c r="E291" s="942">
        <v>37257</v>
      </c>
      <c r="F291" s="6"/>
      <c r="G291" s="1">
        <v>73632</v>
      </c>
      <c r="H291" s="1" t="s">
        <v>878</v>
      </c>
      <c r="I291" s="1" t="s">
        <v>1423</v>
      </c>
      <c r="J291" s="245" t="str">
        <f t="shared" si="42"/>
        <v>GW</v>
      </c>
      <c r="K291" s="245">
        <f t="shared" si="43"/>
        <v>0</v>
      </c>
      <c r="L291" s="245">
        <f>IF(ISNA(VLOOKUP(B291,cngdata,14,FALSE)),0,VLOOKUP(B291,cngdata,14,FALSE))</f>
        <v>0</v>
      </c>
      <c r="M291" s="249">
        <f>M$2*99%</f>
        <v>2.1779999999999999</v>
      </c>
      <c r="N291" s="720">
        <v>0</v>
      </c>
      <c r="O291" s="247">
        <f t="shared" si="44"/>
        <v>2.1779999999999999</v>
      </c>
      <c r="P291" s="248">
        <f t="shared" si="45"/>
        <v>0</v>
      </c>
    </row>
    <row r="292" spans="1:16" ht="15" customHeight="1" thickBot="1" x14ac:dyDescent="0.25">
      <c r="A292" s="6" t="s">
        <v>1103</v>
      </c>
      <c r="B292" s="336" t="s">
        <v>1312</v>
      </c>
      <c r="C292" s="6">
        <v>3422001</v>
      </c>
      <c r="D292" s="6" t="s">
        <v>1313</v>
      </c>
      <c r="E292" s="938" t="s">
        <v>1403</v>
      </c>
      <c r="F292" s="6"/>
      <c r="G292" s="1">
        <v>74123</v>
      </c>
      <c r="H292" s="1" t="s">
        <v>957</v>
      </c>
      <c r="I292" s="1" t="s">
        <v>421</v>
      </c>
      <c r="J292" s="245" t="str">
        <f t="shared" si="36"/>
        <v>GW</v>
      </c>
      <c r="K292" s="245">
        <f t="shared" si="40"/>
        <v>0</v>
      </c>
      <c r="L292" s="245">
        <f t="shared" ref="L292:L318" si="46">IF(ISNA(VLOOKUP(B292,cngdata,14,FALSE)),0,VLOOKUP(B292,cngdata,14,FALSE))</f>
        <v>0</v>
      </c>
      <c r="M292" s="249">
        <f>M$2*96%</f>
        <v>2.1120000000000001</v>
      </c>
      <c r="N292" s="720">
        <v>0</v>
      </c>
      <c r="O292" s="247">
        <f t="shared" si="37"/>
        <v>2.1120000000000001</v>
      </c>
      <c r="P292" s="248">
        <f t="shared" si="38"/>
        <v>0</v>
      </c>
    </row>
    <row r="293" spans="1:16" ht="15" customHeight="1" thickBot="1" x14ac:dyDescent="0.25">
      <c r="A293" s="6" t="s">
        <v>831</v>
      </c>
      <c r="B293" s="336" t="s">
        <v>958</v>
      </c>
      <c r="C293" s="6" t="s">
        <v>831</v>
      </c>
      <c r="D293" s="16" t="s">
        <v>959</v>
      </c>
      <c r="E293" s="938" t="s">
        <v>1403</v>
      </c>
      <c r="F293" s="444"/>
      <c r="G293" s="444">
        <v>76053</v>
      </c>
      <c r="H293" s="444" t="s">
        <v>824</v>
      </c>
      <c r="I293" s="445" t="s">
        <v>960</v>
      </c>
      <c r="J293" s="245" t="str">
        <f t="shared" si="36"/>
        <v>na</v>
      </c>
      <c r="K293" s="245" t="str">
        <f t="shared" si="40"/>
        <v>na</v>
      </c>
      <c r="L293" s="245">
        <f t="shared" si="46"/>
        <v>0</v>
      </c>
      <c r="M293" s="446">
        <v>0</v>
      </c>
      <c r="N293" s="720">
        <v>0</v>
      </c>
      <c r="O293" s="376">
        <f t="shared" si="37"/>
        <v>0</v>
      </c>
      <c r="P293" s="377">
        <f t="shared" si="38"/>
        <v>0</v>
      </c>
    </row>
    <row r="294" spans="1:16" ht="15" customHeight="1" thickBot="1" x14ac:dyDescent="0.25">
      <c r="A294" s="6" t="s">
        <v>831</v>
      </c>
      <c r="B294" s="336" t="s">
        <v>961</v>
      </c>
      <c r="C294" s="6" t="s">
        <v>831</v>
      </c>
      <c r="D294" s="16" t="s">
        <v>959</v>
      </c>
      <c r="E294" s="938" t="s">
        <v>1403</v>
      </c>
      <c r="F294" s="444"/>
      <c r="G294" s="444">
        <v>76053</v>
      </c>
      <c r="H294" s="444" t="s">
        <v>824</v>
      </c>
      <c r="I294" s="445" t="s">
        <v>960</v>
      </c>
      <c r="J294" s="245" t="str">
        <f t="shared" si="36"/>
        <v>na</v>
      </c>
      <c r="K294" s="245" t="str">
        <f t="shared" si="40"/>
        <v>na</v>
      </c>
      <c r="L294" s="245">
        <f t="shared" si="46"/>
        <v>0</v>
      </c>
      <c r="M294" s="446">
        <v>0</v>
      </c>
      <c r="N294" s="720">
        <v>0</v>
      </c>
      <c r="O294" s="376">
        <f t="shared" si="37"/>
        <v>0</v>
      </c>
      <c r="P294" s="377">
        <f t="shared" si="38"/>
        <v>0</v>
      </c>
    </row>
    <row r="295" spans="1:16" ht="15" customHeight="1" thickBot="1" x14ac:dyDescent="0.25">
      <c r="A295" s="6" t="s">
        <v>831</v>
      </c>
      <c r="B295" s="336" t="s">
        <v>962</v>
      </c>
      <c r="C295" s="6" t="s">
        <v>831</v>
      </c>
      <c r="D295" s="16" t="s">
        <v>959</v>
      </c>
      <c r="E295" s="938" t="s">
        <v>1403</v>
      </c>
      <c r="F295" s="444"/>
      <c r="G295" s="444">
        <v>76053</v>
      </c>
      <c r="H295" s="444" t="s">
        <v>824</v>
      </c>
      <c r="I295" s="445" t="s">
        <v>960</v>
      </c>
      <c r="J295" s="245" t="str">
        <f t="shared" si="36"/>
        <v>na</v>
      </c>
      <c r="K295" s="245" t="str">
        <f t="shared" si="40"/>
        <v>na</v>
      </c>
      <c r="L295" s="245">
        <f t="shared" si="46"/>
        <v>0</v>
      </c>
      <c r="M295" s="446">
        <v>0</v>
      </c>
      <c r="N295" s="720">
        <v>0</v>
      </c>
      <c r="O295" s="376">
        <f t="shared" si="37"/>
        <v>0</v>
      </c>
      <c r="P295" s="377">
        <f t="shared" si="38"/>
        <v>0</v>
      </c>
    </row>
    <row r="296" spans="1:16" ht="15" customHeight="1" thickBot="1" x14ac:dyDescent="0.25">
      <c r="A296" s="6" t="s">
        <v>831</v>
      </c>
      <c r="B296" s="336" t="s">
        <v>963</v>
      </c>
      <c r="C296" s="6" t="s">
        <v>831</v>
      </c>
      <c r="D296" s="16" t="s">
        <v>959</v>
      </c>
      <c r="E296" s="938" t="s">
        <v>1403</v>
      </c>
      <c r="F296" s="444"/>
      <c r="G296" s="444">
        <v>76053</v>
      </c>
      <c r="H296" s="444" t="s">
        <v>824</v>
      </c>
      <c r="I296" s="445" t="s">
        <v>960</v>
      </c>
      <c r="J296" s="245" t="str">
        <f t="shared" si="36"/>
        <v>na</v>
      </c>
      <c r="K296" s="245" t="str">
        <f t="shared" si="40"/>
        <v>na</v>
      </c>
      <c r="L296" s="245">
        <f t="shared" si="46"/>
        <v>0</v>
      </c>
      <c r="M296" s="446">
        <v>0</v>
      </c>
      <c r="N296" s="720">
        <v>0</v>
      </c>
      <c r="O296" s="376">
        <f t="shared" si="37"/>
        <v>0</v>
      </c>
      <c r="P296" s="377">
        <f t="shared" si="38"/>
        <v>0</v>
      </c>
    </row>
    <row r="297" spans="1:16" ht="15" customHeight="1" thickBot="1" x14ac:dyDescent="0.25">
      <c r="A297" s="6" t="s">
        <v>831</v>
      </c>
      <c r="B297" s="336" t="s">
        <v>964</v>
      </c>
      <c r="C297" s="6" t="s">
        <v>831</v>
      </c>
      <c r="D297" s="16" t="s">
        <v>959</v>
      </c>
      <c r="E297" s="938" t="s">
        <v>1403</v>
      </c>
      <c r="F297" s="444"/>
      <c r="G297" s="444">
        <v>76053</v>
      </c>
      <c r="H297" s="444" t="s">
        <v>824</v>
      </c>
      <c r="I297" s="445" t="s">
        <v>960</v>
      </c>
      <c r="J297" s="245" t="str">
        <f t="shared" si="36"/>
        <v>na</v>
      </c>
      <c r="K297" s="245" t="str">
        <f t="shared" si="40"/>
        <v>na</v>
      </c>
      <c r="L297" s="245">
        <f t="shared" si="46"/>
        <v>0</v>
      </c>
      <c r="M297" s="446">
        <v>0</v>
      </c>
      <c r="N297" s="720">
        <v>0</v>
      </c>
      <c r="O297" s="376">
        <f t="shared" si="37"/>
        <v>0</v>
      </c>
      <c r="P297" s="377">
        <f t="shared" si="38"/>
        <v>0</v>
      </c>
    </row>
    <row r="298" spans="1:16" ht="15" customHeight="1" thickBot="1" x14ac:dyDescent="0.25">
      <c r="A298" s="6" t="s">
        <v>831</v>
      </c>
      <c r="B298" s="336" t="s">
        <v>965</v>
      </c>
      <c r="C298" s="6" t="s">
        <v>831</v>
      </c>
      <c r="D298" s="16" t="s">
        <v>959</v>
      </c>
      <c r="E298" s="938" t="s">
        <v>1403</v>
      </c>
      <c r="F298" s="444"/>
      <c r="G298" s="444">
        <v>76053</v>
      </c>
      <c r="H298" s="444" t="s">
        <v>824</v>
      </c>
      <c r="I298" s="445" t="s">
        <v>960</v>
      </c>
      <c r="J298" s="245" t="str">
        <f t="shared" si="36"/>
        <v>na</v>
      </c>
      <c r="K298" s="245" t="str">
        <f t="shared" si="40"/>
        <v>na</v>
      </c>
      <c r="L298" s="245">
        <f t="shared" si="46"/>
        <v>0</v>
      </c>
      <c r="M298" s="446">
        <v>0</v>
      </c>
      <c r="N298" s="720">
        <v>0</v>
      </c>
      <c r="O298" s="376">
        <f t="shared" si="37"/>
        <v>0</v>
      </c>
      <c r="P298" s="377">
        <f t="shared" si="38"/>
        <v>0</v>
      </c>
    </row>
    <row r="299" spans="1:16" ht="15" customHeight="1" thickBot="1" x14ac:dyDescent="0.25">
      <c r="A299" s="6" t="s">
        <v>831</v>
      </c>
      <c r="B299" s="336" t="s">
        <v>966</v>
      </c>
      <c r="C299" s="6" t="s">
        <v>831</v>
      </c>
      <c r="D299" s="16" t="s">
        <v>959</v>
      </c>
      <c r="E299" s="938" t="s">
        <v>1403</v>
      </c>
      <c r="F299" s="444"/>
      <c r="G299" s="444">
        <v>76053</v>
      </c>
      <c r="H299" s="444" t="s">
        <v>824</v>
      </c>
      <c r="I299" s="445" t="s">
        <v>960</v>
      </c>
      <c r="J299" s="245" t="str">
        <f t="shared" si="36"/>
        <v>na</v>
      </c>
      <c r="K299" s="245" t="str">
        <f t="shared" si="40"/>
        <v>na</v>
      </c>
      <c r="L299" s="245">
        <f t="shared" si="46"/>
        <v>0</v>
      </c>
      <c r="M299" s="446">
        <v>0</v>
      </c>
      <c r="N299" s="720">
        <v>0</v>
      </c>
      <c r="O299" s="376">
        <f t="shared" si="37"/>
        <v>0</v>
      </c>
      <c r="P299" s="377">
        <f t="shared" si="38"/>
        <v>0</v>
      </c>
    </row>
    <row r="300" spans="1:16" ht="15" customHeight="1" thickBot="1" x14ac:dyDescent="0.25">
      <c r="A300" s="6" t="s">
        <v>831</v>
      </c>
      <c r="B300" s="336" t="s">
        <v>967</v>
      </c>
      <c r="C300" s="6" t="s">
        <v>831</v>
      </c>
      <c r="D300" s="16" t="s">
        <v>959</v>
      </c>
      <c r="E300" s="938" t="s">
        <v>1403</v>
      </c>
      <c r="F300" s="444"/>
      <c r="G300" s="444">
        <v>76053</v>
      </c>
      <c r="H300" s="444" t="s">
        <v>824</v>
      </c>
      <c r="I300" s="445" t="s">
        <v>960</v>
      </c>
      <c r="J300" s="245" t="str">
        <f t="shared" si="36"/>
        <v>na</v>
      </c>
      <c r="K300" s="245" t="str">
        <f t="shared" si="40"/>
        <v>na</v>
      </c>
      <c r="L300" s="245">
        <f t="shared" si="46"/>
        <v>0</v>
      </c>
      <c r="M300" s="446">
        <v>0</v>
      </c>
      <c r="N300" s="720">
        <v>0</v>
      </c>
      <c r="O300" s="376">
        <f t="shared" si="37"/>
        <v>0</v>
      </c>
      <c r="P300" s="377">
        <f t="shared" si="38"/>
        <v>0</v>
      </c>
    </row>
    <row r="301" spans="1:16" ht="15" customHeight="1" thickBot="1" x14ac:dyDescent="0.25">
      <c r="A301" s="6" t="s">
        <v>831</v>
      </c>
      <c r="B301" s="336" t="s">
        <v>968</v>
      </c>
      <c r="C301" s="6" t="s">
        <v>831</v>
      </c>
      <c r="D301" s="16" t="s">
        <v>959</v>
      </c>
      <c r="E301" s="938" t="s">
        <v>1403</v>
      </c>
      <c r="F301" s="444"/>
      <c r="G301" s="444">
        <v>76053</v>
      </c>
      <c r="H301" s="444" t="s">
        <v>824</v>
      </c>
      <c r="I301" s="445" t="s">
        <v>960</v>
      </c>
      <c r="J301" s="245" t="str">
        <f t="shared" si="36"/>
        <v>na</v>
      </c>
      <c r="K301" s="245" t="str">
        <f t="shared" si="40"/>
        <v>na</v>
      </c>
      <c r="L301" s="245">
        <f t="shared" si="46"/>
        <v>0</v>
      </c>
      <c r="M301" s="446">
        <v>0</v>
      </c>
      <c r="N301" s="720">
        <v>0</v>
      </c>
      <c r="O301" s="376">
        <f t="shared" si="37"/>
        <v>0</v>
      </c>
      <c r="P301" s="377">
        <f t="shared" si="38"/>
        <v>0</v>
      </c>
    </row>
    <row r="302" spans="1:16" ht="15" customHeight="1" thickBot="1" x14ac:dyDescent="0.25">
      <c r="A302" s="6" t="s">
        <v>1075</v>
      </c>
      <c r="B302" s="137" t="s">
        <v>1077</v>
      </c>
      <c r="C302" s="6">
        <v>4315601</v>
      </c>
      <c r="D302" s="934" t="s">
        <v>969</v>
      </c>
      <c r="E302" s="938" t="s">
        <v>1403</v>
      </c>
      <c r="F302" s="236"/>
      <c r="G302" s="137">
        <v>76053</v>
      </c>
      <c r="H302" s="137" t="s">
        <v>824</v>
      </c>
      <c r="I302" s="381" t="s">
        <v>960</v>
      </c>
      <c r="J302" s="245" t="str">
        <f t="shared" si="36"/>
        <v>GD</v>
      </c>
      <c r="K302" s="245" t="e">
        <f t="shared" si="40"/>
        <v>#VALUE!</v>
      </c>
      <c r="L302" s="245">
        <f t="shared" si="46"/>
        <v>0</v>
      </c>
      <c r="M302" s="249">
        <f>$M$2</f>
        <v>2.2000000000000002</v>
      </c>
      <c r="N302" s="720">
        <v>0</v>
      </c>
      <c r="O302" s="382">
        <f t="shared" si="37"/>
        <v>2.2000000000000002</v>
      </c>
      <c r="P302" s="383">
        <f t="shared" si="38"/>
        <v>0</v>
      </c>
    </row>
    <row r="303" spans="1:16" ht="15" customHeight="1" thickBot="1" x14ac:dyDescent="0.25">
      <c r="A303" s="6" t="s">
        <v>1086</v>
      </c>
      <c r="B303" s="336" t="s">
        <v>1093</v>
      </c>
      <c r="C303" s="6">
        <v>2095501</v>
      </c>
      <c r="D303" s="6" t="s">
        <v>1435</v>
      </c>
      <c r="E303" s="938" t="s">
        <v>1403</v>
      </c>
      <c r="F303" s="6"/>
      <c r="G303" s="1">
        <v>76198</v>
      </c>
      <c r="H303" s="1" t="s">
        <v>845</v>
      </c>
      <c r="I303" s="1" t="s">
        <v>1421</v>
      </c>
      <c r="J303" s="245" t="str">
        <f t="shared" si="36"/>
        <v>GD</v>
      </c>
      <c r="K303" s="245">
        <f t="shared" si="40"/>
        <v>0</v>
      </c>
      <c r="L303" s="245">
        <f t="shared" si="46"/>
        <v>0</v>
      </c>
      <c r="M303" s="249">
        <f>$M$2*97%</f>
        <v>2.1339999999999999</v>
      </c>
      <c r="N303" s="720">
        <v>0</v>
      </c>
      <c r="O303" s="247">
        <f t="shared" si="37"/>
        <v>2.1339999999999999</v>
      </c>
      <c r="P303" s="248">
        <f t="shared" si="38"/>
        <v>0</v>
      </c>
    </row>
    <row r="304" spans="1:16" ht="15" customHeight="1" thickBot="1" x14ac:dyDescent="0.25">
      <c r="A304" s="6" t="s">
        <v>1103</v>
      </c>
      <c r="B304" s="336" t="s">
        <v>1332</v>
      </c>
      <c r="C304" s="6">
        <v>3127501</v>
      </c>
      <c r="D304" s="6" t="s">
        <v>1333</v>
      </c>
      <c r="E304" s="938" t="s">
        <v>1403</v>
      </c>
      <c r="F304" s="6"/>
      <c r="G304" s="1">
        <v>77665</v>
      </c>
      <c r="H304" s="1" t="s">
        <v>970</v>
      </c>
      <c r="I304" s="1" t="s">
        <v>971</v>
      </c>
      <c r="J304" s="245" t="str">
        <f t="shared" si="36"/>
        <v>GW</v>
      </c>
      <c r="K304" s="245">
        <f t="shared" si="40"/>
        <v>0</v>
      </c>
      <c r="L304" s="245">
        <f t="shared" si="46"/>
        <v>0</v>
      </c>
      <c r="M304" s="249">
        <f>$M$2*85%</f>
        <v>1.87</v>
      </c>
      <c r="N304" s="720">
        <v>0</v>
      </c>
      <c r="O304" s="247">
        <f t="shared" si="37"/>
        <v>1.87</v>
      </c>
      <c r="P304" s="248">
        <f t="shared" si="38"/>
        <v>0</v>
      </c>
    </row>
    <row r="305" spans="1:16" ht="15" customHeight="1" thickBot="1" x14ac:dyDescent="0.25">
      <c r="A305" s="6" t="s">
        <v>1103</v>
      </c>
      <c r="B305" s="336" t="s">
        <v>1180</v>
      </c>
      <c r="C305" s="6">
        <v>3402401</v>
      </c>
      <c r="D305" s="308" t="s">
        <v>1471</v>
      </c>
      <c r="E305" s="938" t="s">
        <v>1403</v>
      </c>
      <c r="F305" s="712" t="s">
        <v>1182</v>
      </c>
      <c r="G305" s="1">
        <v>32469</v>
      </c>
      <c r="H305" s="1" t="s">
        <v>872</v>
      </c>
      <c r="I305" s="1" t="s">
        <v>1424</v>
      </c>
      <c r="J305" s="245" t="str">
        <f t="shared" si="36"/>
        <v>GW</v>
      </c>
      <c r="K305" s="245">
        <f t="shared" si="40"/>
        <v>0</v>
      </c>
      <c r="L305" s="245">
        <f t="shared" si="46"/>
        <v>0</v>
      </c>
      <c r="M305" s="249">
        <f>M$2*100%</f>
        <v>2.2000000000000002</v>
      </c>
      <c r="N305" s="720">
        <v>0</v>
      </c>
      <c r="O305" s="247">
        <f t="shared" si="37"/>
        <v>2.2000000000000002</v>
      </c>
      <c r="P305" s="248">
        <f t="shared" si="38"/>
        <v>0</v>
      </c>
    </row>
    <row r="306" spans="1:16" ht="15" customHeight="1" thickBot="1" x14ac:dyDescent="0.25">
      <c r="A306" s="1" t="s">
        <v>21</v>
      </c>
      <c r="B306" s="1" t="s">
        <v>69</v>
      </c>
      <c r="C306" s="224">
        <v>3245701</v>
      </c>
      <c r="D306" s="6" t="s">
        <v>70</v>
      </c>
      <c r="E306" s="938" t="s">
        <v>1403</v>
      </c>
      <c r="F306" s="6" t="s">
        <v>70</v>
      </c>
      <c r="G306" s="224">
        <v>212365</v>
      </c>
      <c r="H306" s="224"/>
      <c r="I306" s="252" t="s">
        <v>183</v>
      </c>
      <c r="J306" s="245" t="str">
        <f t="shared" si="36"/>
        <v>GW</v>
      </c>
      <c r="K306" s="245">
        <f t="shared" si="40"/>
        <v>0</v>
      </c>
      <c r="L306" s="245">
        <f t="shared" si="46"/>
        <v>0</v>
      </c>
      <c r="M306" s="249">
        <f>$M$2</f>
        <v>2.2000000000000002</v>
      </c>
      <c r="N306" s="720">
        <v>0</v>
      </c>
      <c r="O306" s="247">
        <f t="shared" si="37"/>
        <v>2.2000000000000002</v>
      </c>
      <c r="P306" s="248">
        <f t="shared" si="38"/>
        <v>0</v>
      </c>
    </row>
    <row r="307" spans="1:16" ht="15" customHeight="1" thickBot="1" x14ac:dyDescent="0.25">
      <c r="A307" s="6" t="s">
        <v>1103</v>
      </c>
      <c r="B307" s="336" t="s">
        <v>1176</v>
      </c>
      <c r="C307" s="6">
        <v>4366901</v>
      </c>
      <c r="D307" s="668" t="s">
        <v>972</v>
      </c>
      <c r="E307" s="940" t="s">
        <v>287</v>
      </c>
      <c r="F307" s="16"/>
      <c r="G307" s="336">
        <v>64327</v>
      </c>
      <c r="H307" s="336" t="s">
        <v>973</v>
      </c>
      <c r="I307" s="16" t="s">
        <v>974</v>
      </c>
      <c r="J307" s="245" t="str">
        <f t="shared" si="36"/>
        <v>GW</v>
      </c>
      <c r="K307" s="245">
        <f t="shared" si="40"/>
        <v>0</v>
      </c>
      <c r="L307" s="245">
        <f t="shared" si="46"/>
        <v>0</v>
      </c>
      <c r="M307" s="375">
        <f>$M$2</f>
        <v>2.2000000000000002</v>
      </c>
      <c r="N307" s="720">
        <v>0</v>
      </c>
      <c r="O307" s="376">
        <f t="shared" si="37"/>
        <v>2.2000000000000002</v>
      </c>
      <c r="P307" s="377">
        <f t="shared" si="38"/>
        <v>0</v>
      </c>
    </row>
    <row r="308" spans="1:16" ht="15" customHeight="1" thickBot="1" x14ac:dyDescent="0.25">
      <c r="A308" s="6" t="s">
        <v>831</v>
      </c>
      <c r="B308" s="336" t="s">
        <v>975</v>
      </c>
      <c r="C308" s="6" t="s">
        <v>831</v>
      </c>
      <c r="D308" s="941" t="s">
        <v>1269</v>
      </c>
      <c r="E308" s="942">
        <v>37257</v>
      </c>
      <c r="F308" s="6"/>
      <c r="G308" s="1">
        <v>82500</v>
      </c>
      <c r="H308" s="1" t="s">
        <v>444</v>
      </c>
      <c r="I308" s="1" t="s">
        <v>976</v>
      </c>
      <c r="J308" s="245" t="str">
        <f t="shared" si="36"/>
        <v>na</v>
      </c>
      <c r="K308" s="245" t="str">
        <f t="shared" si="40"/>
        <v>na</v>
      </c>
      <c r="L308" s="245">
        <f t="shared" si="46"/>
        <v>0</v>
      </c>
      <c r="M308" s="249">
        <f t="shared" ref="M308:M313" si="47">$M$2</f>
        <v>2.2000000000000002</v>
      </c>
      <c r="N308" s="720">
        <v>0</v>
      </c>
      <c r="O308" s="247">
        <f t="shared" si="37"/>
        <v>2.2000000000000002</v>
      </c>
      <c r="P308" s="248">
        <f t="shared" si="38"/>
        <v>0</v>
      </c>
    </row>
    <row r="309" spans="1:16" ht="15" customHeight="1" thickBot="1" x14ac:dyDescent="0.25">
      <c r="A309" s="6" t="s">
        <v>1103</v>
      </c>
      <c r="B309" s="336" t="s">
        <v>1268</v>
      </c>
      <c r="C309" s="6">
        <v>3234701</v>
      </c>
      <c r="D309" s="941" t="s">
        <v>1269</v>
      </c>
      <c r="E309" s="942">
        <v>37257</v>
      </c>
      <c r="F309" s="6"/>
      <c r="G309" s="1">
        <v>82500</v>
      </c>
      <c r="H309" s="1" t="s">
        <v>444</v>
      </c>
      <c r="I309" s="1" t="s">
        <v>976</v>
      </c>
      <c r="J309" s="245" t="str">
        <f t="shared" si="36"/>
        <v>GW</v>
      </c>
      <c r="K309" s="245">
        <f t="shared" si="40"/>
        <v>0</v>
      </c>
      <c r="L309" s="245">
        <f t="shared" si="46"/>
        <v>0</v>
      </c>
      <c r="M309" s="249">
        <f t="shared" si="47"/>
        <v>2.2000000000000002</v>
      </c>
      <c r="N309" s="720">
        <v>0</v>
      </c>
      <c r="O309" s="247">
        <f t="shared" si="37"/>
        <v>2.2000000000000002</v>
      </c>
      <c r="P309" s="248">
        <f t="shared" si="38"/>
        <v>0</v>
      </c>
    </row>
    <row r="310" spans="1:16" ht="15" customHeight="1" thickBot="1" x14ac:dyDescent="0.25">
      <c r="A310" s="6" t="s">
        <v>1363</v>
      </c>
      <c r="B310" s="336" t="s">
        <v>1368</v>
      </c>
      <c r="C310" s="6">
        <v>3514402</v>
      </c>
      <c r="D310" s="941" t="s">
        <v>1269</v>
      </c>
      <c r="E310" s="942">
        <v>37257</v>
      </c>
      <c r="F310" s="6"/>
      <c r="G310" s="1">
        <v>82500</v>
      </c>
      <c r="H310" s="1" t="s">
        <v>444</v>
      </c>
      <c r="I310" s="1" t="s">
        <v>976</v>
      </c>
      <c r="J310" s="245" t="str">
        <f t="shared" si="36"/>
        <v>TW</v>
      </c>
      <c r="K310" s="245">
        <f t="shared" si="40"/>
        <v>0</v>
      </c>
      <c r="L310" s="245">
        <f t="shared" si="46"/>
        <v>0</v>
      </c>
      <c r="M310" s="249">
        <f t="shared" si="47"/>
        <v>2.2000000000000002</v>
      </c>
      <c r="N310" s="720">
        <v>0</v>
      </c>
      <c r="O310" s="247">
        <f t="shared" si="37"/>
        <v>2.2000000000000002</v>
      </c>
      <c r="P310" s="248">
        <f t="shared" si="38"/>
        <v>0</v>
      </c>
    </row>
    <row r="311" spans="1:16" ht="15" customHeight="1" thickBot="1" x14ac:dyDescent="0.25">
      <c r="A311" s="6" t="s">
        <v>1103</v>
      </c>
      <c r="B311" s="336" t="s">
        <v>1328</v>
      </c>
      <c r="C311" s="6">
        <v>4044101</v>
      </c>
      <c r="D311" s="941" t="s">
        <v>1269</v>
      </c>
      <c r="E311" s="942">
        <v>37257</v>
      </c>
      <c r="F311" s="6"/>
      <c r="G311" s="1">
        <v>82500</v>
      </c>
      <c r="H311" s="1" t="s">
        <v>444</v>
      </c>
      <c r="I311" s="1" t="s">
        <v>976</v>
      </c>
      <c r="J311" s="245" t="str">
        <f t="shared" si="36"/>
        <v>GW</v>
      </c>
      <c r="K311" s="245">
        <f t="shared" si="40"/>
        <v>0</v>
      </c>
      <c r="L311" s="245">
        <f t="shared" si="46"/>
        <v>0</v>
      </c>
      <c r="M311" s="249">
        <f t="shared" si="47"/>
        <v>2.2000000000000002</v>
      </c>
      <c r="N311" s="720">
        <v>0</v>
      </c>
      <c r="O311" s="247">
        <f t="shared" si="37"/>
        <v>2.2000000000000002</v>
      </c>
      <c r="P311" s="248">
        <f t="shared" si="38"/>
        <v>0</v>
      </c>
    </row>
    <row r="312" spans="1:16" ht="15" customHeight="1" thickBot="1" x14ac:dyDescent="0.25">
      <c r="A312" s="6" t="s">
        <v>1103</v>
      </c>
      <c r="B312" s="336" t="s">
        <v>1329</v>
      </c>
      <c r="C312" s="6">
        <v>3007601</v>
      </c>
      <c r="D312" s="941" t="s">
        <v>1269</v>
      </c>
      <c r="E312" s="942">
        <v>37257</v>
      </c>
      <c r="F312" s="6"/>
      <c r="G312" s="1">
        <v>82500</v>
      </c>
      <c r="H312" s="1" t="s">
        <v>444</v>
      </c>
      <c r="I312" s="1" t="s">
        <v>976</v>
      </c>
      <c r="J312" s="245" t="str">
        <f t="shared" si="36"/>
        <v>GW</v>
      </c>
      <c r="K312" s="245">
        <f t="shared" si="40"/>
        <v>0</v>
      </c>
      <c r="L312" s="245">
        <f t="shared" si="46"/>
        <v>0</v>
      </c>
      <c r="M312" s="249">
        <f t="shared" si="47"/>
        <v>2.2000000000000002</v>
      </c>
      <c r="N312" s="720">
        <v>0</v>
      </c>
      <c r="O312" s="247">
        <f t="shared" si="37"/>
        <v>2.2000000000000002</v>
      </c>
      <c r="P312" s="248">
        <f t="shared" si="38"/>
        <v>0</v>
      </c>
    </row>
    <row r="313" spans="1:16" ht="15" customHeight="1" thickBot="1" x14ac:dyDescent="0.25">
      <c r="A313" s="6" t="s">
        <v>1103</v>
      </c>
      <c r="B313" s="336" t="s">
        <v>1330</v>
      </c>
      <c r="C313" s="6">
        <v>3427701</v>
      </c>
      <c r="D313" s="941" t="s">
        <v>1269</v>
      </c>
      <c r="E313" s="942">
        <v>37257</v>
      </c>
      <c r="F313" s="6"/>
      <c r="G313" s="1">
        <v>82500</v>
      </c>
      <c r="H313" s="1" t="s">
        <v>444</v>
      </c>
      <c r="I313" s="1" t="s">
        <v>976</v>
      </c>
      <c r="J313" s="245" t="str">
        <f t="shared" si="36"/>
        <v>GW</v>
      </c>
      <c r="K313" s="245">
        <f t="shared" si="40"/>
        <v>0</v>
      </c>
      <c r="L313" s="245">
        <f t="shared" si="46"/>
        <v>0</v>
      </c>
      <c r="M313" s="249">
        <f t="shared" si="47"/>
        <v>2.2000000000000002</v>
      </c>
      <c r="N313" s="720">
        <v>0</v>
      </c>
      <c r="O313" s="247">
        <f t="shared" si="37"/>
        <v>2.2000000000000002</v>
      </c>
      <c r="P313" s="248">
        <f t="shared" si="38"/>
        <v>0</v>
      </c>
    </row>
    <row r="314" spans="1:16" ht="15" customHeight="1" thickBot="1" x14ac:dyDescent="0.25">
      <c r="A314" s="6" t="s">
        <v>1103</v>
      </c>
      <c r="B314" s="336" t="s">
        <v>1309</v>
      </c>
      <c r="C314" s="6">
        <v>4324601</v>
      </c>
      <c r="D314" s="666" t="s">
        <v>1310</v>
      </c>
      <c r="E314" s="940">
        <v>37228</v>
      </c>
      <c r="F314" s="6"/>
      <c r="G314" s="1">
        <v>83231</v>
      </c>
      <c r="H314" s="1" t="s">
        <v>977</v>
      </c>
      <c r="I314" s="1" t="s">
        <v>527</v>
      </c>
      <c r="J314" s="245" t="str">
        <f t="shared" si="36"/>
        <v>GW</v>
      </c>
      <c r="K314" s="245">
        <f t="shared" si="40"/>
        <v>0</v>
      </c>
      <c r="L314" s="245">
        <f t="shared" si="46"/>
        <v>0</v>
      </c>
      <c r="M314" s="249">
        <f>$M$3*99%</f>
        <v>2.1384000000000003</v>
      </c>
      <c r="N314" s="720">
        <v>0</v>
      </c>
      <c r="O314" s="247">
        <f t="shared" si="37"/>
        <v>2.1384000000000003</v>
      </c>
      <c r="P314" s="248">
        <f t="shared" si="38"/>
        <v>0</v>
      </c>
    </row>
    <row r="315" spans="1:16" ht="15" customHeight="1" thickBot="1" x14ac:dyDescent="0.25">
      <c r="A315" s="6" t="s">
        <v>831</v>
      </c>
      <c r="B315" s="336" t="s">
        <v>978</v>
      </c>
      <c r="C315" s="6" t="s">
        <v>831</v>
      </c>
      <c r="D315" s="16" t="s">
        <v>979</v>
      </c>
      <c r="E315" s="938" t="s">
        <v>1403</v>
      </c>
      <c r="F315" s="16"/>
      <c r="G315" s="336">
        <v>83849</v>
      </c>
      <c r="H315" s="336" t="s">
        <v>980</v>
      </c>
      <c r="I315" s="137" t="s">
        <v>981</v>
      </c>
      <c r="J315" s="245" t="str">
        <f t="shared" si="36"/>
        <v>na</v>
      </c>
      <c r="K315" s="245" t="str">
        <f t="shared" si="40"/>
        <v>na</v>
      </c>
      <c r="L315" s="245">
        <f t="shared" si="46"/>
        <v>0</v>
      </c>
      <c r="M315" s="380">
        <f>$M$2*98%</f>
        <v>2.1560000000000001</v>
      </c>
      <c r="N315" s="720">
        <v>0</v>
      </c>
      <c r="O315" s="376">
        <f t="shared" si="37"/>
        <v>2.1560000000000001</v>
      </c>
      <c r="P315" s="377">
        <f t="shared" si="38"/>
        <v>0</v>
      </c>
    </row>
    <row r="316" spans="1:16" ht="15" customHeight="1" thickBot="1" x14ac:dyDescent="0.25">
      <c r="A316" s="6" t="s">
        <v>831</v>
      </c>
      <c r="B316" s="336" t="s">
        <v>982</v>
      </c>
      <c r="C316" s="6" t="s">
        <v>831</v>
      </c>
      <c r="D316" s="16" t="s">
        <v>983</v>
      </c>
      <c r="E316" s="938" t="s">
        <v>1403</v>
      </c>
      <c r="F316" s="16"/>
      <c r="G316" s="336">
        <v>83849</v>
      </c>
      <c r="H316" s="336" t="s">
        <v>980</v>
      </c>
      <c r="I316" s="137" t="s">
        <v>981</v>
      </c>
      <c r="J316" s="245" t="str">
        <f t="shared" si="36"/>
        <v>na</v>
      </c>
      <c r="K316" s="245" t="str">
        <f t="shared" si="40"/>
        <v>na</v>
      </c>
      <c r="L316" s="245">
        <f t="shared" si="46"/>
        <v>0</v>
      </c>
      <c r="M316" s="380">
        <f>$M$2*98%</f>
        <v>2.1560000000000001</v>
      </c>
      <c r="N316" s="720">
        <v>0</v>
      </c>
      <c r="O316" s="376">
        <f t="shared" si="37"/>
        <v>2.1560000000000001</v>
      </c>
      <c r="P316" s="377">
        <f>L316*O316</f>
        <v>0</v>
      </c>
    </row>
    <row r="317" spans="1:16" ht="15" customHeight="1" thickBot="1" x14ac:dyDescent="0.25">
      <c r="A317" s="6" t="s">
        <v>831</v>
      </c>
      <c r="B317" s="336" t="s">
        <v>984</v>
      </c>
      <c r="C317" s="6" t="s">
        <v>831</v>
      </c>
      <c r="D317" s="16" t="s">
        <v>985</v>
      </c>
      <c r="E317" s="938" t="s">
        <v>1403</v>
      </c>
      <c r="F317" s="16"/>
      <c r="G317" s="336">
        <v>83849</v>
      </c>
      <c r="H317" s="336" t="s">
        <v>980</v>
      </c>
      <c r="I317" s="137" t="s">
        <v>981</v>
      </c>
      <c r="J317" s="245" t="str">
        <f t="shared" si="36"/>
        <v>na</v>
      </c>
      <c r="K317" s="245" t="str">
        <f t="shared" si="40"/>
        <v>na</v>
      </c>
      <c r="L317" s="245">
        <f t="shared" si="46"/>
        <v>0</v>
      </c>
      <c r="M317" s="380">
        <f>$M$2*98%</f>
        <v>2.1560000000000001</v>
      </c>
      <c r="N317" s="720">
        <v>0</v>
      </c>
      <c r="O317" s="376">
        <f t="shared" si="37"/>
        <v>2.1560000000000001</v>
      </c>
      <c r="P317" s="377">
        <f>L317*O317</f>
        <v>0</v>
      </c>
    </row>
    <row r="318" spans="1:16" ht="15" customHeight="1" thickBot="1" x14ac:dyDescent="0.25">
      <c r="A318" s="6" t="s">
        <v>831</v>
      </c>
      <c r="B318" s="336" t="s">
        <v>986</v>
      </c>
      <c r="C318" s="6" t="s">
        <v>831</v>
      </c>
      <c r="D318" s="16" t="s">
        <v>985</v>
      </c>
      <c r="E318" s="938" t="s">
        <v>1403</v>
      </c>
      <c r="F318" s="16"/>
      <c r="G318" s="336">
        <v>83849</v>
      </c>
      <c r="H318" s="336" t="s">
        <v>980</v>
      </c>
      <c r="I318" s="137" t="s">
        <v>981</v>
      </c>
      <c r="J318" s="245" t="str">
        <f t="shared" si="36"/>
        <v>na</v>
      </c>
      <c r="K318" s="245" t="str">
        <f t="shared" si="40"/>
        <v>na</v>
      </c>
      <c r="L318" s="245">
        <f t="shared" si="46"/>
        <v>0</v>
      </c>
      <c r="M318" s="380">
        <f>$M$2*98%</f>
        <v>2.1560000000000001</v>
      </c>
      <c r="N318" s="720">
        <v>0</v>
      </c>
      <c r="O318" s="376">
        <f t="shared" si="37"/>
        <v>2.1560000000000001</v>
      </c>
      <c r="P318" s="377">
        <f>L318*O318</f>
        <v>0</v>
      </c>
    </row>
    <row r="319" spans="1:16" ht="15" customHeight="1" thickBot="1" x14ac:dyDescent="0.25">
      <c r="A319" s="6" t="s">
        <v>1075</v>
      </c>
      <c r="B319" s="1" t="s">
        <v>1076</v>
      </c>
      <c r="C319" s="6">
        <v>3557501</v>
      </c>
      <c r="D319" s="6" t="s">
        <v>217</v>
      </c>
      <c r="E319" s="938" t="s">
        <v>1403</v>
      </c>
      <c r="F319" s="1"/>
      <c r="G319" s="1">
        <v>83231</v>
      </c>
      <c r="H319" s="1" t="s">
        <v>977</v>
      </c>
      <c r="I319" s="666" t="s">
        <v>987</v>
      </c>
      <c r="J319" s="245" t="str">
        <f t="shared" ref="J319:J331" si="48">IF(ISNA(VLOOKUP(B319,cngdata,7,FALSE)),"na",VLOOKUP(B319,cngdata,7,FALSE))</f>
        <v>GD</v>
      </c>
      <c r="K319" s="245">
        <f t="shared" ref="K319:K331" si="49">IF(ISNA(VLOOKUP(B319,cngdata,13,FALSE)),"na",VLOOKUP(B319,cngdata,13,FALSE))</f>
        <v>0</v>
      </c>
      <c r="L319" s="245">
        <f t="shared" ref="L319:L331" si="50">IF(ISNA(VLOOKUP(B319,cngdata,14,FALSE)),0,VLOOKUP(B319,cngdata,14,FALSE))</f>
        <v>0</v>
      </c>
      <c r="M319" s="667">
        <f>$M$2</f>
        <v>2.2000000000000002</v>
      </c>
      <c r="N319" s="720">
        <v>0</v>
      </c>
      <c r="O319" s="247">
        <f t="shared" ref="O319:O331" si="51">M319-N319</f>
        <v>2.2000000000000002</v>
      </c>
      <c r="P319" s="248">
        <f t="shared" ref="P319:P326" si="52">L319*O319</f>
        <v>0</v>
      </c>
    </row>
    <row r="320" spans="1:16" ht="15" customHeight="1" thickBot="1" x14ac:dyDescent="0.25">
      <c r="A320" s="6" t="s">
        <v>1075</v>
      </c>
      <c r="B320" s="1" t="s">
        <v>1079</v>
      </c>
      <c r="C320" s="6">
        <v>4348401</v>
      </c>
      <c r="D320" s="6" t="s">
        <v>217</v>
      </c>
      <c r="E320" s="938" t="s">
        <v>1403</v>
      </c>
      <c r="F320" s="1"/>
      <c r="G320" s="1">
        <v>83231</v>
      </c>
      <c r="H320" s="1" t="s">
        <v>977</v>
      </c>
      <c r="I320" s="666" t="s">
        <v>987</v>
      </c>
      <c r="J320" s="245" t="str">
        <f t="shared" si="48"/>
        <v>GD</v>
      </c>
      <c r="K320" s="245">
        <f t="shared" si="49"/>
        <v>0</v>
      </c>
      <c r="L320" s="245">
        <f t="shared" si="50"/>
        <v>0</v>
      </c>
      <c r="M320" s="667">
        <f>$M$2</f>
        <v>2.2000000000000002</v>
      </c>
      <c r="N320" s="720">
        <v>0</v>
      </c>
      <c r="O320" s="247">
        <f t="shared" si="51"/>
        <v>2.2000000000000002</v>
      </c>
      <c r="P320" s="248">
        <f t="shared" si="52"/>
        <v>0</v>
      </c>
    </row>
    <row r="321" spans="1:16" ht="15" customHeight="1" thickBot="1" x14ac:dyDescent="0.25">
      <c r="A321" s="6" t="s">
        <v>831</v>
      </c>
      <c r="B321" s="336" t="s">
        <v>988</v>
      </c>
      <c r="C321" s="6" t="s">
        <v>831</v>
      </c>
      <c r="D321" s="308" t="s">
        <v>543</v>
      </c>
      <c r="E321" s="938" t="s">
        <v>1403</v>
      </c>
      <c r="F321" s="308"/>
      <c r="G321" s="1">
        <v>91923</v>
      </c>
      <c r="H321" s="1" t="s">
        <v>456</v>
      </c>
      <c r="I321" s="384"/>
      <c r="J321" s="245" t="str">
        <f t="shared" si="48"/>
        <v>na</v>
      </c>
      <c r="K321" s="245" t="str">
        <f t="shared" si="49"/>
        <v>na</v>
      </c>
      <c r="L321" s="245">
        <f t="shared" si="50"/>
        <v>0</v>
      </c>
      <c r="M321" s="385"/>
      <c r="N321" s="720">
        <v>0</v>
      </c>
      <c r="O321" s="247">
        <f t="shared" si="51"/>
        <v>0</v>
      </c>
      <c r="P321" s="248">
        <f t="shared" si="52"/>
        <v>0</v>
      </c>
    </row>
    <row r="322" spans="1:16" ht="15" customHeight="1" thickBot="1" x14ac:dyDescent="0.25">
      <c r="A322" s="6" t="s">
        <v>831</v>
      </c>
      <c r="B322" s="336" t="s">
        <v>989</v>
      </c>
      <c r="C322" s="6" t="s">
        <v>831</v>
      </c>
      <c r="D322" s="308" t="s">
        <v>543</v>
      </c>
      <c r="E322" s="938" t="s">
        <v>1403</v>
      </c>
      <c r="F322" s="308"/>
      <c r="G322" s="1">
        <v>91923</v>
      </c>
      <c r="H322" s="1" t="s">
        <v>456</v>
      </c>
      <c r="I322" s="384"/>
      <c r="J322" s="245" t="str">
        <f t="shared" si="48"/>
        <v>na</v>
      </c>
      <c r="K322" s="245" t="str">
        <f t="shared" si="49"/>
        <v>na</v>
      </c>
      <c r="L322" s="245">
        <f t="shared" si="50"/>
        <v>0</v>
      </c>
      <c r="M322" s="385"/>
      <c r="N322" s="720">
        <v>0</v>
      </c>
      <c r="O322" s="247">
        <f t="shared" si="51"/>
        <v>0</v>
      </c>
      <c r="P322" s="248">
        <f t="shared" si="52"/>
        <v>0</v>
      </c>
    </row>
    <row r="323" spans="1:16" ht="15" customHeight="1" thickBot="1" x14ac:dyDescent="0.25">
      <c r="A323" s="6" t="s">
        <v>831</v>
      </c>
      <c r="B323" s="336" t="s">
        <v>991</v>
      </c>
      <c r="C323" s="6" t="s">
        <v>831</v>
      </c>
      <c r="D323" s="308" t="s">
        <v>543</v>
      </c>
      <c r="E323" s="938" t="s">
        <v>1403</v>
      </c>
      <c r="F323" s="308"/>
      <c r="G323" s="1">
        <v>91923</v>
      </c>
      <c r="H323" s="1" t="s">
        <v>456</v>
      </c>
      <c r="I323" s="384"/>
      <c r="J323" s="245" t="str">
        <f t="shared" si="48"/>
        <v>na</v>
      </c>
      <c r="K323" s="245" t="str">
        <f t="shared" si="49"/>
        <v>na</v>
      </c>
      <c r="L323" s="245">
        <f t="shared" si="50"/>
        <v>0</v>
      </c>
      <c r="M323" s="385"/>
      <c r="N323" s="720">
        <v>0</v>
      </c>
      <c r="O323" s="247">
        <f t="shared" si="51"/>
        <v>0</v>
      </c>
      <c r="P323" s="248">
        <f t="shared" si="52"/>
        <v>0</v>
      </c>
    </row>
    <row r="324" spans="1:16" ht="15" customHeight="1" thickBot="1" x14ac:dyDescent="0.25">
      <c r="A324" s="6" t="s">
        <v>831</v>
      </c>
      <c r="B324" s="336">
        <v>5168401</v>
      </c>
      <c r="C324" s="6" t="s">
        <v>831</v>
      </c>
      <c r="D324" s="308" t="s">
        <v>543</v>
      </c>
      <c r="E324" s="938" t="s">
        <v>1403</v>
      </c>
      <c r="F324" s="308"/>
      <c r="G324" s="1">
        <v>91923</v>
      </c>
      <c r="H324" s="1" t="s">
        <v>456</v>
      </c>
      <c r="I324" s="384"/>
      <c r="J324" s="245" t="str">
        <f t="shared" si="48"/>
        <v>na</v>
      </c>
      <c r="K324" s="245" t="str">
        <f t="shared" si="49"/>
        <v>na</v>
      </c>
      <c r="L324" s="245">
        <f t="shared" si="50"/>
        <v>0</v>
      </c>
      <c r="M324" s="249"/>
      <c r="N324" s="720">
        <v>0</v>
      </c>
      <c r="O324" s="247">
        <f t="shared" si="51"/>
        <v>0</v>
      </c>
      <c r="P324" s="248">
        <f t="shared" si="52"/>
        <v>0</v>
      </c>
    </row>
    <row r="325" spans="1:16" ht="15" customHeight="1" thickBot="1" x14ac:dyDescent="0.25">
      <c r="A325" s="6" t="s">
        <v>831</v>
      </c>
      <c r="B325" s="336" t="s">
        <v>992</v>
      </c>
      <c r="C325" s="6" t="s">
        <v>831</v>
      </c>
      <c r="D325" s="308" t="s">
        <v>543</v>
      </c>
      <c r="E325" s="938" t="s">
        <v>1403</v>
      </c>
      <c r="F325" s="308"/>
      <c r="G325" s="1">
        <v>91923</v>
      </c>
      <c r="H325" s="1" t="s">
        <v>456</v>
      </c>
      <c r="I325" s="384"/>
      <c r="J325" s="245" t="str">
        <f t="shared" si="48"/>
        <v>na</v>
      </c>
      <c r="K325" s="245" t="str">
        <f t="shared" si="49"/>
        <v>na</v>
      </c>
      <c r="L325" s="245">
        <f t="shared" si="50"/>
        <v>0</v>
      </c>
      <c r="M325" s="385"/>
      <c r="N325" s="720">
        <v>0</v>
      </c>
      <c r="O325" s="247">
        <f t="shared" si="51"/>
        <v>0</v>
      </c>
      <c r="P325" s="248">
        <f t="shared" si="52"/>
        <v>0</v>
      </c>
    </row>
    <row r="326" spans="1:16" ht="15" customHeight="1" thickBot="1" x14ac:dyDescent="0.25">
      <c r="A326" s="6" t="s">
        <v>831</v>
      </c>
      <c r="B326" s="336" t="s">
        <v>999</v>
      </c>
      <c r="C326" s="6" t="s">
        <v>831</v>
      </c>
      <c r="D326" s="308" t="s">
        <v>543</v>
      </c>
      <c r="E326" s="938" t="s">
        <v>1403</v>
      </c>
      <c r="F326" s="308"/>
      <c r="G326" s="1">
        <v>91923</v>
      </c>
      <c r="H326" s="1" t="s">
        <v>456</v>
      </c>
      <c r="I326" s="384"/>
      <c r="J326" s="245" t="str">
        <f t="shared" si="48"/>
        <v>na</v>
      </c>
      <c r="K326" s="245" t="str">
        <f t="shared" si="49"/>
        <v>na</v>
      </c>
      <c r="L326" s="245">
        <f t="shared" si="50"/>
        <v>0</v>
      </c>
      <c r="M326" s="385"/>
      <c r="N326" s="720">
        <v>0</v>
      </c>
      <c r="O326" s="247">
        <f t="shared" si="51"/>
        <v>0</v>
      </c>
      <c r="P326" s="248">
        <f t="shared" si="52"/>
        <v>0</v>
      </c>
    </row>
    <row r="327" spans="1:16" ht="15" customHeight="1" thickBot="1" x14ac:dyDescent="0.25">
      <c r="A327" s="6" t="s">
        <v>1103</v>
      </c>
      <c r="B327" s="336" t="s">
        <v>1183</v>
      </c>
      <c r="C327" s="6">
        <v>3190601</v>
      </c>
      <c r="D327" s="666" t="s">
        <v>1184</v>
      </c>
      <c r="E327" s="940">
        <v>37228</v>
      </c>
      <c r="F327" s="6"/>
      <c r="G327" s="1">
        <v>91921</v>
      </c>
      <c r="H327" s="1" t="s">
        <v>1000</v>
      </c>
      <c r="I327" s="1" t="s">
        <v>836</v>
      </c>
      <c r="J327" s="245" t="str">
        <f t="shared" si="48"/>
        <v>GW</v>
      </c>
      <c r="K327" s="245">
        <f t="shared" si="49"/>
        <v>0</v>
      </c>
      <c r="L327" s="245">
        <f t="shared" si="50"/>
        <v>0</v>
      </c>
      <c r="M327" s="249">
        <f>$M$2-0.08</f>
        <v>2.12</v>
      </c>
      <c r="N327" s="720">
        <v>0</v>
      </c>
      <c r="O327" s="247">
        <f t="shared" si="51"/>
        <v>2.12</v>
      </c>
      <c r="P327" s="248">
        <f>L327*O327</f>
        <v>0</v>
      </c>
    </row>
    <row r="328" spans="1:16" ht="15" customHeight="1" thickBot="1" x14ac:dyDescent="0.25">
      <c r="A328" s="6" t="s">
        <v>831</v>
      </c>
      <c r="B328" s="336" t="s">
        <v>1369</v>
      </c>
      <c r="C328" s="6" t="s">
        <v>831</v>
      </c>
      <c r="D328" s="16" t="s">
        <v>1370</v>
      </c>
      <c r="E328" s="938" t="s">
        <v>1403</v>
      </c>
      <c r="F328" s="355"/>
      <c r="G328" s="336">
        <v>91919</v>
      </c>
      <c r="H328" s="336" t="s">
        <v>1001</v>
      </c>
      <c r="I328" s="336" t="s">
        <v>1427</v>
      </c>
      <c r="J328" s="245" t="str">
        <f t="shared" si="48"/>
        <v>na</v>
      </c>
      <c r="K328" s="245" t="str">
        <f t="shared" si="49"/>
        <v>na</v>
      </c>
      <c r="L328" s="245">
        <f t="shared" si="50"/>
        <v>0</v>
      </c>
      <c r="M328" s="249">
        <f>$M$2*98%</f>
        <v>2.1560000000000001</v>
      </c>
      <c r="N328" s="720">
        <v>0</v>
      </c>
      <c r="O328" s="376">
        <f t="shared" si="51"/>
        <v>2.1560000000000001</v>
      </c>
      <c r="P328" s="377">
        <f>L328*O328</f>
        <v>0</v>
      </c>
    </row>
    <row r="329" spans="1:16" ht="15" customHeight="1" thickBot="1" x14ac:dyDescent="0.25">
      <c r="A329" s="6" t="s">
        <v>1086</v>
      </c>
      <c r="B329" s="336" t="s">
        <v>1087</v>
      </c>
      <c r="C329" s="6">
        <v>2062201</v>
      </c>
      <c r="D329" s="6" t="s">
        <v>1088</v>
      </c>
      <c r="E329" s="938" t="s">
        <v>1403</v>
      </c>
      <c r="F329" s="6"/>
      <c r="G329" s="1">
        <v>92796</v>
      </c>
      <c r="H329" s="1" t="s">
        <v>1002</v>
      </c>
      <c r="I329" s="1" t="s">
        <v>1421</v>
      </c>
      <c r="J329" s="245" t="str">
        <f>IF(ISNA(VLOOKUP(B329,cngdata,7,FALSE)),"na",VLOOKUP(B329,cngdata,7,FALSE))</f>
        <v>GD</v>
      </c>
      <c r="K329" s="245">
        <f>IF(ISNA(VLOOKUP(B329,cngdata,13,FALSE)),"na",VLOOKUP(B329,cngdata,13,FALSE))</f>
        <v>0</v>
      </c>
      <c r="L329" s="245">
        <f>IF(ISNA(VLOOKUP(B329,cngdata,14,FALSE)),0,VLOOKUP(B329,cngdata,14,FALSE))</f>
        <v>0</v>
      </c>
      <c r="M329" s="249">
        <f>$M$2*97%</f>
        <v>2.1339999999999999</v>
      </c>
      <c r="N329" s="720">
        <v>0</v>
      </c>
      <c r="O329" s="247">
        <f>M329-N329</f>
        <v>2.1339999999999999</v>
      </c>
      <c r="P329" s="248">
        <f>L329*O329</f>
        <v>0</v>
      </c>
    </row>
    <row r="330" spans="1:16" ht="15" customHeight="1" thickBot="1" x14ac:dyDescent="0.25">
      <c r="A330" s="1" t="s">
        <v>2089</v>
      </c>
      <c r="B330" s="1" t="s">
        <v>2107</v>
      </c>
      <c r="C330" s="1">
        <v>4244501</v>
      </c>
      <c r="D330" s="941" t="s">
        <v>2108</v>
      </c>
      <c r="E330" s="942">
        <v>37257</v>
      </c>
      <c r="F330" s="187" t="s">
        <v>462</v>
      </c>
      <c r="G330" s="1">
        <v>92796</v>
      </c>
      <c r="H330" s="1" t="s">
        <v>1002</v>
      </c>
      <c r="I330" s="16" t="s">
        <v>428</v>
      </c>
      <c r="J330" s="245" t="str">
        <f>IF(ISNA(VLOOKUP(B330,cngdata,7,FALSE)),"na",VLOOKUP(B330,cngdata,7,FALSE))</f>
        <v>GW</v>
      </c>
      <c r="K330" s="245">
        <f>IF(ISNA(VLOOKUP(B330,cngdata,13,FALSE)),"na",VLOOKUP(B330,cngdata,13,FALSE))</f>
        <v>0</v>
      </c>
      <c r="L330" s="245">
        <f>IF(ISNA(VLOOKUP(B330,cngdata,14,FALSE)),0,VLOOKUP(B330,cngdata,14,FALSE))</f>
        <v>0</v>
      </c>
      <c r="M330" s="259">
        <f>$M$2</f>
        <v>2.2000000000000002</v>
      </c>
      <c r="N330" s="720">
        <v>0</v>
      </c>
      <c r="O330" s="247">
        <f>M330-N330</f>
        <v>2.2000000000000002</v>
      </c>
      <c r="P330" s="248">
        <f>L330*O330</f>
        <v>0</v>
      </c>
    </row>
    <row r="331" spans="1:16" ht="15" customHeight="1" thickBot="1" x14ac:dyDescent="0.25">
      <c r="A331" s="1" t="s">
        <v>2089</v>
      </c>
      <c r="B331" s="1" t="s">
        <v>2109</v>
      </c>
      <c r="C331" s="1">
        <v>3425301</v>
      </c>
      <c r="D331" s="941" t="s">
        <v>2108</v>
      </c>
      <c r="E331" s="942">
        <v>37257</v>
      </c>
      <c r="F331" s="187" t="s">
        <v>462</v>
      </c>
      <c r="G331" s="1">
        <v>92796</v>
      </c>
      <c r="H331" s="1" t="s">
        <v>1002</v>
      </c>
      <c r="I331" s="16" t="s">
        <v>428</v>
      </c>
      <c r="J331" s="245" t="str">
        <f t="shared" si="48"/>
        <v>GW</v>
      </c>
      <c r="K331" s="245">
        <f t="shared" si="49"/>
        <v>0</v>
      </c>
      <c r="L331" s="245">
        <f t="shared" si="50"/>
        <v>0</v>
      </c>
      <c r="M331" s="259">
        <f>$M$2</f>
        <v>2.2000000000000002</v>
      </c>
      <c r="N331" s="720">
        <v>0</v>
      </c>
      <c r="O331" s="247">
        <f t="shared" si="51"/>
        <v>2.2000000000000002</v>
      </c>
      <c r="P331" s="248">
        <f>L331*O331</f>
        <v>0</v>
      </c>
    </row>
    <row r="333" spans="1:16" ht="15" customHeight="1" x14ac:dyDescent="0.2">
      <c r="K333" s="181" t="e">
        <f>SUM(K5:K332)</f>
        <v>#VALUE!</v>
      </c>
      <c r="L333" s="181">
        <f>SUM(L5:L332)</f>
        <v>0</v>
      </c>
    </row>
  </sheetData>
  <phoneticPr fontId="0" type="noConversion"/>
  <pageMargins left="0.5" right="0.5" top="0.5" bottom="0.5" header="0.25" footer="0.5"/>
  <pageSetup scale="89" fitToHeight="12" orientation="landscape" r:id="rId1"/>
  <headerFooter alignWithMargins="0">
    <oddHeader>&amp;CCNG</oddHeader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80"/>
  <sheetViews>
    <sheetView topLeftCell="A54" workbookViewId="0">
      <selection activeCell="C78" sqref="C78"/>
    </sheetView>
  </sheetViews>
  <sheetFormatPr defaultRowHeight="12.75" x14ac:dyDescent="0.2"/>
  <cols>
    <col min="1" max="1" width="11" customWidth="1"/>
    <col min="5" max="5" width="8" customWidth="1"/>
    <col min="6" max="6" width="15" customWidth="1"/>
    <col min="7" max="7" width="9.5703125" customWidth="1"/>
    <col min="8" max="9" width="10.28515625" customWidth="1"/>
    <col min="11" max="11" width="10.28515625" customWidth="1"/>
    <col min="15" max="15" width="10.28515625" bestFit="1" customWidth="1"/>
  </cols>
  <sheetData>
    <row r="1" spans="1:18" x14ac:dyDescent="0.2">
      <c r="A1" s="137" t="s">
        <v>73</v>
      </c>
    </row>
    <row r="3" spans="1:18" x14ac:dyDescent="0.2">
      <c r="A3" s="145" t="s">
        <v>2302</v>
      </c>
      <c r="B3" s="145"/>
      <c r="C3" s="452" t="s">
        <v>1041</v>
      </c>
    </row>
    <row r="5" spans="1:18" x14ac:dyDescent="0.2">
      <c r="A5" t="s">
        <v>1398</v>
      </c>
      <c r="D5" s="253" t="s">
        <v>185</v>
      </c>
      <c r="E5" s="254"/>
      <c r="F5" s="254"/>
      <c r="G5" s="255">
        <f>+CNG!$M$2</f>
        <v>2.2000000000000002</v>
      </c>
    </row>
    <row r="6" spans="1:18" x14ac:dyDescent="0.2">
      <c r="A6" t="s">
        <v>186</v>
      </c>
      <c r="C6" s="22" t="s">
        <v>1417</v>
      </c>
      <c r="D6" s="22" t="s">
        <v>1406</v>
      </c>
    </row>
    <row r="7" spans="1:18" x14ac:dyDescent="0.2">
      <c r="A7" s="181" t="e">
        <f>SUM(CNG!#REF!)</f>
        <v>#REF!</v>
      </c>
      <c r="C7">
        <v>7500</v>
      </c>
      <c r="D7">
        <v>2.875</v>
      </c>
      <c r="F7">
        <f>C7*D7</f>
        <v>21562.5</v>
      </c>
    </row>
    <row r="8" spans="1:18" x14ac:dyDescent="0.2">
      <c r="C8" s="256" t="e">
        <f>IF(A7&gt;C7,A7-C7,0)</f>
        <v>#REF!</v>
      </c>
      <c r="D8" s="140">
        <f>G5</f>
        <v>2.2000000000000002</v>
      </c>
      <c r="F8" s="256" t="e">
        <f>C8*D8</f>
        <v>#REF!</v>
      </c>
      <c r="H8" t="s">
        <v>1478</v>
      </c>
    </row>
    <row r="9" spans="1:18" x14ac:dyDescent="0.2">
      <c r="C9" s="4" t="e">
        <f>SUM(C7:C8)</f>
        <v>#REF!</v>
      </c>
      <c r="F9" t="e">
        <f>SUM(F7:F8)</f>
        <v>#REF!</v>
      </c>
      <c r="H9" s="136" t="e">
        <f>+F9/C9</f>
        <v>#REF!</v>
      </c>
    </row>
    <row r="10" spans="1:18" x14ac:dyDescent="0.2">
      <c r="C10" s="4"/>
    </row>
    <row r="11" spans="1:18" ht="13.5" thickBo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</row>
    <row r="13" spans="1:18" x14ac:dyDescent="0.2">
      <c r="A13" s="187" t="s">
        <v>146</v>
      </c>
      <c r="B13" s="74"/>
      <c r="J13" s="4"/>
      <c r="K13" s="4"/>
      <c r="L13" s="440"/>
      <c r="M13" s="440"/>
      <c r="N13" s="4"/>
      <c r="O13" s="4"/>
      <c r="P13" s="4"/>
      <c r="Q13" s="4"/>
      <c r="R13" s="4"/>
    </row>
    <row r="14" spans="1:18" x14ac:dyDescent="0.2">
      <c r="J14" s="449"/>
      <c r="K14" s="4"/>
      <c r="L14" s="4"/>
      <c r="M14" s="4"/>
      <c r="N14" s="4"/>
      <c r="O14" s="220"/>
      <c r="P14" s="4"/>
      <c r="Q14" s="4"/>
      <c r="R14" s="4"/>
    </row>
    <row r="15" spans="1:18" x14ac:dyDescent="0.2">
      <c r="A15" s="650">
        <v>10000</v>
      </c>
      <c r="B15" s="190">
        <v>3.2</v>
      </c>
      <c r="C15" s="22" t="s">
        <v>1098</v>
      </c>
      <c r="E15" s="650" t="s">
        <v>1388</v>
      </c>
      <c r="F15" s="650"/>
      <c r="G15" s="650"/>
      <c r="H15" s="650"/>
      <c r="J15" s="4"/>
      <c r="K15" s="4"/>
      <c r="L15" s="449"/>
      <c r="M15" s="450"/>
      <c r="N15" s="4"/>
      <c r="O15" s="220"/>
      <c r="P15" s="4"/>
      <c r="Q15" s="4"/>
      <c r="R15" s="4"/>
    </row>
    <row r="16" spans="1:18" x14ac:dyDescent="0.2">
      <c r="C16" s="22"/>
      <c r="E16" s="253" t="s">
        <v>1099</v>
      </c>
      <c r="F16" s="254"/>
      <c r="G16" s="646"/>
      <c r="H16" s="647">
        <f>+CNG!$M$2+0.01</f>
        <v>2.21</v>
      </c>
      <c r="J16" s="4"/>
      <c r="K16" s="4"/>
      <c r="L16" s="4"/>
      <c r="M16" s="4"/>
      <c r="N16" s="4"/>
      <c r="O16" s="220"/>
      <c r="P16" s="4"/>
      <c r="Q16" s="451"/>
      <c r="R16" s="4"/>
    </row>
    <row r="17" spans="1:18" x14ac:dyDescent="0.2">
      <c r="C17" s="22"/>
    </row>
    <row r="18" spans="1:18" x14ac:dyDescent="0.2">
      <c r="A18" t="s">
        <v>186</v>
      </c>
      <c r="C18" s="22" t="s">
        <v>1417</v>
      </c>
      <c r="D18" s="22" t="s">
        <v>1406</v>
      </c>
    </row>
    <row r="19" spans="1:18" x14ac:dyDescent="0.2">
      <c r="A19" s="181">
        <f>SUM(CNG!L27:L34)</f>
        <v>0</v>
      </c>
      <c r="C19">
        <f>+A15</f>
        <v>10000</v>
      </c>
      <c r="D19" s="190">
        <f>+B15</f>
        <v>3.2</v>
      </c>
      <c r="F19" s="150">
        <f>C19*D19</f>
        <v>32000</v>
      </c>
    </row>
    <row r="20" spans="1:18" x14ac:dyDescent="0.2">
      <c r="C20" s="256">
        <f>IF(A19&gt;C19,A19-C19,0)</f>
        <v>0</v>
      </c>
      <c r="D20" s="188">
        <f>+H16</f>
        <v>2.21</v>
      </c>
      <c r="F20" s="257">
        <f>C20*D20</f>
        <v>0</v>
      </c>
      <c r="H20" t="s">
        <v>1478</v>
      </c>
    </row>
    <row r="21" spans="1:18" x14ac:dyDescent="0.2">
      <c r="C21" s="4">
        <f>SUM(C19:C20)</f>
        <v>10000</v>
      </c>
      <c r="F21" s="150">
        <f>SUM(F19:F20)</f>
        <v>32000</v>
      </c>
      <c r="H21" s="427">
        <f>+F21/C21</f>
        <v>3.2</v>
      </c>
    </row>
    <row r="22" spans="1:18" ht="13.5" thickBot="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</row>
    <row r="24" spans="1:18" x14ac:dyDescent="0.2">
      <c r="A24" s="187" t="s">
        <v>25</v>
      </c>
      <c r="B24" s="74"/>
      <c r="J24" s="4"/>
      <c r="K24" s="4"/>
      <c r="L24" s="440"/>
      <c r="M24" s="440"/>
      <c r="N24" s="4"/>
      <c r="O24" s="4"/>
      <c r="P24" s="4"/>
      <c r="Q24" s="4"/>
      <c r="R24" s="4"/>
    </row>
    <row r="25" spans="1:18" x14ac:dyDescent="0.2">
      <c r="J25" s="449"/>
      <c r="K25" s="4"/>
      <c r="L25" s="4"/>
      <c r="M25" s="4"/>
      <c r="N25" s="4"/>
      <c r="O25" s="220"/>
      <c r="P25" s="4"/>
      <c r="Q25" s="4"/>
      <c r="R25" s="4"/>
    </row>
    <row r="26" spans="1:18" x14ac:dyDescent="0.2">
      <c r="A26">
        <v>15000</v>
      </c>
      <c r="B26">
        <v>4.95</v>
      </c>
      <c r="C26" s="22" t="s">
        <v>1522</v>
      </c>
      <c r="E26" s="452" t="s">
        <v>1041</v>
      </c>
      <c r="F26" s="553"/>
      <c r="J26" s="4"/>
      <c r="K26" s="4"/>
      <c r="L26" s="449"/>
      <c r="M26" s="450"/>
      <c r="N26" s="4"/>
      <c r="O26" s="220"/>
      <c r="P26" s="4"/>
      <c r="Q26" s="4"/>
      <c r="R26" s="4"/>
    </row>
    <row r="27" spans="1:18" x14ac:dyDescent="0.2">
      <c r="E27" s="253" t="s">
        <v>187</v>
      </c>
      <c r="F27" s="254"/>
      <c r="G27" s="254"/>
      <c r="H27" s="255">
        <f>+CNG!$M$2</f>
        <v>2.2000000000000002</v>
      </c>
      <c r="J27" s="4"/>
      <c r="K27" s="4"/>
      <c r="L27" s="4"/>
      <c r="M27" s="4"/>
      <c r="N27" s="4"/>
      <c r="O27" s="220"/>
      <c r="P27" s="4"/>
      <c r="Q27" s="451"/>
      <c r="R27" s="4"/>
    </row>
    <row r="28" spans="1:18" x14ac:dyDescent="0.2">
      <c r="C28" s="22"/>
    </row>
    <row r="29" spans="1:18" x14ac:dyDescent="0.2">
      <c r="A29" t="s">
        <v>186</v>
      </c>
      <c r="C29" s="22" t="s">
        <v>1417</v>
      </c>
      <c r="D29" s="22" t="s">
        <v>1406</v>
      </c>
    </row>
    <row r="30" spans="1:18" x14ac:dyDescent="0.2">
      <c r="A30" s="181">
        <f>SUM(CNG!L35:L63)</f>
        <v>0</v>
      </c>
      <c r="C30">
        <v>0</v>
      </c>
      <c r="D30">
        <f>+B26</f>
        <v>4.95</v>
      </c>
      <c r="F30" s="150">
        <f>C30*D30</f>
        <v>0</v>
      </c>
    </row>
    <row r="31" spans="1:18" x14ac:dyDescent="0.2">
      <c r="C31" s="256">
        <f>IF(A30&gt;C30,A30-C30,0)</f>
        <v>0</v>
      </c>
      <c r="D31" s="188">
        <f>+H27</f>
        <v>2.2000000000000002</v>
      </c>
      <c r="F31" s="257">
        <f>C31*D31</f>
        <v>0</v>
      </c>
      <c r="H31" t="s">
        <v>1478</v>
      </c>
    </row>
    <row r="32" spans="1:18" x14ac:dyDescent="0.2">
      <c r="C32" s="4">
        <f>SUM(C30:C31)</f>
        <v>0</v>
      </c>
      <c r="F32" s="150">
        <f>SUM(F30:F31)</f>
        <v>0</v>
      </c>
      <c r="H32" s="428" t="e">
        <f>+F32/C32</f>
        <v>#DIV/0!</v>
      </c>
    </row>
    <row r="33" spans="1:18" ht="13.5" thickBot="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</row>
    <row r="35" spans="1:18" x14ac:dyDescent="0.2">
      <c r="A35" s="187" t="s">
        <v>283</v>
      </c>
      <c r="B35" s="74"/>
      <c r="C35" t="s">
        <v>202</v>
      </c>
      <c r="J35" s="4"/>
      <c r="K35" s="4"/>
      <c r="L35" s="440"/>
      <c r="M35" s="440"/>
      <c r="N35" s="4"/>
      <c r="O35" s="4"/>
      <c r="P35" s="4"/>
      <c r="Q35" s="4"/>
      <c r="R35" s="4"/>
    </row>
    <row r="36" spans="1:18" x14ac:dyDescent="0.2">
      <c r="A36">
        <v>6500</v>
      </c>
      <c r="B36" s="190">
        <v>3.11</v>
      </c>
      <c r="C36" s="22" t="s">
        <v>284</v>
      </c>
      <c r="E36" s="553"/>
      <c r="F36" s="452" t="s">
        <v>1041</v>
      </c>
      <c r="J36" s="4"/>
      <c r="K36" s="4"/>
      <c r="L36" s="449"/>
      <c r="M36" s="450"/>
      <c r="N36" s="4"/>
      <c r="O36" s="220"/>
      <c r="P36" s="4"/>
      <c r="Q36" s="4"/>
      <c r="R36" s="4"/>
    </row>
    <row r="37" spans="1:18" x14ac:dyDescent="0.2">
      <c r="C37" s="22"/>
      <c r="E37" s="253" t="s">
        <v>193</v>
      </c>
      <c r="F37" s="254"/>
      <c r="G37" s="646"/>
      <c r="H37" s="647">
        <f>+CNG!$M$2</f>
        <v>2.2000000000000002</v>
      </c>
      <c r="J37" s="4"/>
      <c r="K37" s="4"/>
      <c r="L37" s="4"/>
      <c r="M37" s="4"/>
      <c r="N37" s="4"/>
      <c r="O37" s="220"/>
      <c r="P37" s="4"/>
      <c r="Q37" s="451"/>
      <c r="R37" s="4"/>
    </row>
    <row r="38" spans="1:18" x14ac:dyDescent="0.2">
      <c r="C38" s="22"/>
    </row>
    <row r="39" spans="1:18" x14ac:dyDescent="0.2">
      <c r="A39" t="s">
        <v>186</v>
      </c>
      <c r="C39" s="22" t="s">
        <v>1417</v>
      </c>
      <c r="D39" s="22" t="s">
        <v>1406</v>
      </c>
    </row>
    <row r="40" spans="1:18" x14ac:dyDescent="0.2">
      <c r="A40" s="181">
        <f>SUM(CNG!L64:L75)</f>
        <v>0</v>
      </c>
      <c r="C40">
        <v>0</v>
      </c>
      <c r="D40" s="190">
        <f>+B36</f>
        <v>3.11</v>
      </c>
      <c r="F40" s="150">
        <f>C40*D40</f>
        <v>0</v>
      </c>
    </row>
    <row r="41" spans="1:18" x14ac:dyDescent="0.2">
      <c r="C41" s="256">
        <f>IF(A40&gt;C40,A40-C40,0)</f>
        <v>0</v>
      </c>
      <c r="D41" s="188">
        <f>+H37</f>
        <v>2.2000000000000002</v>
      </c>
      <c r="F41" s="257">
        <f>C41*D41</f>
        <v>0</v>
      </c>
      <c r="H41" t="s">
        <v>1478</v>
      </c>
    </row>
    <row r="42" spans="1:18" x14ac:dyDescent="0.2">
      <c r="C42" s="4">
        <f>SUM(C40:C41)</f>
        <v>0</v>
      </c>
      <c r="F42" s="150">
        <f>SUM(F40:F41)</f>
        <v>0</v>
      </c>
      <c r="H42" s="428" t="e">
        <f>+F42/C42</f>
        <v>#DIV/0!</v>
      </c>
    </row>
    <row r="43" spans="1:18" ht="13.5" thickBot="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</row>
    <row r="44" spans="1:18" x14ac:dyDescent="0.2">
      <c r="A44" s="4"/>
      <c r="B44" s="4"/>
      <c r="C44" s="4"/>
      <c r="D44" s="4"/>
      <c r="E44" s="4"/>
      <c r="F44" s="4"/>
      <c r="G44" s="156"/>
      <c r="H44" s="4"/>
      <c r="I44" s="4"/>
    </row>
    <row r="45" spans="1:18" x14ac:dyDescent="0.2">
      <c r="A45" s="147"/>
      <c r="B45" s="147"/>
      <c r="C45" s="147"/>
      <c r="D45" s="147"/>
      <c r="E45" s="4"/>
      <c r="F45" s="4"/>
      <c r="G45" s="156"/>
      <c r="H45" s="4"/>
      <c r="I45" s="4"/>
    </row>
    <row r="46" spans="1:18" x14ac:dyDescent="0.2">
      <c r="A46" s="137" t="s">
        <v>1303</v>
      </c>
      <c r="B46" s="145"/>
      <c r="C46" s="145"/>
      <c r="D46" s="145"/>
      <c r="G46" s="154"/>
    </row>
    <row r="47" spans="1:18" x14ac:dyDescent="0.2">
      <c r="A47" s="145">
        <v>500</v>
      </c>
      <c r="B47" s="145">
        <v>3.02</v>
      </c>
      <c r="C47" s="146" t="s">
        <v>204</v>
      </c>
      <c r="D47" s="145"/>
      <c r="E47" s="74"/>
      <c r="G47" s="154"/>
    </row>
    <row r="48" spans="1:18" x14ac:dyDescent="0.2">
      <c r="A48" s="145">
        <v>1000</v>
      </c>
      <c r="B48" s="403">
        <v>3.3</v>
      </c>
      <c r="C48" s="146" t="s">
        <v>300</v>
      </c>
      <c r="D48" s="145"/>
      <c r="E48" s="452" t="s">
        <v>1524</v>
      </c>
      <c r="G48" s="154"/>
    </row>
    <row r="49" spans="1:11" x14ac:dyDescent="0.2">
      <c r="E49" s="138" t="s">
        <v>1304</v>
      </c>
      <c r="F49" s="139"/>
      <c r="H49" s="255">
        <f>+CNG!$M$2-0.02</f>
        <v>2.1800000000000002</v>
      </c>
    </row>
    <row r="50" spans="1:11" x14ac:dyDescent="0.2">
      <c r="H50" s="154"/>
    </row>
    <row r="51" spans="1:11" x14ac:dyDescent="0.2">
      <c r="A51" t="s">
        <v>1475</v>
      </c>
      <c r="C51" t="s">
        <v>1417</v>
      </c>
      <c r="D51" t="s">
        <v>1438</v>
      </c>
      <c r="H51" s="154"/>
    </row>
    <row r="52" spans="1:11" x14ac:dyDescent="0.2">
      <c r="A52" s="141">
        <f>SUM(CNG!L77:L78)</f>
        <v>0</v>
      </c>
      <c r="C52" s="140">
        <v>0</v>
      </c>
      <c r="D52" s="148">
        <f>+B47</f>
        <v>3.02</v>
      </c>
      <c r="E52">
        <f>C52*D52</f>
        <v>0</v>
      </c>
      <c r="H52" s="154"/>
    </row>
    <row r="53" spans="1:11" x14ac:dyDescent="0.2">
      <c r="A53" s="141"/>
      <c r="C53" s="694">
        <v>0</v>
      </c>
      <c r="D53" s="222">
        <f>+B48</f>
        <v>3.3</v>
      </c>
      <c r="E53">
        <f>C53*D53</f>
        <v>0</v>
      </c>
      <c r="H53" s="154"/>
    </row>
    <row r="54" spans="1:11" ht="13.5" thickBot="1" x14ac:dyDescent="0.25">
      <c r="C54" s="262">
        <f>+A52-C52-C53</f>
        <v>0</v>
      </c>
      <c r="D54" s="140">
        <f>H49</f>
        <v>2.1800000000000002</v>
      </c>
      <c r="E54" s="14">
        <f>C54*D54</f>
        <v>0</v>
      </c>
      <c r="H54" s="154" t="s">
        <v>1478</v>
      </c>
    </row>
    <row r="55" spans="1:11" x14ac:dyDescent="0.2">
      <c r="C55">
        <f>SUM(C52:C54)</f>
        <v>0</v>
      </c>
      <c r="E55">
        <f>SUM(E52:E54)</f>
        <v>0</v>
      </c>
      <c r="H55" s="410" t="e">
        <f>E55/C55</f>
        <v>#DIV/0!</v>
      </c>
    </row>
    <row r="56" spans="1:11" ht="13.5" thickBot="1" x14ac:dyDescent="0.25">
      <c r="A56" s="14"/>
      <c r="B56" s="14"/>
      <c r="C56" s="14"/>
      <c r="D56" s="14"/>
      <c r="E56" s="14"/>
      <c r="F56" s="14"/>
      <c r="G56" s="155"/>
      <c r="H56" s="14"/>
      <c r="I56" s="14"/>
    </row>
    <row r="57" spans="1:11" x14ac:dyDescent="0.2">
      <c r="A57" s="4"/>
      <c r="B57" s="4"/>
      <c r="C57" s="4"/>
      <c r="D57" s="4"/>
      <c r="E57" s="4"/>
      <c r="F57" s="4"/>
      <c r="G57" s="156"/>
      <c r="H57" s="4"/>
      <c r="I57" s="4"/>
      <c r="J57" s="4"/>
    </row>
    <row r="58" spans="1:11" x14ac:dyDescent="0.2">
      <c r="A58" s="147"/>
      <c r="B58" s="147"/>
      <c r="C58" s="147"/>
      <c r="D58" s="147"/>
      <c r="E58" s="4"/>
      <c r="F58" s="4"/>
      <c r="G58" s="156"/>
      <c r="H58" s="4"/>
      <c r="I58" s="4"/>
      <c r="J58" s="4"/>
    </row>
    <row r="59" spans="1:11" x14ac:dyDescent="0.2">
      <c r="A59" s="137" t="s">
        <v>2018</v>
      </c>
      <c r="B59" s="145"/>
      <c r="C59" s="145"/>
      <c r="D59" s="145"/>
      <c r="G59" s="154"/>
      <c r="J59" s="4"/>
    </row>
    <row r="60" spans="1:11" x14ac:dyDescent="0.2">
      <c r="A60" s="145">
        <v>1000</v>
      </c>
      <c r="B60" s="145">
        <v>4.83</v>
      </c>
      <c r="C60" s="146" t="s">
        <v>412</v>
      </c>
      <c r="D60" s="145"/>
      <c r="E60" s="553" t="s">
        <v>1434</v>
      </c>
      <c r="G60" s="154"/>
      <c r="J60" s="4"/>
    </row>
    <row r="61" spans="1:11" x14ac:dyDescent="0.2">
      <c r="A61" s="145">
        <v>0</v>
      </c>
      <c r="B61" s="403">
        <v>5.3</v>
      </c>
      <c r="C61" s="146" t="s">
        <v>413</v>
      </c>
      <c r="D61" s="145"/>
      <c r="E61" s="553" t="s">
        <v>1434</v>
      </c>
      <c r="G61" s="154"/>
      <c r="J61" s="4"/>
    </row>
    <row r="62" spans="1:11" x14ac:dyDescent="0.2">
      <c r="A62" s="143"/>
      <c r="E62" s="138" t="s">
        <v>1190</v>
      </c>
      <c r="F62" s="139"/>
      <c r="H62" s="255">
        <f>+CNG!$M$2*0.99</f>
        <v>2.1779999999999999</v>
      </c>
      <c r="I62">
        <v>0.95</v>
      </c>
      <c r="J62" s="4"/>
    </row>
    <row r="63" spans="1:11" x14ac:dyDescent="0.2">
      <c r="G63" s="154"/>
      <c r="J63" s="4"/>
    </row>
    <row r="64" spans="1:11" x14ac:dyDescent="0.2">
      <c r="A64" t="s">
        <v>1475</v>
      </c>
      <c r="C64" t="s">
        <v>1417</v>
      </c>
      <c r="D64" t="s">
        <v>1438</v>
      </c>
      <c r="H64" s="154"/>
      <c r="K64" s="4"/>
    </row>
    <row r="65" spans="1:18" x14ac:dyDescent="0.2">
      <c r="A65" s="141">
        <f>SUM(CNG!L79)</f>
        <v>0</v>
      </c>
      <c r="C65" s="140">
        <f>+A60</f>
        <v>1000</v>
      </c>
      <c r="D65" s="148">
        <f>+B60</f>
        <v>4.83</v>
      </c>
      <c r="E65" s="148"/>
      <c r="F65" s="98">
        <f>C65*D65</f>
        <v>4830</v>
      </c>
      <c r="H65" s="154"/>
      <c r="K65" s="4"/>
    </row>
    <row r="66" spans="1:18" x14ac:dyDescent="0.2">
      <c r="A66" s="141"/>
      <c r="C66" s="723">
        <f>+A61</f>
        <v>0</v>
      </c>
      <c r="D66" s="222">
        <f>+B61</f>
        <v>5.3</v>
      </c>
      <c r="E66" s="222"/>
      <c r="F66" s="98">
        <f>C66*D66</f>
        <v>0</v>
      </c>
      <c r="H66" s="154"/>
      <c r="K66" s="4"/>
    </row>
    <row r="67" spans="1:18" ht="13.5" thickBot="1" x14ac:dyDescent="0.25">
      <c r="C67" s="262">
        <f>+A65-C65-C66</f>
        <v>-1000</v>
      </c>
      <c r="D67" s="140">
        <f>H62</f>
        <v>2.1779999999999999</v>
      </c>
      <c r="E67" s="140"/>
      <c r="F67" s="189">
        <f>C67*D67</f>
        <v>-2178</v>
      </c>
      <c r="H67" s="154" t="s">
        <v>1478</v>
      </c>
      <c r="K67" s="4"/>
    </row>
    <row r="68" spans="1:18" x14ac:dyDescent="0.2">
      <c r="C68">
        <f>SUM(C65:C67)</f>
        <v>0</v>
      </c>
      <c r="F68" s="98">
        <f>SUM(F65:F67)</f>
        <v>2652</v>
      </c>
      <c r="H68" s="410" t="e">
        <f>F68/C68</f>
        <v>#DIV/0!</v>
      </c>
      <c r="K68" s="4"/>
    </row>
    <row r="69" spans="1:18" ht="13.5" thickBot="1" x14ac:dyDescent="0.25">
      <c r="A69" s="14"/>
      <c r="B69" s="14"/>
      <c r="C69" s="14"/>
      <c r="D69" s="14"/>
      <c r="E69" s="14"/>
      <c r="F69" s="14"/>
      <c r="G69" s="14"/>
      <c r="H69" s="14"/>
      <c r="I69" s="14"/>
      <c r="J69" s="14"/>
    </row>
    <row r="71" spans="1:18" x14ac:dyDescent="0.2">
      <c r="A71" s="187" t="s">
        <v>835</v>
      </c>
      <c r="B71" s="74"/>
      <c r="J71" s="4"/>
      <c r="K71" s="4"/>
      <c r="L71" s="440"/>
      <c r="M71" s="440"/>
      <c r="N71" s="4"/>
      <c r="O71" s="4"/>
      <c r="P71" s="4"/>
      <c r="Q71" s="4"/>
      <c r="R71" s="4"/>
    </row>
    <row r="72" spans="1:18" x14ac:dyDescent="0.2">
      <c r="J72" s="449"/>
      <c r="K72" s="4"/>
      <c r="L72" s="4"/>
      <c r="M72" s="4"/>
      <c r="N72" s="4"/>
      <c r="O72" s="220"/>
      <c r="P72" s="4"/>
      <c r="Q72" s="4"/>
      <c r="R72" s="4"/>
    </row>
    <row r="73" spans="1:18" x14ac:dyDescent="0.2">
      <c r="A73">
        <v>2000</v>
      </c>
      <c r="B73" s="98">
        <v>5.8</v>
      </c>
      <c r="C73" s="22" t="s">
        <v>1785</v>
      </c>
      <c r="E73" s="553"/>
      <c r="F73" s="553"/>
      <c r="J73" s="4"/>
      <c r="K73" s="4"/>
      <c r="L73" s="449"/>
      <c r="M73" s="450"/>
      <c r="N73" s="4"/>
      <c r="O73" s="220"/>
      <c r="P73" s="4"/>
      <c r="Q73" s="4"/>
      <c r="R73" s="4"/>
    </row>
    <row r="74" spans="1:18" x14ac:dyDescent="0.2">
      <c r="E74" s="253" t="s">
        <v>187</v>
      </c>
      <c r="F74" s="254"/>
      <c r="G74" s="254"/>
      <c r="H74" s="255">
        <f>+CNG!$M$2</f>
        <v>2.2000000000000002</v>
      </c>
      <c r="J74" s="4"/>
      <c r="K74" s="4"/>
      <c r="L74" s="4"/>
      <c r="M74" s="4"/>
      <c r="N74" s="4"/>
      <c r="O74" s="220"/>
      <c r="P74" s="4"/>
      <c r="Q74" s="451"/>
      <c r="R74" s="4"/>
    </row>
    <row r="75" spans="1:18" x14ac:dyDescent="0.2">
      <c r="C75" s="22"/>
    </row>
    <row r="76" spans="1:18" x14ac:dyDescent="0.2">
      <c r="A76" t="s">
        <v>186</v>
      </c>
      <c r="C76" s="22" t="s">
        <v>1417</v>
      </c>
      <c r="D76" s="22" t="s">
        <v>1406</v>
      </c>
    </row>
    <row r="77" spans="1:18" x14ac:dyDescent="0.2">
      <c r="A77" s="181">
        <f>SUM(CNG!L96:L106)</f>
        <v>0</v>
      </c>
      <c r="C77">
        <f>+A73</f>
        <v>2000</v>
      </c>
      <c r="D77">
        <f>+B73</f>
        <v>5.8</v>
      </c>
      <c r="F77" s="150">
        <f>C77*D77</f>
        <v>11600</v>
      </c>
    </row>
    <row r="78" spans="1:18" x14ac:dyDescent="0.2">
      <c r="C78" s="256">
        <f>IF(A77&gt;C77,A77-C77,0)</f>
        <v>0</v>
      </c>
      <c r="D78" s="188">
        <f>+H74</f>
        <v>2.2000000000000002</v>
      </c>
      <c r="F78" s="257">
        <f>C78*D78</f>
        <v>0</v>
      </c>
      <c r="H78" t="s">
        <v>1478</v>
      </c>
    </row>
    <row r="79" spans="1:18" x14ac:dyDescent="0.2">
      <c r="C79" s="4">
        <f>SUM(C77:C78)</f>
        <v>2000</v>
      </c>
      <c r="F79" s="150">
        <f>SUM(F77:F78)</f>
        <v>11600</v>
      </c>
      <c r="H79" s="428">
        <f>ROUND(+F79/C79,4)</f>
        <v>5.8</v>
      </c>
    </row>
    <row r="80" spans="1:18" ht="13.5" thickBot="1" x14ac:dyDescent="0.25">
      <c r="A80" s="14"/>
      <c r="B80" s="14"/>
      <c r="C80" s="14"/>
      <c r="D80" s="14"/>
      <c r="E80" s="14"/>
      <c r="F80" s="14"/>
      <c r="G80" s="14"/>
      <c r="H80" s="14"/>
      <c r="I80" s="14"/>
      <c r="J80" s="14"/>
    </row>
    <row r="81" spans="1:10" x14ac:dyDescent="0.2">
      <c r="A81" s="187" t="s">
        <v>149</v>
      </c>
    </row>
    <row r="82" spans="1:10" x14ac:dyDescent="0.2">
      <c r="F82" s="452" t="s">
        <v>1041</v>
      </c>
    </row>
    <row r="83" spans="1:10" x14ac:dyDescent="0.2">
      <c r="A83" t="s">
        <v>1512</v>
      </c>
      <c r="B83">
        <v>3.03</v>
      </c>
      <c r="C83" s="22" t="s">
        <v>188</v>
      </c>
      <c r="E83" s="253" t="s">
        <v>185</v>
      </c>
      <c r="F83" s="254"/>
      <c r="G83" s="254"/>
      <c r="H83" s="255">
        <f>+CNG!$M$2</f>
        <v>2.2000000000000002</v>
      </c>
    </row>
    <row r="85" spans="1:10" x14ac:dyDescent="0.2">
      <c r="A85" t="s">
        <v>1475</v>
      </c>
      <c r="C85" s="226" t="s">
        <v>1417</v>
      </c>
      <c r="D85" s="226" t="s">
        <v>1438</v>
      </c>
    </row>
    <row r="86" spans="1:10" x14ac:dyDescent="0.2">
      <c r="A86" s="181">
        <f>SUM(CNG!L113:L115)</f>
        <v>0</v>
      </c>
      <c r="C86">
        <v>6000</v>
      </c>
      <c r="D86">
        <v>3.03</v>
      </c>
      <c r="F86">
        <f>C86*D86</f>
        <v>18180</v>
      </c>
    </row>
    <row r="87" spans="1:10" x14ac:dyDescent="0.2">
      <c r="C87" s="256">
        <f>IF(A86&gt;C86,A86-C86,0)</f>
        <v>0</v>
      </c>
      <c r="D87" s="188">
        <f>H83</f>
        <v>2.2000000000000002</v>
      </c>
      <c r="F87" s="256">
        <f>C87*D87</f>
        <v>0</v>
      </c>
      <c r="H87" t="s">
        <v>1478</v>
      </c>
    </row>
    <row r="88" spans="1:10" x14ac:dyDescent="0.2">
      <c r="C88" s="4">
        <f>SUM(C86:C87)</f>
        <v>6000</v>
      </c>
      <c r="F88">
        <f>SUM(F86:F87)</f>
        <v>18180</v>
      </c>
      <c r="H88" s="427">
        <f>+F88/C88</f>
        <v>3.03</v>
      </c>
    </row>
    <row r="90" spans="1:10" ht="13.5" thickBot="1" x14ac:dyDescent="0.25">
      <c r="A90" s="14"/>
      <c r="B90" s="14"/>
      <c r="C90" s="14"/>
      <c r="D90" s="14"/>
      <c r="E90" s="14"/>
      <c r="F90" s="14"/>
      <c r="G90" s="14"/>
      <c r="H90" s="14"/>
      <c r="I90" s="14"/>
      <c r="J90" s="14"/>
    </row>
    <row r="92" spans="1:10" x14ac:dyDescent="0.2">
      <c r="A92" s="22" t="s">
        <v>1058</v>
      </c>
      <c r="D92" s="765" t="s">
        <v>1041</v>
      </c>
      <c r="E92" s="22"/>
    </row>
    <row r="93" spans="1:10" x14ac:dyDescent="0.2">
      <c r="C93" s="766" t="s">
        <v>994</v>
      </c>
      <c r="D93" s="750"/>
      <c r="E93" s="750"/>
      <c r="F93" s="750"/>
      <c r="G93" s="750" t="s">
        <v>996</v>
      </c>
      <c r="H93">
        <v>9000</v>
      </c>
      <c r="I93">
        <v>2.95</v>
      </c>
      <c r="J93" t="s">
        <v>997</v>
      </c>
    </row>
    <row r="94" spans="1:10" x14ac:dyDescent="0.2">
      <c r="A94">
        <v>0</v>
      </c>
      <c r="B94">
        <v>2.86</v>
      </c>
      <c r="C94" s="766" t="s">
        <v>995</v>
      </c>
      <c r="D94" s="750"/>
      <c r="E94" s="750"/>
      <c r="F94" s="750"/>
      <c r="G94" s="750" t="s">
        <v>996</v>
      </c>
      <c r="H94">
        <v>8000</v>
      </c>
      <c r="I94">
        <v>2.62</v>
      </c>
      <c r="J94" s="496" t="s">
        <v>997</v>
      </c>
    </row>
    <row r="95" spans="1:10" x14ac:dyDescent="0.2">
      <c r="A95">
        <v>0</v>
      </c>
      <c r="B95">
        <v>3.16</v>
      </c>
      <c r="C95" s="766" t="s">
        <v>1072</v>
      </c>
      <c r="D95" s="750"/>
      <c r="E95" s="750"/>
      <c r="F95" s="750"/>
      <c r="G95" s="750" t="s">
        <v>996</v>
      </c>
      <c r="H95">
        <v>11000</v>
      </c>
      <c r="I95">
        <v>3.2</v>
      </c>
      <c r="J95" t="s">
        <v>998</v>
      </c>
    </row>
    <row r="97" spans="1:11" x14ac:dyDescent="0.2">
      <c r="D97" s="253" t="s">
        <v>185</v>
      </c>
      <c r="E97" s="254"/>
      <c r="F97" s="254"/>
      <c r="G97" s="425"/>
      <c r="H97" s="255">
        <f>+CNG!$M$2</f>
        <v>2.2000000000000002</v>
      </c>
    </row>
    <row r="98" spans="1:11" x14ac:dyDescent="0.2">
      <c r="A98" t="s">
        <v>186</v>
      </c>
      <c r="C98" s="22" t="s">
        <v>1417</v>
      </c>
      <c r="D98" s="22" t="s">
        <v>1406</v>
      </c>
    </row>
    <row r="99" spans="1:11" x14ac:dyDescent="0.2">
      <c r="A99" s="181">
        <f>SUM(CNG!L137:L154)</f>
        <v>0</v>
      </c>
      <c r="C99">
        <f>+A94</f>
        <v>0</v>
      </c>
      <c r="D99">
        <f>+B94</f>
        <v>2.86</v>
      </c>
      <c r="F99" s="150">
        <f>C99*D99</f>
        <v>0</v>
      </c>
    </row>
    <row r="100" spans="1:11" x14ac:dyDescent="0.2">
      <c r="A100" s="181"/>
      <c r="C100">
        <f>+A95</f>
        <v>0</v>
      </c>
      <c r="D100">
        <f>+B95</f>
        <v>3.16</v>
      </c>
      <c r="F100" s="150">
        <f>C100*D100</f>
        <v>0</v>
      </c>
    </row>
    <row r="101" spans="1:11" x14ac:dyDescent="0.2">
      <c r="C101" s="762">
        <f>+A99-C99-C100</f>
        <v>0</v>
      </c>
      <c r="D101" s="188">
        <f>H97</f>
        <v>2.2000000000000002</v>
      </c>
      <c r="F101" s="257">
        <f>C101*D101</f>
        <v>0</v>
      </c>
      <c r="H101" t="s">
        <v>1478</v>
      </c>
    </row>
    <row r="102" spans="1:11" x14ac:dyDescent="0.2">
      <c r="C102" s="4">
        <f>SUM(C99:C101)</f>
        <v>0</v>
      </c>
      <c r="F102" s="150">
        <f>SUM(F99:F101)</f>
        <v>0</v>
      </c>
      <c r="H102" s="427" t="e">
        <f>+F102/C102</f>
        <v>#DIV/0!</v>
      </c>
    </row>
    <row r="103" spans="1:11" ht="13.5" thickBot="1" x14ac:dyDescent="0.25">
      <c r="A103" s="14"/>
      <c r="B103" s="14"/>
      <c r="C103" s="14"/>
      <c r="D103" s="14"/>
      <c r="E103" s="14"/>
      <c r="F103" s="14"/>
      <c r="G103" s="14"/>
      <c r="H103" s="14"/>
      <c r="I103" s="14"/>
      <c r="J103" s="14"/>
    </row>
    <row r="104" spans="1:11" x14ac:dyDescent="0.2">
      <c r="A104" s="4"/>
      <c r="B104" s="4"/>
      <c r="C104" s="4"/>
      <c r="D104" s="4"/>
      <c r="E104" s="4"/>
      <c r="F104" s="4"/>
      <c r="G104" s="156"/>
      <c r="H104" s="4"/>
      <c r="I104" s="4"/>
      <c r="J104" s="4"/>
    </row>
    <row r="105" spans="1:11" x14ac:dyDescent="0.2">
      <c r="A105" s="147"/>
      <c r="B105" s="147"/>
      <c r="C105" s="147"/>
      <c r="D105" s="147"/>
      <c r="E105" s="4"/>
      <c r="F105" s="4"/>
      <c r="G105" s="156"/>
      <c r="H105" s="4"/>
      <c r="I105" s="4"/>
      <c r="J105" s="4"/>
    </row>
    <row r="106" spans="1:11" x14ac:dyDescent="0.2">
      <c r="A106" s="137" t="s">
        <v>414</v>
      </c>
      <c r="B106" s="145"/>
      <c r="C106" s="145"/>
      <c r="D106" s="145"/>
      <c r="G106" s="154"/>
      <c r="J106" s="4"/>
    </row>
    <row r="107" spans="1:11" x14ac:dyDescent="0.2">
      <c r="A107" s="145">
        <v>4500</v>
      </c>
      <c r="B107" s="145">
        <v>4.83</v>
      </c>
      <c r="C107" s="146" t="s">
        <v>412</v>
      </c>
      <c r="D107" s="145"/>
      <c r="E107" s="553"/>
      <c r="G107" s="154"/>
      <c r="J107" s="4"/>
    </row>
    <row r="108" spans="1:11" x14ac:dyDescent="0.2">
      <c r="A108" s="145">
        <v>5000</v>
      </c>
      <c r="B108" s="403">
        <v>5.3</v>
      </c>
      <c r="C108" s="146" t="s">
        <v>413</v>
      </c>
      <c r="D108" s="145"/>
      <c r="E108" s="553"/>
      <c r="G108" s="154"/>
      <c r="J108" s="4"/>
    </row>
    <row r="109" spans="1:11" x14ac:dyDescent="0.2">
      <c r="A109" s="143"/>
      <c r="E109" s="138" t="s">
        <v>1190</v>
      </c>
      <c r="F109" s="139"/>
      <c r="H109" s="255">
        <f>+CNG!$M$2*0.99</f>
        <v>2.1779999999999999</v>
      </c>
      <c r="I109">
        <v>0.95</v>
      </c>
      <c r="J109" s="4">
        <v>10.53</v>
      </c>
    </row>
    <row r="110" spans="1:11" x14ac:dyDescent="0.2">
      <c r="G110" s="154"/>
      <c r="J110" s="4"/>
    </row>
    <row r="111" spans="1:11" x14ac:dyDescent="0.2">
      <c r="A111" t="s">
        <v>1475</v>
      </c>
      <c r="C111" t="s">
        <v>1417</v>
      </c>
      <c r="D111" t="s">
        <v>1438</v>
      </c>
      <c r="H111" s="154"/>
      <c r="K111" s="4"/>
    </row>
    <row r="112" spans="1:11" x14ac:dyDescent="0.2">
      <c r="A112" s="141">
        <f>SUM(CNG!L180:L191)</f>
        <v>0</v>
      </c>
      <c r="C112" s="140">
        <f>+A107</f>
        <v>4500</v>
      </c>
      <c r="D112" s="148">
        <f>+B107</f>
        <v>4.83</v>
      </c>
      <c r="E112" s="148"/>
      <c r="F112" s="98">
        <f>C112*D112</f>
        <v>21735</v>
      </c>
      <c r="H112" s="154"/>
      <c r="K112" s="4"/>
    </row>
    <row r="113" spans="1:11" x14ac:dyDescent="0.2">
      <c r="A113" s="141"/>
      <c r="C113" s="140">
        <v>4242</v>
      </c>
      <c r="D113" s="222">
        <f>+B108</f>
        <v>5.3</v>
      </c>
      <c r="E113" s="222"/>
      <c r="F113" s="98">
        <f>C113*D113</f>
        <v>22482.6</v>
      </c>
      <c r="H113" s="154"/>
      <c r="K113" s="4"/>
    </row>
    <row r="114" spans="1:11" ht="13.5" thickBot="1" x14ac:dyDescent="0.25">
      <c r="C114" s="262">
        <f>+A112-C112-C113</f>
        <v>-8742</v>
      </c>
      <c r="D114" s="140">
        <f>H109</f>
        <v>2.1779999999999999</v>
      </c>
      <c r="E114" s="140"/>
      <c r="F114" s="189">
        <f>C114*D114</f>
        <v>-19040.076000000001</v>
      </c>
      <c r="H114" s="154" t="s">
        <v>1478</v>
      </c>
      <c r="K114" s="4"/>
    </row>
    <row r="115" spans="1:11" x14ac:dyDescent="0.2">
      <c r="C115">
        <f>SUM(C112:C114)</f>
        <v>0</v>
      </c>
      <c r="F115" s="98">
        <f>SUM(F112:F114)</f>
        <v>25177.523999999998</v>
      </c>
      <c r="H115" s="410" t="e">
        <f>F115/C115</f>
        <v>#DIV/0!</v>
      </c>
      <c r="K115" s="4"/>
    </row>
    <row r="116" spans="1:11" ht="13.5" thickBot="1" x14ac:dyDescent="0.25">
      <c r="A116" s="14"/>
      <c r="B116" s="14"/>
      <c r="C116" s="14"/>
      <c r="D116" s="14"/>
      <c r="E116" s="14"/>
      <c r="F116" s="14"/>
      <c r="G116" s="155"/>
      <c r="H116" s="14"/>
      <c r="I116" s="14"/>
      <c r="J116" s="14"/>
    </row>
    <row r="118" spans="1:11" x14ac:dyDescent="0.2">
      <c r="A118" t="s">
        <v>1059</v>
      </c>
      <c r="B118" s="4"/>
      <c r="C118" s="4"/>
      <c r="D118" s="4"/>
      <c r="E118" s="4"/>
      <c r="F118" s="4"/>
      <c r="G118" s="4"/>
      <c r="H118" s="4"/>
      <c r="I118" s="4"/>
      <c r="J118" s="4"/>
    </row>
    <row r="119" spans="1:11" x14ac:dyDescent="0.2">
      <c r="C119" s="553"/>
      <c r="D119" s="553" t="s">
        <v>2208</v>
      </c>
      <c r="F119" s="74"/>
    </row>
    <row r="120" spans="1:11" x14ac:dyDescent="0.2">
      <c r="A120">
        <v>2500</v>
      </c>
      <c r="B120">
        <v>4.16</v>
      </c>
      <c r="C120" s="554" t="s">
        <v>2328</v>
      </c>
      <c r="D120" s="553"/>
      <c r="E120" s="253" t="s">
        <v>1061</v>
      </c>
      <c r="F120" s="254"/>
      <c r="G120" s="254"/>
      <c r="H120" s="255">
        <f>+CNG!$M$2*0.99</f>
        <v>2.1779999999999999</v>
      </c>
    </row>
    <row r="121" spans="1:11" x14ac:dyDescent="0.2">
      <c r="C121" s="22"/>
    </row>
    <row r="122" spans="1:11" x14ac:dyDescent="0.2">
      <c r="A122" t="s">
        <v>1475</v>
      </c>
      <c r="C122" s="226" t="s">
        <v>1417</v>
      </c>
      <c r="D122" s="226" t="s">
        <v>1438</v>
      </c>
    </row>
    <row r="123" spans="1:11" x14ac:dyDescent="0.2">
      <c r="A123" s="181">
        <f>SUM(CNG!L213:L222)</f>
        <v>0</v>
      </c>
      <c r="C123">
        <f>+A120</f>
        <v>2500</v>
      </c>
      <c r="D123">
        <f>+B120</f>
        <v>4.16</v>
      </c>
      <c r="F123" s="173">
        <f>C123*D123</f>
        <v>10400</v>
      </c>
    </row>
    <row r="124" spans="1:11" x14ac:dyDescent="0.2">
      <c r="C124" s="256">
        <f>IF(A123&gt;C123,A123-C123,0)</f>
        <v>0</v>
      </c>
      <c r="D124" s="140">
        <f>H120</f>
        <v>2.1779999999999999</v>
      </c>
      <c r="F124" s="429">
        <f>C124*D124</f>
        <v>0</v>
      </c>
      <c r="H124" t="s">
        <v>1478</v>
      </c>
    </row>
    <row r="125" spans="1:11" x14ac:dyDescent="0.2">
      <c r="C125" s="4">
        <f>SUM(C123:C124)</f>
        <v>2500</v>
      </c>
      <c r="F125" s="173">
        <f>SUM(F123:F124)</f>
        <v>10400</v>
      </c>
      <c r="H125" s="427">
        <f>+F125/C125</f>
        <v>4.16</v>
      </c>
    </row>
    <row r="126" spans="1:11" x14ac:dyDescent="0.2">
      <c r="C126" s="4"/>
      <c r="H126" s="136"/>
    </row>
    <row r="127" spans="1:11" ht="13.5" thickBot="1" x14ac:dyDescent="0.25">
      <c r="A127" s="14"/>
      <c r="B127" s="14"/>
      <c r="C127" s="14"/>
      <c r="D127" s="14"/>
      <c r="E127" s="14"/>
      <c r="F127" s="14"/>
      <c r="G127" s="14"/>
      <c r="H127" s="426"/>
      <c r="I127" s="14"/>
      <c r="J127" s="14"/>
    </row>
    <row r="128" spans="1:11" x14ac:dyDescent="0.2">
      <c r="A128" t="s">
        <v>1392</v>
      </c>
      <c r="B128" s="4"/>
      <c r="C128" s="4"/>
      <c r="D128" s="4"/>
      <c r="E128" s="4"/>
      <c r="F128" s="4"/>
      <c r="G128" s="4"/>
      <c r="H128" s="4"/>
      <c r="I128" s="4"/>
      <c r="J128" s="4"/>
    </row>
    <row r="129" spans="1:10" x14ac:dyDescent="0.2">
      <c r="E129" s="452" t="s">
        <v>1041</v>
      </c>
      <c r="J129" s="4"/>
    </row>
    <row r="130" spans="1:10" x14ac:dyDescent="0.2">
      <c r="A130" t="s">
        <v>1063</v>
      </c>
      <c r="B130">
        <v>5.9850000000000003</v>
      </c>
      <c r="C130" s="22" t="s">
        <v>1852</v>
      </c>
      <c r="E130" s="253" t="s">
        <v>1065</v>
      </c>
      <c r="F130" s="254"/>
      <c r="G130" s="254"/>
      <c r="H130" s="669">
        <f>+CNG!$M$2</f>
        <v>2.2000000000000002</v>
      </c>
      <c r="J130" s="4"/>
    </row>
    <row r="131" spans="1:10" x14ac:dyDescent="0.2">
      <c r="C131" s="22"/>
      <c r="J131" s="4"/>
    </row>
    <row r="132" spans="1:10" x14ac:dyDescent="0.2">
      <c r="A132" t="s">
        <v>1475</v>
      </c>
      <c r="C132" s="226" t="s">
        <v>1417</v>
      </c>
      <c r="D132" s="226" t="s">
        <v>1438</v>
      </c>
      <c r="J132" s="4"/>
    </row>
    <row r="133" spans="1:10" x14ac:dyDescent="0.2">
      <c r="A133" s="181">
        <f>SUM(CNG!L233:L250)</f>
        <v>0</v>
      </c>
      <c r="C133">
        <v>0</v>
      </c>
      <c r="D133">
        <v>5.9850000000000003</v>
      </c>
      <c r="F133">
        <f>C133*D133</f>
        <v>0</v>
      </c>
      <c r="J133" s="4"/>
    </row>
    <row r="134" spans="1:10" x14ac:dyDescent="0.2">
      <c r="C134" s="256">
        <f>IF(A133&gt;C133,A133-C133,0)</f>
        <v>0</v>
      </c>
      <c r="D134" s="140">
        <f>H130</f>
        <v>2.2000000000000002</v>
      </c>
      <c r="F134" s="256">
        <f>C134*D134</f>
        <v>0</v>
      </c>
      <c r="H134" t="s">
        <v>1478</v>
      </c>
      <c r="J134" s="4"/>
    </row>
    <row r="135" spans="1:10" x14ac:dyDescent="0.2">
      <c r="C135" s="4">
        <f>SUM(C133:C134)</f>
        <v>0</v>
      </c>
      <c r="F135">
        <f>SUM(F133:F134)</f>
        <v>0</v>
      </c>
      <c r="H135" s="427" t="e">
        <f>+F135/C135</f>
        <v>#DIV/0!</v>
      </c>
      <c r="J135" s="4"/>
    </row>
    <row r="136" spans="1:10" x14ac:dyDescent="0.2">
      <c r="C136" s="4"/>
      <c r="H136" s="136"/>
      <c r="J136" s="4"/>
    </row>
    <row r="137" spans="1:10" ht="13.5" thickBot="1" x14ac:dyDescent="0.25">
      <c r="A137" s="14"/>
      <c r="B137" s="14"/>
      <c r="C137" s="14"/>
      <c r="D137" s="14"/>
      <c r="E137" s="14"/>
      <c r="F137" s="14"/>
      <c r="G137" s="14"/>
      <c r="H137" s="426"/>
      <c r="I137" s="14"/>
      <c r="J137" s="4"/>
    </row>
    <row r="138" spans="1:10" x14ac:dyDescent="0.2">
      <c r="A138" s="4"/>
      <c r="B138" s="4"/>
      <c r="C138" s="4"/>
      <c r="D138" s="4"/>
      <c r="E138" s="4"/>
      <c r="F138" s="4"/>
      <c r="G138" s="4"/>
      <c r="H138" s="688"/>
      <c r="I138" s="4"/>
      <c r="J138" s="4"/>
    </row>
    <row r="139" spans="1:10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</row>
    <row r="140" spans="1:10" x14ac:dyDescent="0.2">
      <c r="A140" t="s">
        <v>1062</v>
      </c>
      <c r="B140" s="4"/>
      <c r="C140" s="4"/>
      <c r="D140" s="4"/>
      <c r="E140" s="4"/>
      <c r="F140" s="4"/>
      <c r="G140" s="4"/>
      <c r="H140" s="4"/>
      <c r="I140" s="4"/>
      <c r="J140" s="4"/>
    </row>
    <row r="141" spans="1:10" x14ac:dyDescent="0.2">
      <c r="D141" s="452" t="s">
        <v>1041</v>
      </c>
    </row>
    <row r="142" spans="1:10" x14ac:dyDescent="0.2">
      <c r="A142" t="s">
        <v>1063</v>
      </c>
      <c r="B142">
        <v>3.16</v>
      </c>
      <c r="C142" s="766" t="s">
        <v>1064</v>
      </c>
      <c r="D142" s="750"/>
      <c r="E142" s="253" t="s">
        <v>1065</v>
      </c>
      <c r="F142" s="254"/>
      <c r="G142" s="254"/>
      <c r="H142" s="669">
        <f>+CNG!$M$2</f>
        <v>2.2000000000000002</v>
      </c>
    </row>
    <row r="143" spans="1:10" x14ac:dyDescent="0.2">
      <c r="C143" s="22"/>
    </row>
    <row r="144" spans="1:10" x14ac:dyDescent="0.2">
      <c r="A144" t="s">
        <v>1475</v>
      </c>
      <c r="C144" s="226" t="s">
        <v>1417</v>
      </c>
      <c r="D144" s="226" t="s">
        <v>1438</v>
      </c>
    </row>
    <row r="145" spans="1:12" x14ac:dyDescent="0.2">
      <c r="A145" s="181">
        <f>SUM(CNG!L265:L269)</f>
        <v>0</v>
      </c>
      <c r="C145">
        <v>0</v>
      </c>
      <c r="D145">
        <v>3.16</v>
      </c>
      <c r="F145">
        <f>C145*D145</f>
        <v>0</v>
      </c>
    </row>
    <row r="146" spans="1:12" x14ac:dyDescent="0.2">
      <c r="C146" s="256">
        <f>IF(A145&gt;C145,A145-C145,0)</f>
        <v>0</v>
      </c>
      <c r="D146" s="140">
        <f>H142</f>
        <v>2.2000000000000002</v>
      </c>
      <c r="F146" s="256">
        <f>C146*D146</f>
        <v>0</v>
      </c>
      <c r="H146" t="s">
        <v>1478</v>
      </c>
    </row>
    <row r="147" spans="1:12" x14ac:dyDescent="0.2">
      <c r="C147" s="4">
        <f>SUM(C145:C146)</f>
        <v>0</v>
      </c>
      <c r="F147">
        <f>SUM(F145:F146)</f>
        <v>0</v>
      </c>
      <c r="H147" s="427" t="e">
        <f>+F147/C147</f>
        <v>#DIV/0!</v>
      </c>
    </row>
    <row r="148" spans="1:12" x14ac:dyDescent="0.2">
      <c r="C148" s="4"/>
      <c r="H148" s="136"/>
    </row>
    <row r="149" spans="1:12" ht="13.5" thickBot="1" x14ac:dyDescent="0.25">
      <c r="A149" s="14"/>
      <c r="B149" s="14"/>
      <c r="C149" s="14"/>
      <c r="D149" s="14"/>
      <c r="E149" s="14"/>
      <c r="F149" s="14"/>
      <c r="G149" s="14"/>
      <c r="H149" s="426"/>
      <c r="I149" s="14"/>
      <c r="J149" s="14"/>
    </row>
    <row r="150" spans="1:12" x14ac:dyDescent="0.2">
      <c r="J150" s="4"/>
    </row>
    <row r="151" spans="1:12" x14ac:dyDescent="0.2">
      <c r="A151" s="172" t="s">
        <v>828</v>
      </c>
      <c r="B151" s="409"/>
      <c r="C151" s="908" t="s">
        <v>2002</v>
      </c>
      <c r="D151" s="409"/>
      <c r="E151" s="4"/>
      <c r="F151" s="4"/>
      <c r="G151" s="4"/>
      <c r="H151" s="4"/>
      <c r="I151" s="4"/>
    </row>
    <row r="152" spans="1:12" x14ac:dyDescent="0.2">
      <c r="J152" s="494" t="s">
        <v>194</v>
      </c>
    </row>
    <row r="153" spans="1:12" x14ac:dyDescent="0.2">
      <c r="A153" t="s">
        <v>1063</v>
      </c>
      <c r="B153">
        <v>5.05</v>
      </c>
      <c r="C153" s="22" t="s">
        <v>192</v>
      </c>
      <c r="E153" s="253" t="s">
        <v>193</v>
      </c>
      <c r="F153" s="254"/>
      <c r="G153" s="254"/>
      <c r="H153" s="255">
        <f>+CNG!$M$2</f>
        <v>2.2000000000000002</v>
      </c>
      <c r="J153" s="494">
        <v>2.86</v>
      </c>
      <c r="K153" s="592" t="s">
        <v>1066</v>
      </c>
      <c r="L153" s="494"/>
    </row>
    <row r="154" spans="1:12" x14ac:dyDescent="0.2">
      <c r="C154" s="22"/>
    </row>
    <row r="155" spans="1:12" x14ac:dyDescent="0.2">
      <c r="A155" t="s">
        <v>1475</v>
      </c>
      <c r="C155" s="226" t="s">
        <v>1417</v>
      </c>
      <c r="D155" s="226" t="s">
        <v>1438</v>
      </c>
    </row>
    <row r="156" spans="1:12" x14ac:dyDescent="0.2">
      <c r="A156" s="181">
        <f>SUM(CNG!L270:L276)</f>
        <v>0</v>
      </c>
      <c r="C156">
        <v>0</v>
      </c>
      <c r="D156">
        <f>+B153</f>
        <v>5.05</v>
      </c>
      <c r="F156" s="98">
        <f>C156*D156</f>
        <v>0</v>
      </c>
    </row>
    <row r="157" spans="1:12" x14ac:dyDescent="0.2">
      <c r="C157" s="256">
        <f>IF(A156&gt;C156,A156-C156,0)</f>
        <v>0</v>
      </c>
      <c r="D157" s="140">
        <f>H153</f>
        <v>2.2000000000000002</v>
      </c>
      <c r="F157" s="256">
        <f>C157*D157</f>
        <v>0</v>
      </c>
      <c r="H157" t="s">
        <v>1478</v>
      </c>
    </row>
    <row r="158" spans="1:12" x14ac:dyDescent="0.2">
      <c r="C158" s="4">
        <f>SUM(C156:C157)</f>
        <v>0</v>
      </c>
      <c r="F158">
        <f>SUM(F156:F157)</f>
        <v>0</v>
      </c>
      <c r="H158" s="136" t="e">
        <f>+F158/C158</f>
        <v>#DIV/0!</v>
      </c>
    </row>
    <row r="159" spans="1:12" x14ac:dyDescent="0.2">
      <c r="C159" s="4"/>
      <c r="H159" s="136"/>
    </row>
    <row r="160" spans="1:12" ht="13.5" thickBot="1" x14ac:dyDescent="0.25">
      <c r="A160" s="14"/>
      <c r="B160" s="14"/>
      <c r="C160" s="14"/>
      <c r="D160" s="14"/>
      <c r="E160" s="14"/>
      <c r="F160" s="14"/>
      <c r="G160" s="14"/>
      <c r="H160" s="14"/>
      <c r="I160" s="14"/>
      <c r="J160" s="14"/>
    </row>
    <row r="161" spans="1:10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</row>
    <row r="162" spans="1:10" x14ac:dyDescent="0.2">
      <c r="A162" s="4" t="s">
        <v>203</v>
      </c>
      <c r="B162" s="4"/>
      <c r="C162" s="4"/>
      <c r="D162" s="4"/>
      <c r="E162" s="4"/>
      <c r="F162" s="4"/>
      <c r="G162" s="4"/>
      <c r="H162" s="4"/>
      <c r="I162" s="4"/>
      <c r="J162" s="4"/>
    </row>
    <row r="163" spans="1:10" x14ac:dyDescent="0.2">
      <c r="A163" s="4"/>
      <c r="B163" s="4"/>
      <c r="C163" s="729" t="s">
        <v>1041</v>
      </c>
      <c r="D163" s="4"/>
      <c r="E163" s="4"/>
      <c r="F163" s="4"/>
      <c r="G163" s="4"/>
      <c r="H163" s="4"/>
      <c r="I163" s="4"/>
      <c r="J163" s="4"/>
    </row>
    <row r="164" spans="1:10" x14ac:dyDescent="0.2">
      <c r="A164" s="4">
        <v>0</v>
      </c>
      <c r="B164" s="4">
        <v>3.16</v>
      </c>
      <c r="C164" s="22" t="s">
        <v>204</v>
      </c>
      <c r="D164" s="4"/>
      <c r="E164" s="253" t="s">
        <v>185</v>
      </c>
      <c r="F164" s="254"/>
      <c r="G164" s="254"/>
      <c r="H164" s="255">
        <f>+CNG!$M$2</f>
        <v>2.2000000000000002</v>
      </c>
      <c r="I164" s="4"/>
      <c r="J164" s="4"/>
    </row>
    <row r="165" spans="1:10" x14ac:dyDescent="0.2">
      <c r="A165" s="4"/>
      <c r="B165" s="4"/>
      <c r="C165" s="22"/>
      <c r="D165" s="4"/>
      <c r="E165" s="4"/>
      <c r="F165" s="4"/>
      <c r="G165" s="4"/>
      <c r="H165" s="4"/>
      <c r="I165" s="4"/>
      <c r="J165" s="4"/>
    </row>
    <row r="166" spans="1:10" x14ac:dyDescent="0.2">
      <c r="A166" t="s">
        <v>1475</v>
      </c>
      <c r="C166" s="226" t="s">
        <v>1417</v>
      </c>
      <c r="D166" s="226" t="s">
        <v>1438</v>
      </c>
      <c r="I166" s="4"/>
      <c r="J166" s="4"/>
    </row>
    <row r="167" spans="1:10" x14ac:dyDescent="0.2">
      <c r="A167" s="181">
        <f>SUM(CNG!L277:L279)</f>
        <v>0</v>
      </c>
      <c r="C167">
        <f>+A164</f>
        <v>0</v>
      </c>
      <c r="D167">
        <f>+B164</f>
        <v>3.16</v>
      </c>
      <c r="F167" s="98">
        <f>C167*D167</f>
        <v>0</v>
      </c>
      <c r="I167" s="4"/>
      <c r="J167" s="4"/>
    </row>
    <row r="168" spans="1:10" x14ac:dyDescent="0.2">
      <c r="C168" s="256">
        <f>IF(A167&gt;C167,A167-C167,0)</f>
        <v>0</v>
      </c>
      <c r="D168" s="140">
        <f>H164</f>
        <v>2.2000000000000002</v>
      </c>
      <c r="F168" s="443">
        <f>C168*D168</f>
        <v>0</v>
      </c>
      <c r="H168" t="s">
        <v>1478</v>
      </c>
      <c r="I168" s="4"/>
      <c r="J168" s="4"/>
    </row>
    <row r="169" spans="1:10" x14ac:dyDescent="0.2">
      <c r="C169" s="4">
        <f>SUM(C167:C168)</f>
        <v>0</v>
      </c>
      <c r="F169" s="98">
        <f>SUM(F167:F168)</f>
        <v>0</v>
      </c>
      <c r="H169" s="427" t="e">
        <f>+F169/C169</f>
        <v>#DIV/0!</v>
      </c>
      <c r="I169" s="4"/>
      <c r="J169" s="4"/>
    </row>
    <row r="170" spans="1:10" ht="13.5" thickBot="1" x14ac:dyDescent="0.25">
      <c r="A170" s="14"/>
      <c r="B170" s="14"/>
      <c r="C170" s="14"/>
      <c r="D170" s="14"/>
      <c r="E170" s="14"/>
      <c r="F170" s="14"/>
      <c r="G170" s="14"/>
      <c r="H170" s="14"/>
      <c r="I170" s="14"/>
      <c r="J170" s="14"/>
    </row>
    <row r="171" spans="1:10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</row>
    <row r="172" spans="1:10" x14ac:dyDescent="0.2">
      <c r="A172" s="4" t="s">
        <v>808</v>
      </c>
      <c r="C172" s="729" t="s">
        <v>1041</v>
      </c>
      <c r="D172" s="4"/>
      <c r="E172" s="4"/>
      <c r="F172" s="4"/>
      <c r="G172" s="4"/>
      <c r="H172" s="4"/>
      <c r="I172" s="4"/>
      <c r="J172" s="4"/>
    </row>
    <row r="173" spans="1:10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</row>
    <row r="174" spans="1:10" x14ac:dyDescent="0.2">
      <c r="A174" s="4" t="s">
        <v>809</v>
      </c>
      <c r="B174" s="4">
        <v>3.01</v>
      </c>
      <c r="C174" s="22" t="s">
        <v>1060</v>
      </c>
      <c r="D174" s="4"/>
      <c r="E174" s="253" t="s">
        <v>185</v>
      </c>
      <c r="F174" s="254"/>
      <c r="G174" s="254"/>
      <c r="H174" s="255">
        <f>+CNG!$M$2*0.99</f>
        <v>2.1779999999999999</v>
      </c>
      <c r="I174" s="4"/>
      <c r="J174" s="4"/>
    </row>
    <row r="175" spans="1:10" x14ac:dyDescent="0.2">
      <c r="A175" s="4"/>
      <c r="B175" s="4"/>
      <c r="C175" s="22"/>
      <c r="D175" s="4"/>
      <c r="E175" s="4"/>
      <c r="F175" s="4"/>
      <c r="G175" s="4"/>
      <c r="H175" s="4"/>
      <c r="I175" s="4"/>
      <c r="J175" s="4"/>
    </row>
    <row r="176" spans="1:10" x14ac:dyDescent="0.2">
      <c r="A176" t="s">
        <v>1475</v>
      </c>
      <c r="C176" s="226" t="s">
        <v>1417</v>
      </c>
      <c r="D176" s="226" t="s">
        <v>1438</v>
      </c>
      <c r="I176" s="4"/>
      <c r="J176" s="4"/>
    </row>
    <row r="177" spans="1:10" x14ac:dyDescent="0.2">
      <c r="A177" s="181">
        <f>SUM(CNG!L203:L206)</f>
        <v>0</v>
      </c>
      <c r="C177">
        <v>10000</v>
      </c>
      <c r="D177">
        <f>+B174</f>
        <v>3.01</v>
      </c>
      <c r="F177" s="98">
        <f>C177*D177</f>
        <v>30099.999999999996</v>
      </c>
      <c r="I177" s="4"/>
      <c r="J177" s="4"/>
    </row>
    <row r="178" spans="1:10" x14ac:dyDescent="0.2">
      <c r="C178" s="256">
        <f>IF(A177&gt;C177,A177-C177,0)</f>
        <v>0</v>
      </c>
      <c r="D178" s="140">
        <f>H174</f>
        <v>2.1779999999999999</v>
      </c>
      <c r="F178" s="443">
        <f>C178*D178</f>
        <v>0</v>
      </c>
      <c r="H178" t="s">
        <v>1478</v>
      </c>
      <c r="I178" s="4"/>
      <c r="J178" s="4"/>
    </row>
    <row r="179" spans="1:10" x14ac:dyDescent="0.2">
      <c r="C179" s="4">
        <f>SUM(C177:C178)</f>
        <v>10000</v>
      </c>
      <c r="F179" s="98">
        <f>SUM(F177:F178)</f>
        <v>30099.999999999996</v>
      </c>
      <c r="H179" s="136">
        <f>+F179/C179</f>
        <v>3.01</v>
      </c>
      <c r="I179" s="4"/>
      <c r="J179" s="4"/>
    </row>
    <row r="180" spans="1:10" ht="13.5" thickBot="1" x14ac:dyDescent="0.25">
      <c r="A180" s="14"/>
      <c r="B180" s="14"/>
      <c r="C180" s="14"/>
      <c r="D180" s="14"/>
      <c r="E180" s="14"/>
      <c r="F180" s="14"/>
      <c r="G180" s="14"/>
      <c r="H180" s="14"/>
      <c r="I180" s="14"/>
      <c r="J180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T52"/>
  <sheetViews>
    <sheetView topLeftCell="D25" workbookViewId="0">
      <selection activeCell="J27" sqref="J27:J32"/>
    </sheetView>
  </sheetViews>
  <sheetFormatPr defaultRowHeight="12.75" x14ac:dyDescent="0.2"/>
  <cols>
    <col min="1" max="1" width="10.28515625" customWidth="1"/>
    <col min="3" max="3" width="7" bestFit="1" customWidth="1"/>
    <col min="4" max="4" width="25.28515625" bestFit="1" customWidth="1"/>
    <col min="5" max="5" width="5" customWidth="1"/>
    <col min="6" max="6" width="8.85546875" customWidth="1"/>
    <col min="8" max="8" width="12.5703125" customWidth="1"/>
    <col min="9" max="10" width="7.5703125" customWidth="1"/>
    <col min="11" max="11" width="8.7109375" bestFit="1" customWidth="1"/>
    <col min="12" max="12" width="7" customWidth="1"/>
    <col min="13" max="13" width="8.140625" customWidth="1"/>
    <col min="14" max="14" width="10.140625" customWidth="1"/>
  </cols>
  <sheetData>
    <row r="1" spans="1:46" s="231" customFormat="1" ht="15" customHeight="1" x14ac:dyDescent="0.2">
      <c r="A1" s="230" t="s">
        <v>1384</v>
      </c>
      <c r="B1" s="234"/>
      <c r="C1" s="234"/>
      <c r="F1" s="233"/>
      <c r="H1" s="234"/>
      <c r="I1" s="235"/>
      <c r="J1" s="492">
        <f>+cgas!J6</f>
        <v>37258</v>
      </c>
      <c r="K1" s="237" t="s">
        <v>201</v>
      </c>
      <c r="L1" s="235" t="s">
        <v>202</v>
      </c>
      <c r="M1" s="238"/>
      <c r="N1" s="239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</row>
    <row r="2" spans="1:46" s="231" customFormat="1" ht="15" customHeight="1" x14ac:dyDescent="0.2">
      <c r="A2" s="240"/>
      <c r="B2" s="234"/>
      <c r="C2" s="234"/>
      <c r="F2" s="233"/>
      <c r="H2" s="234"/>
      <c r="I2" s="235"/>
      <c r="J2" s="235" t="s">
        <v>1428</v>
      </c>
      <c r="K2" s="241">
        <f>+cgas!J5</f>
        <v>2.14</v>
      </c>
      <c r="L2" s="464">
        <f>+CNG!M2</f>
        <v>2.2000000000000002</v>
      </c>
      <c r="M2" s="238"/>
      <c r="N2" s="239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</row>
    <row r="3" spans="1:46" s="231" customFormat="1" ht="15" customHeight="1" x14ac:dyDescent="0.2">
      <c r="B3" s="234"/>
      <c r="C3" s="234"/>
      <c r="F3" s="233"/>
      <c r="H3" s="234"/>
      <c r="I3" s="235"/>
      <c r="J3" s="235" t="s">
        <v>1404</v>
      </c>
      <c r="K3" s="241">
        <f>+cgas!J4</f>
        <v>2.11</v>
      </c>
      <c r="L3" s="464">
        <f>+CNG!M3</f>
        <v>2.16</v>
      </c>
      <c r="M3" s="238"/>
      <c r="N3" s="239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s="231" customFormat="1" ht="15" customHeight="1" x14ac:dyDescent="0.2">
      <c r="A4" s="242" t="s">
        <v>16</v>
      </c>
      <c r="B4" s="242" t="s">
        <v>1431</v>
      </c>
      <c r="C4" s="242" t="s">
        <v>162</v>
      </c>
      <c r="D4" s="243" t="s">
        <v>19</v>
      </c>
      <c r="E4" s="243" t="s">
        <v>19</v>
      </c>
      <c r="F4" s="242" t="s">
        <v>161</v>
      </c>
      <c r="G4" s="242" t="s">
        <v>1433</v>
      </c>
      <c r="H4" s="242" t="s">
        <v>163</v>
      </c>
      <c r="I4" s="235" t="s">
        <v>1416</v>
      </c>
      <c r="J4" s="235" t="s">
        <v>164</v>
      </c>
      <c r="K4" s="237" t="s">
        <v>165</v>
      </c>
      <c r="L4" s="235" t="s">
        <v>166</v>
      </c>
      <c r="M4" s="238" t="s">
        <v>1406</v>
      </c>
      <c r="N4" s="239" t="s">
        <v>167</v>
      </c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</row>
    <row r="5" spans="1:46" ht="15" customHeight="1" x14ac:dyDescent="0.2">
      <c r="A5" s="1" t="s">
        <v>189</v>
      </c>
      <c r="B5" s="224">
        <v>22028</v>
      </c>
      <c r="C5" s="224">
        <v>73218</v>
      </c>
      <c r="D5" s="6" t="s">
        <v>25</v>
      </c>
      <c r="E5" s="6" t="s">
        <v>25</v>
      </c>
      <c r="F5" s="9">
        <v>220864</v>
      </c>
      <c r="G5" s="224">
        <v>22028</v>
      </c>
      <c r="H5" s="252" t="s">
        <v>1927</v>
      </c>
      <c r="I5" s="245"/>
      <c r="J5" s="245">
        <v>281</v>
      </c>
      <c r="K5" s="259">
        <f>+K$2</f>
        <v>2.14</v>
      </c>
      <c r="L5" s="266">
        <v>0.3</v>
      </c>
      <c r="M5" s="247">
        <f t="shared" ref="M5:M12" si="0">K5-L5</f>
        <v>1.84</v>
      </c>
      <c r="N5" s="248">
        <f t="shared" ref="N5:N12" si="1">J5*M5</f>
        <v>517.04000000000008</v>
      </c>
    </row>
    <row r="6" spans="1:46" ht="15" customHeight="1" x14ac:dyDescent="0.2">
      <c r="A6" s="1" t="s">
        <v>189</v>
      </c>
      <c r="B6" s="224">
        <v>22049</v>
      </c>
      <c r="C6" s="224">
        <v>73218</v>
      </c>
      <c r="D6" s="6" t="s">
        <v>25</v>
      </c>
      <c r="E6" s="6" t="s">
        <v>25</v>
      </c>
      <c r="F6" s="9">
        <v>220864</v>
      </c>
      <c r="G6" s="224">
        <v>22049</v>
      </c>
      <c r="H6" s="252" t="s">
        <v>1927</v>
      </c>
      <c r="I6" s="245"/>
      <c r="J6" s="245">
        <v>322</v>
      </c>
      <c r="K6" s="259">
        <f t="shared" ref="K6:K12" si="2">+K$2</f>
        <v>2.14</v>
      </c>
      <c r="L6" s="266">
        <v>0.3</v>
      </c>
      <c r="M6" s="247">
        <f t="shared" si="0"/>
        <v>1.84</v>
      </c>
      <c r="N6" s="248">
        <f t="shared" si="1"/>
        <v>592.48</v>
      </c>
    </row>
    <row r="7" spans="1:46" ht="15" customHeight="1" x14ac:dyDescent="0.2">
      <c r="A7" s="1" t="s">
        <v>189</v>
      </c>
      <c r="B7" s="224">
        <v>22128</v>
      </c>
      <c r="C7" s="224">
        <v>73218</v>
      </c>
      <c r="D7" s="6" t="s">
        <v>25</v>
      </c>
      <c r="E7" s="6" t="s">
        <v>25</v>
      </c>
      <c r="F7" s="9">
        <v>220864</v>
      </c>
      <c r="G7" s="224">
        <v>22128</v>
      </c>
      <c r="H7" s="252" t="s">
        <v>1927</v>
      </c>
      <c r="I7" s="245"/>
      <c r="J7" s="245">
        <v>74</v>
      </c>
      <c r="K7" s="259">
        <f t="shared" si="2"/>
        <v>2.14</v>
      </c>
      <c r="L7" s="266">
        <v>0.3</v>
      </c>
      <c r="M7" s="247">
        <f t="shared" si="0"/>
        <v>1.84</v>
      </c>
      <c r="N7" s="248">
        <f t="shared" si="1"/>
        <v>136.16</v>
      </c>
    </row>
    <row r="8" spans="1:46" ht="15" customHeight="1" x14ac:dyDescent="0.2">
      <c r="A8" s="1" t="s">
        <v>189</v>
      </c>
      <c r="B8" s="224">
        <v>22299</v>
      </c>
      <c r="C8" s="224">
        <v>73218</v>
      </c>
      <c r="D8" s="6" t="s">
        <v>25</v>
      </c>
      <c r="E8" s="6" t="s">
        <v>25</v>
      </c>
      <c r="F8" s="9">
        <v>220864</v>
      </c>
      <c r="G8" s="224">
        <v>22299</v>
      </c>
      <c r="H8" s="252" t="s">
        <v>1927</v>
      </c>
      <c r="I8" s="245"/>
      <c r="J8" s="245">
        <v>590</v>
      </c>
      <c r="K8" s="259">
        <f t="shared" si="2"/>
        <v>2.14</v>
      </c>
      <c r="L8" s="266">
        <v>0.3</v>
      </c>
      <c r="M8" s="247">
        <f t="shared" si="0"/>
        <v>1.84</v>
      </c>
      <c r="N8" s="248">
        <f t="shared" si="1"/>
        <v>1085.6000000000001</v>
      </c>
    </row>
    <row r="9" spans="1:46" ht="15" customHeight="1" x14ac:dyDescent="0.2">
      <c r="A9" s="1" t="s">
        <v>189</v>
      </c>
      <c r="B9" s="224">
        <v>22575</v>
      </c>
      <c r="C9" s="224">
        <v>73218</v>
      </c>
      <c r="D9" s="6" t="s">
        <v>25</v>
      </c>
      <c r="E9" s="6" t="s">
        <v>25</v>
      </c>
      <c r="F9" s="9">
        <v>220864</v>
      </c>
      <c r="G9" s="224">
        <v>22575</v>
      </c>
      <c r="H9" s="252" t="s">
        <v>1927</v>
      </c>
      <c r="I9" s="245"/>
      <c r="J9" s="245">
        <v>1239</v>
      </c>
      <c r="K9" s="259">
        <f t="shared" si="2"/>
        <v>2.14</v>
      </c>
      <c r="L9" s="266">
        <v>0.3</v>
      </c>
      <c r="M9" s="247">
        <f t="shared" si="0"/>
        <v>1.84</v>
      </c>
      <c r="N9" s="248">
        <f t="shared" si="1"/>
        <v>2279.7600000000002</v>
      </c>
    </row>
    <row r="10" spans="1:46" ht="15" customHeight="1" x14ac:dyDescent="0.2">
      <c r="A10" s="1" t="s">
        <v>189</v>
      </c>
      <c r="B10" s="224">
        <v>21620110</v>
      </c>
      <c r="C10" s="224">
        <v>73218</v>
      </c>
      <c r="D10" s="6" t="s">
        <v>25</v>
      </c>
      <c r="E10" s="6" t="s">
        <v>25</v>
      </c>
      <c r="F10" s="9">
        <v>220864</v>
      </c>
      <c r="G10" s="224">
        <v>21620110</v>
      </c>
      <c r="H10" s="252" t="s">
        <v>1927</v>
      </c>
      <c r="I10" s="245"/>
      <c r="J10" s="245">
        <v>291</v>
      </c>
      <c r="K10" s="259">
        <f t="shared" si="2"/>
        <v>2.14</v>
      </c>
      <c r="L10" s="266">
        <v>0.3</v>
      </c>
      <c r="M10" s="247">
        <f t="shared" si="0"/>
        <v>1.84</v>
      </c>
      <c r="N10" s="248">
        <f t="shared" si="1"/>
        <v>535.44000000000005</v>
      </c>
    </row>
    <row r="11" spans="1:46" ht="15" customHeight="1" x14ac:dyDescent="0.2">
      <c r="A11" s="1" t="s">
        <v>189</v>
      </c>
      <c r="B11" s="224">
        <v>21720103</v>
      </c>
      <c r="C11" s="224">
        <v>73218</v>
      </c>
      <c r="D11" s="6" t="s">
        <v>25</v>
      </c>
      <c r="E11" s="6" t="s">
        <v>25</v>
      </c>
      <c r="F11" s="9">
        <v>220864</v>
      </c>
      <c r="G11" s="224">
        <v>21720103</v>
      </c>
      <c r="H11" s="252" t="s">
        <v>1927</v>
      </c>
      <c r="I11" s="245"/>
      <c r="J11" s="245">
        <v>95</v>
      </c>
      <c r="K11" s="259">
        <f t="shared" si="2"/>
        <v>2.14</v>
      </c>
      <c r="L11" s="266">
        <v>0.3</v>
      </c>
      <c r="M11" s="247">
        <f t="shared" si="0"/>
        <v>1.84</v>
      </c>
      <c r="N11" s="248">
        <f t="shared" si="1"/>
        <v>174.8</v>
      </c>
    </row>
    <row r="12" spans="1:46" ht="15" customHeight="1" x14ac:dyDescent="0.2">
      <c r="A12" s="1" t="s">
        <v>189</v>
      </c>
      <c r="B12" s="224">
        <v>23150101</v>
      </c>
      <c r="C12" s="224">
        <v>73218</v>
      </c>
      <c r="D12" s="6" t="s">
        <v>25</v>
      </c>
      <c r="E12" s="6" t="s">
        <v>25</v>
      </c>
      <c r="F12" s="9">
        <v>220864</v>
      </c>
      <c r="G12" s="224">
        <v>23150101</v>
      </c>
      <c r="H12" s="252" t="s">
        <v>1927</v>
      </c>
      <c r="I12" s="245"/>
      <c r="J12" s="245">
        <v>402</v>
      </c>
      <c r="K12" s="259">
        <f t="shared" si="2"/>
        <v>2.14</v>
      </c>
      <c r="L12" s="266">
        <v>0.3</v>
      </c>
      <c r="M12" s="247">
        <f t="shared" si="0"/>
        <v>1.84</v>
      </c>
      <c r="N12" s="248">
        <f t="shared" si="1"/>
        <v>739.68000000000006</v>
      </c>
    </row>
    <row r="13" spans="1:46" ht="15" customHeight="1" x14ac:dyDescent="0.2">
      <c r="A13" s="1"/>
      <c r="B13" s="9"/>
      <c r="C13" s="224"/>
      <c r="D13" s="6"/>
      <c r="E13" s="6"/>
      <c r="F13" s="224"/>
      <c r="G13" s="9"/>
      <c r="H13" s="9"/>
      <c r="I13" s="245"/>
      <c r="J13" s="245"/>
      <c r="K13" s="259"/>
      <c r="L13" s="6"/>
      <c r="M13" s="247"/>
      <c r="N13" s="248"/>
    </row>
    <row r="14" spans="1:46" s="149" customFormat="1" ht="15" customHeight="1" x14ac:dyDescent="0.2">
      <c r="A14" s="6" t="s">
        <v>189</v>
      </c>
      <c r="B14" s="9">
        <v>11445</v>
      </c>
      <c r="C14" s="9"/>
      <c r="D14" s="6" t="s">
        <v>628</v>
      </c>
      <c r="E14" s="6"/>
      <c r="F14" s="9">
        <v>141182</v>
      </c>
      <c r="G14" s="9">
        <v>11445</v>
      </c>
      <c r="H14" s="252" t="s">
        <v>1527</v>
      </c>
      <c r="I14" s="245"/>
      <c r="J14" s="245">
        <v>0</v>
      </c>
      <c r="K14" s="259">
        <f>+$K$2-0.01</f>
        <v>2.1300000000000003</v>
      </c>
      <c r="L14" s="6">
        <v>0.12280000000000001</v>
      </c>
      <c r="M14" s="260">
        <f>K14-L14</f>
        <v>2.0072000000000005</v>
      </c>
      <c r="N14" s="261">
        <f>J14*M14</f>
        <v>0</v>
      </c>
    </row>
    <row r="15" spans="1:46" s="149" customFormat="1" ht="15" customHeight="1" x14ac:dyDescent="0.2">
      <c r="A15" s="6"/>
      <c r="B15" s="9"/>
      <c r="C15" s="9"/>
      <c r="D15" s="6"/>
      <c r="E15" s="6"/>
      <c r="F15" s="9"/>
      <c r="G15" s="9"/>
      <c r="H15" s="9"/>
      <c r="I15" s="245"/>
      <c r="J15" s="245"/>
      <c r="K15" s="259"/>
      <c r="L15" s="6"/>
      <c r="M15" s="260"/>
      <c r="N15" s="261"/>
    </row>
    <row r="16" spans="1:46" ht="15" customHeight="1" x14ac:dyDescent="0.2">
      <c r="A16" s="6" t="s">
        <v>189</v>
      </c>
      <c r="B16" s="9">
        <v>23420</v>
      </c>
      <c r="C16" s="224"/>
      <c r="D16" s="16" t="s">
        <v>1393</v>
      </c>
      <c r="E16" s="6"/>
      <c r="F16" s="224">
        <v>170370</v>
      </c>
      <c r="G16" s="9">
        <v>23420</v>
      </c>
      <c r="H16" s="252" t="s">
        <v>1689</v>
      </c>
      <c r="I16" s="245"/>
      <c r="J16" s="245">
        <v>2400</v>
      </c>
      <c r="K16" s="259">
        <f>+$K$2+0.03</f>
        <v>2.17</v>
      </c>
      <c r="L16" s="266">
        <v>0.3</v>
      </c>
      <c r="M16" s="260">
        <f>K16-L16</f>
        <v>1.8699999999999999</v>
      </c>
      <c r="N16" s="261">
        <f>J16*M16</f>
        <v>4488</v>
      </c>
    </row>
    <row r="17" spans="1:16" ht="15" customHeight="1" x14ac:dyDescent="0.2">
      <c r="A17" s="6"/>
      <c r="B17" s="9"/>
      <c r="C17" s="224"/>
      <c r="D17" s="6"/>
      <c r="E17" s="6"/>
      <c r="F17" s="224"/>
      <c r="G17" s="9"/>
      <c r="H17" s="9"/>
      <c r="I17" s="245"/>
      <c r="J17" s="245"/>
      <c r="K17" s="259"/>
      <c r="L17" s="266"/>
      <c r="M17" s="260"/>
      <c r="N17" s="261"/>
    </row>
    <row r="18" spans="1:16" ht="15" customHeight="1" x14ac:dyDescent="0.2">
      <c r="A18" s="6" t="s">
        <v>189</v>
      </c>
      <c r="B18" s="9">
        <v>23234</v>
      </c>
      <c r="C18" s="224"/>
      <c r="D18" s="6" t="s">
        <v>631</v>
      </c>
      <c r="E18" s="6"/>
      <c r="F18" s="224">
        <v>170370</v>
      </c>
      <c r="G18" s="9">
        <v>23234</v>
      </c>
      <c r="H18" s="252" t="s">
        <v>168</v>
      </c>
      <c r="I18" s="245"/>
      <c r="J18" s="245">
        <v>500</v>
      </c>
      <c r="K18" s="259">
        <f>+$K$2</f>
        <v>2.14</v>
      </c>
      <c r="L18" s="266">
        <v>0.3</v>
      </c>
      <c r="M18" s="260">
        <f>K18-L18</f>
        <v>1.84</v>
      </c>
      <c r="N18" s="261">
        <f>J18*M18</f>
        <v>920</v>
      </c>
    </row>
    <row r="19" spans="1:16" ht="15" customHeight="1" x14ac:dyDescent="0.2">
      <c r="A19" s="6" t="s">
        <v>189</v>
      </c>
      <c r="B19" s="9">
        <v>23478</v>
      </c>
      <c r="C19" s="224"/>
      <c r="D19" s="6" t="s">
        <v>631</v>
      </c>
      <c r="E19" s="6"/>
      <c r="F19" s="224">
        <v>170370</v>
      </c>
      <c r="G19" s="9">
        <v>23478</v>
      </c>
      <c r="H19" s="252" t="s">
        <v>168</v>
      </c>
      <c r="I19" s="245"/>
      <c r="J19" s="245">
        <v>357</v>
      </c>
      <c r="K19" s="259">
        <f>+$K$2</f>
        <v>2.14</v>
      </c>
      <c r="L19" s="266">
        <v>0.3</v>
      </c>
      <c r="M19" s="260">
        <f>K19-L19</f>
        <v>1.84</v>
      </c>
      <c r="N19" s="261">
        <f>J19*M19</f>
        <v>656.88</v>
      </c>
    </row>
    <row r="20" spans="1:16" ht="15" customHeight="1" x14ac:dyDescent="0.2">
      <c r="A20" s="1"/>
      <c r="B20" s="9"/>
      <c r="C20" s="224"/>
      <c r="D20" s="6"/>
      <c r="E20" s="6"/>
      <c r="F20" s="224"/>
      <c r="G20" s="9"/>
      <c r="H20" s="9"/>
      <c r="I20" s="245"/>
      <c r="J20" s="245"/>
      <c r="K20" s="259"/>
      <c r="L20" s="6"/>
      <c r="M20" s="261"/>
      <c r="N20" s="248"/>
    </row>
    <row r="21" spans="1:16" ht="15" customHeight="1" x14ac:dyDescent="0.2">
      <c r="A21" s="250" t="s">
        <v>1067</v>
      </c>
      <c r="B21" s="224">
        <v>622563</v>
      </c>
      <c r="C21" s="224"/>
      <c r="D21" s="6" t="s">
        <v>1068</v>
      </c>
      <c r="E21" s="6"/>
      <c r="F21" s="9">
        <v>256108</v>
      </c>
      <c r="G21" s="224">
        <v>622563</v>
      </c>
      <c r="H21" s="252" t="s">
        <v>1069</v>
      </c>
      <c r="I21" s="245"/>
      <c r="J21" s="245">
        <v>0</v>
      </c>
      <c r="K21" s="413">
        <f>+'Special Pricing'!G236</f>
        <v>2.77</v>
      </c>
      <c r="L21" s="6">
        <v>0.27</v>
      </c>
      <c r="M21" s="247">
        <f>K21-L21</f>
        <v>2.5</v>
      </c>
      <c r="N21" s="248">
        <f>J21*M21</f>
        <v>0</v>
      </c>
    </row>
    <row r="22" spans="1:16" ht="15" customHeight="1" x14ac:dyDescent="0.2">
      <c r="A22" s="1"/>
      <c r="B22" s="224"/>
      <c r="C22" s="224"/>
      <c r="D22" s="6"/>
      <c r="E22" s="6"/>
      <c r="F22" s="9"/>
      <c r="G22" s="224"/>
      <c r="H22" s="9"/>
      <c r="I22" s="245"/>
      <c r="J22" s="245"/>
      <c r="K22" s="259"/>
      <c r="L22" s="6"/>
      <c r="M22" s="247"/>
      <c r="N22" s="248"/>
    </row>
    <row r="23" spans="1:16" ht="15" customHeight="1" x14ac:dyDescent="0.2">
      <c r="A23" s="250" t="s">
        <v>1067</v>
      </c>
      <c r="B23" s="224">
        <v>602953</v>
      </c>
      <c r="C23" s="224"/>
      <c r="D23" s="6" t="s">
        <v>1830</v>
      </c>
      <c r="E23" s="6"/>
      <c r="F23" s="9">
        <v>271479</v>
      </c>
      <c r="G23" s="224">
        <v>602953</v>
      </c>
      <c r="H23" s="9" t="s">
        <v>538</v>
      </c>
      <c r="I23" s="245"/>
      <c r="J23" s="245">
        <v>102</v>
      </c>
      <c r="K23" s="259">
        <f>+K$2*0.97</f>
        <v>2.0758000000000001</v>
      </c>
      <c r="L23" s="6">
        <v>0.27</v>
      </c>
      <c r="M23" s="247">
        <f>K23-L23</f>
        <v>1.8058000000000001</v>
      </c>
      <c r="N23" s="248">
        <f>J23*M23</f>
        <v>184.19159999999999</v>
      </c>
    </row>
    <row r="24" spans="1:16" ht="15" customHeight="1" x14ac:dyDescent="0.2">
      <c r="A24" s="250" t="s">
        <v>1067</v>
      </c>
      <c r="B24" s="224">
        <v>633335</v>
      </c>
      <c r="C24" s="224"/>
      <c r="D24" s="6" t="s">
        <v>1830</v>
      </c>
      <c r="E24" s="6"/>
      <c r="F24" s="9">
        <v>271479</v>
      </c>
      <c r="G24" s="224">
        <v>633335</v>
      </c>
      <c r="H24" s="9" t="s">
        <v>538</v>
      </c>
      <c r="I24" s="245"/>
      <c r="J24" s="245">
        <v>283</v>
      </c>
      <c r="K24" s="259">
        <f>+K$2*0.97</f>
        <v>2.0758000000000001</v>
      </c>
      <c r="L24" s="6">
        <v>0.27</v>
      </c>
      <c r="M24" s="247">
        <f>K24-L24</f>
        <v>1.8058000000000001</v>
      </c>
      <c r="N24" s="248">
        <f>J24*M24</f>
        <v>511.04140000000001</v>
      </c>
    </row>
    <row r="25" spans="1:16" ht="15" customHeight="1" x14ac:dyDescent="0.2">
      <c r="A25" s="1"/>
      <c r="B25" s="224"/>
      <c r="C25" s="224"/>
      <c r="D25" s="6"/>
      <c r="E25" s="6"/>
      <c r="F25" s="9"/>
      <c r="G25" s="224"/>
      <c r="H25" s="9"/>
      <c r="I25" s="245"/>
      <c r="J25" s="245"/>
      <c r="K25" s="259"/>
      <c r="L25" s="6"/>
      <c r="M25" s="247"/>
      <c r="N25" s="248"/>
    </row>
    <row r="26" spans="1:16" ht="15" customHeight="1" x14ac:dyDescent="0.2">
      <c r="A26" s="1"/>
      <c r="B26" s="224"/>
      <c r="C26" s="224"/>
      <c r="D26" s="6"/>
      <c r="E26" s="6"/>
      <c r="F26" s="9"/>
      <c r="G26" s="224"/>
      <c r="H26" s="9"/>
      <c r="I26" s="245"/>
      <c r="J26" s="245"/>
      <c r="K26" s="259"/>
      <c r="L26" s="6"/>
      <c r="M26" s="247"/>
      <c r="N26" s="248"/>
    </row>
    <row r="27" spans="1:16" ht="15" customHeight="1" x14ac:dyDescent="0.2">
      <c r="A27" s="353" t="s">
        <v>621</v>
      </c>
      <c r="B27" s="285">
        <v>619904</v>
      </c>
      <c r="C27" s="386">
        <v>506465</v>
      </c>
      <c r="D27" s="286" t="s">
        <v>617</v>
      </c>
      <c r="E27" s="6"/>
      <c r="F27" s="224">
        <v>124914</v>
      </c>
      <c r="G27" s="285">
        <v>619904</v>
      </c>
      <c r="H27" s="6" t="s">
        <v>622</v>
      </c>
      <c r="I27" s="305"/>
      <c r="J27" s="351"/>
      <c r="K27" s="413" t="e">
        <f>+'Special Pricing'!$G$188</f>
        <v>#DIV/0!</v>
      </c>
      <c r="L27" s="352">
        <v>0.27</v>
      </c>
      <c r="M27" s="260" t="e">
        <f t="shared" ref="M27:M32" si="3">K27-L27</f>
        <v>#DIV/0!</v>
      </c>
      <c r="N27" s="261" t="e">
        <f t="shared" ref="N27:N32" si="4">J27*M27</f>
        <v>#DIV/0!</v>
      </c>
      <c r="P27" s="351">
        <v>83</v>
      </c>
    </row>
    <row r="28" spans="1:16" ht="15" customHeight="1" x14ac:dyDescent="0.2">
      <c r="A28" s="353" t="s">
        <v>621</v>
      </c>
      <c r="B28" s="285">
        <v>619907</v>
      </c>
      <c r="C28" s="386">
        <v>506466</v>
      </c>
      <c r="D28" s="286" t="s">
        <v>617</v>
      </c>
      <c r="E28" s="6"/>
      <c r="F28" s="224">
        <v>124914</v>
      </c>
      <c r="G28" s="285">
        <v>619907</v>
      </c>
      <c r="H28" s="6" t="s">
        <v>622</v>
      </c>
      <c r="I28" s="305"/>
      <c r="J28" s="351"/>
      <c r="K28" s="413" t="e">
        <f>+'Special Pricing'!$G$188</f>
        <v>#DIV/0!</v>
      </c>
      <c r="L28" s="352">
        <v>0.27</v>
      </c>
      <c r="M28" s="260" t="e">
        <f t="shared" si="3"/>
        <v>#DIV/0!</v>
      </c>
      <c r="N28" s="261" t="e">
        <f t="shared" si="4"/>
        <v>#DIV/0!</v>
      </c>
      <c r="P28" s="351">
        <v>85</v>
      </c>
    </row>
    <row r="29" spans="1:16" ht="15" customHeight="1" x14ac:dyDescent="0.2">
      <c r="A29" s="353" t="s">
        <v>621</v>
      </c>
      <c r="B29" s="285">
        <v>619908</v>
      </c>
      <c r="D29" s="286" t="s">
        <v>617</v>
      </c>
      <c r="E29" s="6"/>
      <c r="F29" s="224">
        <v>124914</v>
      </c>
      <c r="G29" s="285">
        <v>619908</v>
      </c>
      <c r="H29" s="6" t="s">
        <v>622</v>
      </c>
      <c r="I29" s="305"/>
      <c r="J29" s="351"/>
      <c r="K29" s="413" t="e">
        <f>+'Special Pricing'!$G$188</f>
        <v>#DIV/0!</v>
      </c>
      <c r="L29" s="352">
        <v>0.27</v>
      </c>
      <c r="M29" s="260" t="e">
        <f t="shared" si="3"/>
        <v>#DIV/0!</v>
      </c>
      <c r="N29" s="261" t="e">
        <f t="shared" si="4"/>
        <v>#DIV/0!</v>
      </c>
      <c r="P29" s="351">
        <v>694</v>
      </c>
    </row>
    <row r="30" spans="1:16" ht="15" customHeight="1" x14ac:dyDescent="0.2">
      <c r="A30" s="353" t="s">
        <v>621</v>
      </c>
      <c r="B30" s="285">
        <v>621010</v>
      </c>
      <c r="C30" s="386">
        <v>507244</v>
      </c>
      <c r="D30" s="286" t="s">
        <v>617</v>
      </c>
      <c r="E30" s="6"/>
      <c r="F30" s="224">
        <v>124914</v>
      </c>
      <c r="G30" s="285">
        <v>621010</v>
      </c>
      <c r="H30" s="6" t="s">
        <v>622</v>
      </c>
      <c r="I30" s="305"/>
      <c r="J30" s="351"/>
      <c r="K30" s="413" t="e">
        <f>+'Special Pricing'!$G$188</f>
        <v>#DIV/0!</v>
      </c>
      <c r="L30" s="352">
        <v>0.27</v>
      </c>
      <c r="M30" s="260" t="e">
        <f t="shared" si="3"/>
        <v>#DIV/0!</v>
      </c>
      <c r="N30" s="261" t="e">
        <f t="shared" si="4"/>
        <v>#DIV/0!</v>
      </c>
      <c r="P30" s="351">
        <v>0</v>
      </c>
    </row>
    <row r="31" spans="1:16" ht="15" customHeight="1" x14ac:dyDescent="0.2">
      <c r="A31" s="353" t="s">
        <v>621</v>
      </c>
      <c r="B31" s="285">
        <v>621178</v>
      </c>
      <c r="D31" s="286" t="s">
        <v>617</v>
      </c>
      <c r="E31" s="6"/>
      <c r="F31" s="224">
        <v>124914</v>
      </c>
      <c r="G31" s="285">
        <v>621178</v>
      </c>
      <c r="H31" s="6" t="s">
        <v>622</v>
      </c>
      <c r="I31" s="305"/>
      <c r="J31" s="351"/>
      <c r="K31" s="413" t="e">
        <f>+'Special Pricing'!$G$188</f>
        <v>#DIV/0!</v>
      </c>
      <c r="L31" s="352">
        <v>0.27</v>
      </c>
      <c r="M31" s="260" t="e">
        <f t="shared" si="3"/>
        <v>#DIV/0!</v>
      </c>
      <c r="N31" s="261" t="e">
        <f t="shared" si="4"/>
        <v>#DIV/0!</v>
      </c>
      <c r="P31" s="351">
        <v>528</v>
      </c>
    </row>
    <row r="32" spans="1:16" ht="15" customHeight="1" x14ac:dyDescent="0.2">
      <c r="A32" s="353" t="s">
        <v>621</v>
      </c>
      <c r="B32" s="285">
        <v>621179</v>
      </c>
      <c r="D32" s="286" t="s">
        <v>617</v>
      </c>
      <c r="E32" s="6"/>
      <c r="F32" s="224">
        <v>124914</v>
      </c>
      <c r="G32" s="285">
        <v>621179</v>
      </c>
      <c r="H32" s="6" t="s">
        <v>622</v>
      </c>
      <c r="I32" s="305"/>
      <c r="J32" s="351"/>
      <c r="K32" s="413" t="e">
        <f>+'Special Pricing'!$G$188</f>
        <v>#DIV/0!</v>
      </c>
      <c r="L32" s="352">
        <v>0.27</v>
      </c>
      <c r="M32" s="260" t="e">
        <f t="shared" si="3"/>
        <v>#DIV/0!</v>
      </c>
      <c r="N32" s="261" t="e">
        <f t="shared" si="4"/>
        <v>#DIV/0!</v>
      </c>
      <c r="P32" s="351">
        <v>0</v>
      </c>
    </row>
    <row r="35" spans="1:15" ht="15" customHeight="1" x14ac:dyDescent="0.2">
      <c r="A35" s="250" t="s">
        <v>1067</v>
      </c>
      <c r="B35" s="224">
        <v>618591</v>
      </c>
      <c r="C35" s="224"/>
      <c r="D35" s="6" t="s">
        <v>1392</v>
      </c>
      <c r="E35" s="6"/>
      <c r="F35" s="9"/>
      <c r="G35" s="224">
        <v>618591</v>
      </c>
      <c r="H35" s="252" t="s">
        <v>168</v>
      </c>
      <c r="I35" s="245"/>
      <c r="J35" s="651"/>
      <c r="K35" s="465">
        <f>$K$2</f>
        <v>2.14</v>
      </c>
      <c r="L35" s="775">
        <v>0.27</v>
      </c>
      <c r="M35" s="260">
        <f>K35-L35</f>
        <v>1.87</v>
      </c>
      <c r="N35" s="261">
        <f>J35*M35</f>
        <v>0</v>
      </c>
      <c r="O35" s="391" t="s">
        <v>1975</v>
      </c>
    </row>
    <row r="36" spans="1:15" ht="15" customHeight="1" x14ac:dyDescent="0.2">
      <c r="A36" s="250" t="s">
        <v>1067</v>
      </c>
      <c r="B36" s="224">
        <v>618592</v>
      </c>
      <c r="C36" s="224"/>
      <c r="D36" s="6" t="s">
        <v>1392</v>
      </c>
      <c r="E36" s="6"/>
      <c r="F36" s="9"/>
      <c r="G36" s="224">
        <v>618592</v>
      </c>
      <c r="H36" s="252" t="s">
        <v>168</v>
      </c>
      <c r="I36" s="245"/>
      <c r="J36" s="651"/>
      <c r="K36" s="465">
        <f>$K$2</f>
        <v>2.14</v>
      </c>
      <c r="L36" s="775">
        <v>0.27</v>
      </c>
      <c r="M36" s="260">
        <f>K36-L36</f>
        <v>1.87</v>
      </c>
      <c r="N36" s="261">
        <f>J36*M36</f>
        <v>0</v>
      </c>
      <c r="O36" s="391" t="s">
        <v>1975</v>
      </c>
    </row>
    <row r="37" spans="1:15" ht="15" customHeight="1" x14ac:dyDescent="0.2">
      <c r="A37" s="250"/>
      <c r="B37" s="224"/>
      <c r="C37" s="224"/>
      <c r="D37" s="6"/>
      <c r="E37" s="6"/>
      <c r="F37" s="9"/>
      <c r="G37" s="224"/>
      <c r="H37" s="252"/>
      <c r="I37" s="245"/>
      <c r="J37" s="651"/>
      <c r="K37" s="465"/>
      <c r="L37" s="775"/>
      <c r="M37" s="260"/>
      <c r="N37" s="261"/>
      <c r="O37" s="391"/>
    </row>
    <row r="38" spans="1:15" ht="15" customHeight="1" x14ac:dyDescent="0.2">
      <c r="A38" s="250" t="s">
        <v>1067</v>
      </c>
      <c r="B38" s="817">
        <v>634888</v>
      </c>
      <c r="C38" s="817"/>
      <c r="D38" s="415" t="s">
        <v>2200</v>
      </c>
      <c r="E38" s="714"/>
      <c r="F38" s="817"/>
      <c r="G38" s="837">
        <v>634888</v>
      </c>
      <c r="H38" s="817" t="s">
        <v>168</v>
      </c>
      <c r="I38" s="715"/>
      <c r="J38" s="715"/>
      <c r="K38" s="716">
        <f>$K$2</f>
        <v>2.14</v>
      </c>
      <c r="L38" s="836">
        <v>0</v>
      </c>
      <c r="M38" s="717">
        <f>K38-L38</f>
        <v>2.14</v>
      </c>
      <c r="N38" s="718">
        <f>J38*M38</f>
        <v>0</v>
      </c>
      <c r="O38" s="463" t="s">
        <v>1975</v>
      </c>
    </row>
    <row r="39" spans="1:15" x14ac:dyDescent="0.2">
      <c r="O39" s="391"/>
    </row>
    <row r="40" spans="1:15" ht="15" customHeight="1" x14ac:dyDescent="0.2">
      <c r="A40" s="1" t="s">
        <v>1391</v>
      </c>
      <c r="B40" s="224">
        <v>4102601</v>
      </c>
      <c r="C40" s="224"/>
      <c r="D40" s="6" t="s">
        <v>1392</v>
      </c>
      <c r="E40" s="6"/>
      <c r="F40" s="9">
        <v>276514</v>
      </c>
      <c r="G40" s="224">
        <v>4102601</v>
      </c>
      <c r="H40" s="252" t="s">
        <v>168</v>
      </c>
      <c r="I40" s="245"/>
      <c r="J40" s="651">
        <v>162</v>
      </c>
      <c r="K40" s="465">
        <f>$L$2</f>
        <v>2.2000000000000002</v>
      </c>
      <c r="L40" s="775">
        <v>0</v>
      </c>
      <c r="M40" s="260">
        <f>K40-L40</f>
        <v>2.2000000000000002</v>
      </c>
      <c r="N40" s="261">
        <f>J40*M40</f>
        <v>356.40000000000003</v>
      </c>
      <c r="O40" s="391" t="s">
        <v>1975</v>
      </c>
    </row>
    <row r="41" spans="1:15" x14ac:dyDescent="0.2">
      <c r="J41" s="553"/>
    </row>
    <row r="42" spans="1:15" ht="15" customHeight="1" x14ac:dyDescent="0.2">
      <c r="A42" s="1" t="s">
        <v>1391</v>
      </c>
      <c r="B42" s="336">
        <v>2008501</v>
      </c>
      <c r="C42" s="6" t="s">
        <v>831</v>
      </c>
      <c r="D42" s="6" t="s">
        <v>1105</v>
      </c>
      <c r="E42" s="6">
        <v>13884</v>
      </c>
      <c r="F42" s="6">
        <v>230909</v>
      </c>
      <c r="G42" s="336">
        <v>2008501</v>
      </c>
      <c r="H42" s="307" t="s">
        <v>1424</v>
      </c>
      <c r="I42" s="245"/>
      <c r="J42" s="651">
        <v>1337</v>
      </c>
      <c r="K42" s="465">
        <f>$L$2</f>
        <v>2.2000000000000002</v>
      </c>
      <c r="L42" s="244">
        <v>0.28000000000000003</v>
      </c>
      <c r="M42" s="371">
        <f>K42-L42</f>
        <v>1.9200000000000002</v>
      </c>
      <c r="N42" s="372">
        <f>J42*M42</f>
        <v>2567.0400000000004</v>
      </c>
    </row>
    <row r="43" spans="1:15" x14ac:dyDescent="0.2">
      <c r="D43" s="149"/>
      <c r="E43" s="149"/>
      <c r="F43" s="149"/>
      <c r="H43" s="149"/>
      <c r="I43" s="149"/>
      <c r="J43" s="553"/>
      <c r="K43" s="149"/>
    </row>
    <row r="44" spans="1:15" ht="15" customHeight="1" x14ac:dyDescent="0.2">
      <c r="A44" s="1" t="s">
        <v>1391</v>
      </c>
      <c r="B44" s="336">
        <v>2000501</v>
      </c>
      <c r="C44" s="6" t="s">
        <v>831</v>
      </c>
      <c r="D44" s="6" t="s">
        <v>1436</v>
      </c>
      <c r="E44" s="6">
        <v>42462</v>
      </c>
      <c r="F44" s="6">
        <v>230896</v>
      </c>
      <c r="G44" s="336">
        <v>2000501</v>
      </c>
      <c r="H44" s="6" t="s">
        <v>807</v>
      </c>
      <c r="I44" s="245"/>
      <c r="J44" s="651">
        <v>231</v>
      </c>
      <c r="K44" s="465">
        <f>$L$2-0.05</f>
        <v>2.1500000000000004</v>
      </c>
      <c r="L44" s="244">
        <v>0.28000000000000003</v>
      </c>
      <c r="M44" s="371">
        <f>K44-L44</f>
        <v>1.8700000000000003</v>
      </c>
      <c r="N44" s="372">
        <f>J44*M44</f>
        <v>431.97000000000008</v>
      </c>
    </row>
    <row r="45" spans="1:15" x14ac:dyDescent="0.2">
      <c r="D45" s="149"/>
      <c r="E45" s="149"/>
      <c r="F45" s="149"/>
      <c r="H45" s="149"/>
      <c r="I45" s="149"/>
      <c r="J45" s="553"/>
      <c r="K45" s="149"/>
    </row>
    <row r="46" spans="1:15" ht="15" customHeight="1" x14ac:dyDescent="0.2">
      <c r="A46" s="1" t="s">
        <v>1391</v>
      </c>
      <c r="B46" s="336">
        <v>2154101</v>
      </c>
      <c r="C46" s="6" t="s">
        <v>831</v>
      </c>
      <c r="D46" s="6" t="s">
        <v>935</v>
      </c>
      <c r="E46" s="6">
        <v>70272</v>
      </c>
      <c r="F46" s="6">
        <v>230920</v>
      </c>
      <c r="G46" s="336">
        <v>2154101</v>
      </c>
      <c r="H46" s="6" t="s">
        <v>1420</v>
      </c>
      <c r="I46" s="245"/>
      <c r="J46" s="651">
        <v>94</v>
      </c>
      <c r="K46" s="465">
        <f>$L$2-0.02</f>
        <v>2.1800000000000002</v>
      </c>
      <c r="L46" s="244">
        <v>0.16</v>
      </c>
      <c r="M46" s="371">
        <f>K46-L46</f>
        <v>2.02</v>
      </c>
      <c r="N46" s="372">
        <f>J46*M46</f>
        <v>189.88</v>
      </c>
    </row>
    <row r="49" spans="1:16" s="20" customFormat="1" x14ac:dyDescent="0.2">
      <c r="A49" s="10" t="s">
        <v>1005</v>
      </c>
      <c r="B49" s="10">
        <v>620136</v>
      </c>
      <c r="C49" s="17">
        <v>500333</v>
      </c>
      <c r="D49" s="286" t="s">
        <v>263</v>
      </c>
      <c r="E49" s="144">
        <v>3604</v>
      </c>
      <c r="F49" s="10" t="s">
        <v>1004</v>
      </c>
      <c r="G49" s="10">
        <v>620136</v>
      </c>
      <c r="H49" s="10" t="s">
        <v>361</v>
      </c>
      <c r="I49" s="387"/>
      <c r="J49" s="388"/>
      <c r="K49" s="433">
        <f>K$2-0.05</f>
        <v>2.0900000000000003</v>
      </c>
      <c r="L49" s="431"/>
      <c r="M49" s="431"/>
      <c r="N49" s="432">
        <f>(J49*K49)-L49-M49</f>
        <v>0</v>
      </c>
    </row>
    <row r="50" spans="1:16" s="20" customFormat="1" x14ac:dyDescent="0.2">
      <c r="A50" s="10"/>
      <c r="B50" s="10"/>
      <c r="C50" s="17"/>
      <c r="D50" s="286"/>
      <c r="E50" s="144"/>
      <c r="F50" s="10"/>
      <c r="G50" s="10"/>
      <c r="H50" s="10"/>
      <c r="I50" s="387"/>
      <c r="J50" s="388"/>
      <c r="K50" s="433"/>
      <c r="L50" s="431"/>
      <c r="M50" s="431"/>
      <c r="N50" s="432"/>
    </row>
    <row r="51" spans="1:16" s="21" customFormat="1" x14ac:dyDescent="0.2">
      <c r="A51" s="10" t="s">
        <v>1003</v>
      </c>
      <c r="B51" s="10">
        <v>620135</v>
      </c>
      <c r="C51" s="17">
        <v>500332</v>
      </c>
      <c r="D51" s="286" t="s">
        <v>323</v>
      </c>
      <c r="E51" s="144" t="s">
        <v>324</v>
      </c>
      <c r="F51" s="10" t="s">
        <v>325</v>
      </c>
      <c r="G51" s="10">
        <v>620135</v>
      </c>
      <c r="H51" s="10" t="s">
        <v>1420</v>
      </c>
      <c r="I51" s="387"/>
      <c r="J51" s="388"/>
      <c r="K51" s="433">
        <f>K$2</f>
        <v>2.14</v>
      </c>
      <c r="L51" s="435"/>
      <c r="M51" s="435"/>
      <c r="N51" s="432">
        <f>(J51*K51)-L51-M51</f>
        <v>0</v>
      </c>
    </row>
    <row r="52" spans="1:16" s="21" customFormat="1" x14ac:dyDescent="0.2">
      <c r="A52" s="10" t="s">
        <v>1003</v>
      </c>
      <c r="B52" s="10">
        <v>619729</v>
      </c>
      <c r="C52" s="17">
        <v>500331</v>
      </c>
      <c r="D52" s="286" t="s">
        <v>323</v>
      </c>
      <c r="E52" s="144" t="s">
        <v>324</v>
      </c>
      <c r="F52" s="10" t="s">
        <v>325</v>
      </c>
      <c r="G52" s="10">
        <v>619729</v>
      </c>
      <c r="H52" s="10" t="s">
        <v>1420</v>
      </c>
      <c r="I52" s="387"/>
      <c r="J52" s="388"/>
      <c r="K52" s="433">
        <f>K$2</f>
        <v>2.14</v>
      </c>
      <c r="L52" s="435">
        <v>9.3000000000000007</v>
      </c>
      <c r="M52" s="435">
        <v>2.46</v>
      </c>
      <c r="N52" s="432">
        <f>(J52*K52)-L52-M52</f>
        <v>-11.760000000000002</v>
      </c>
      <c r="O52" s="90"/>
      <c r="P52" s="90"/>
    </row>
  </sheetData>
  <phoneticPr fontId="0" type="noConversion"/>
  <pageMargins left="0.5" right="0.5" top="0.75" bottom="0.75" header="0.5" footer="0.5"/>
  <pageSetup scale="68" orientation="landscape" r:id="rId1"/>
  <headerFooter alignWithMargins="0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B12" workbookViewId="0">
      <selection activeCell="L18" sqref="L18"/>
    </sheetView>
  </sheetViews>
  <sheetFormatPr defaultRowHeight="12.75" x14ac:dyDescent="0.2"/>
  <cols>
    <col min="4" max="4" width="11.85546875" customWidth="1"/>
    <col min="7" max="7" width="12.7109375" bestFit="1" customWidth="1"/>
    <col min="8" max="8" width="10.28515625" bestFit="1" customWidth="1"/>
    <col min="9" max="9" width="11.42578125" bestFit="1" customWidth="1"/>
    <col min="10" max="10" width="12.42578125" bestFit="1" customWidth="1"/>
    <col min="11" max="11" width="11.42578125" bestFit="1" customWidth="1"/>
    <col min="12" max="12" width="11.42578125" customWidth="1"/>
    <col min="13" max="13" width="12.7109375" bestFit="1" customWidth="1"/>
  </cols>
  <sheetData>
    <row r="1" spans="1:13" ht="18" x14ac:dyDescent="0.25">
      <c r="A1" s="593"/>
      <c r="B1" s="593" t="s">
        <v>559</v>
      </c>
      <c r="C1" s="593"/>
      <c r="D1" s="593"/>
      <c r="E1" s="593"/>
      <c r="F1" s="593"/>
    </row>
    <row r="2" spans="1:13" ht="15.75" x14ac:dyDescent="0.25">
      <c r="A2" s="594"/>
      <c r="B2" s="595">
        <f>+cgas!J6</f>
        <v>37258</v>
      </c>
      <c r="C2" s="596" t="s">
        <v>1562</v>
      </c>
      <c r="D2" s="596"/>
      <c r="E2" s="596"/>
      <c r="F2" s="596"/>
      <c r="G2" s="596"/>
      <c r="H2" s="596"/>
      <c r="I2" s="596"/>
      <c r="J2" s="596"/>
      <c r="K2" s="596"/>
      <c r="L2" s="596"/>
      <c r="M2" s="596"/>
    </row>
    <row r="3" spans="1:13" ht="15" x14ac:dyDescent="0.2">
      <c r="A3" s="597"/>
      <c r="B3" s="597"/>
      <c r="C3" s="596"/>
      <c r="D3" s="596"/>
      <c r="E3" s="596"/>
      <c r="F3" s="596"/>
      <c r="G3" s="596"/>
      <c r="H3" s="596"/>
      <c r="I3" s="596"/>
      <c r="J3" s="596"/>
      <c r="K3" s="596"/>
      <c r="L3" s="596"/>
      <c r="M3" s="596"/>
    </row>
    <row r="4" spans="1:13" ht="15.75" x14ac:dyDescent="0.25">
      <c r="A4" s="596"/>
      <c r="B4" s="596" t="s">
        <v>1563</v>
      </c>
      <c r="C4" s="596"/>
      <c r="D4" s="629">
        <f>+cgas!J5</f>
        <v>2.14</v>
      </c>
      <c r="E4" s="598"/>
      <c r="G4" s="596"/>
      <c r="H4" s="596"/>
      <c r="I4" s="596"/>
      <c r="J4" s="596"/>
      <c r="K4" s="596"/>
      <c r="L4" s="596"/>
      <c r="M4" s="596"/>
    </row>
    <row r="5" spans="1:13" ht="15" x14ac:dyDescent="0.2">
      <c r="A5" s="596"/>
      <c r="B5" s="599" t="s">
        <v>1564</v>
      </c>
      <c r="C5" s="599"/>
      <c r="D5" s="600">
        <v>1.4999999999999999E-2</v>
      </c>
      <c r="E5" s="601"/>
      <c r="F5" s="601"/>
      <c r="G5" s="596"/>
      <c r="H5" s="596"/>
      <c r="I5" s="596"/>
      <c r="J5" s="596"/>
      <c r="K5" s="596"/>
      <c r="L5" s="596"/>
      <c r="M5" s="596"/>
    </row>
    <row r="6" spans="1:13" ht="15" x14ac:dyDescent="0.2">
      <c r="A6" s="596"/>
      <c r="B6" s="599" t="s">
        <v>1565</v>
      </c>
      <c r="C6" s="602"/>
      <c r="D6" s="603">
        <v>0.27</v>
      </c>
      <c r="E6" s="596"/>
      <c r="F6" s="596"/>
      <c r="G6" s="596"/>
      <c r="H6" s="596"/>
      <c r="I6" s="596"/>
      <c r="J6" s="596"/>
      <c r="K6" s="596"/>
      <c r="L6" s="596"/>
      <c r="M6" s="596"/>
    </row>
    <row r="7" spans="1:13" ht="15" x14ac:dyDescent="0.2">
      <c r="A7" s="596"/>
      <c r="B7" s="596" t="s">
        <v>1566</v>
      </c>
      <c r="C7" s="596"/>
      <c r="D7" s="604">
        <v>4.2500000000000003E-2</v>
      </c>
      <c r="E7" s="601"/>
      <c r="F7" s="601"/>
      <c r="G7" s="596"/>
      <c r="H7" s="605"/>
      <c r="I7" s="605"/>
      <c r="J7" s="605"/>
      <c r="K7" s="605"/>
      <c r="L7" s="605"/>
      <c r="M7" s="605"/>
    </row>
    <row r="8" spans="1:13" ht="15" x14ac:dyDescent="0.2">
      <c r="A8" s="596"/>
      <c r="B8" s="596" t="s">
        <v>1567</v>
      </c>
      <c r="C8" s="596"/>
      <c r="D8" s="606">
        <v>0.32</v>
      </c>
      <c r="E8" s="596"/>
      <c r="F8" s="596"/>
      <c r="G8" s="596"/>
      <c r="H8" s="605"/>
      <c r="I8" s="605"/>
      <c r="J8" s="605"/>
      <c r="K8" s="605"/>
      <c r="L8" s="605"/>
      <c r="M8" s="605"/>
    </row>
    <row r="9" spans="1:13" ht="15" x14ac:dyDescent="0.2">
      <c r="A9" s="596"/>
      <c r="B9" s="596" t="s">
        <v>1568</v>
      </c>
      <c r="C9" s="596"/>
      <c r="D9" s="606">
        <v>0.03</v>
      </c>
      <c r="E9" s="596"/>
      <c r="F9" s="596"/>
      <c r="G9" s="596"/>
      <c r="H9" s="607"/>
      <c r="I9" s="607"/>
      <c r="J9" s="607"/>
      <c r="K9" s="607"/>
      <c r="L9" s="607"/>
      <c r="M9" s="596"/>
    </row>
    <row r="10" spans="1:13" ht="15" x14ac:dyDescent="0.2">
      <c r="A10" s="596"/>
      <c r="B10" s="596" t="s">
        <v>1452</v>
      </c>
      <c r="C10" s="596"/>
      <c r="D10" s="606">
        <v>25</v>
      </c>
      <c r="E10" s="608"/>
      <c r="F10" s="608"/>
      <c r="G10" s="596"/>
      <c r="H10" s="607"/>
      <c r="I10" s="607"/>
      <c r="J10" s="607"/>
      <c r="K10" s="607"/>
      <c r="L10" s="607"/>
      <c r="M10" s="596"/>
    </row>
    <row r="11" spans="1:13" ht="15" x14ac:dyDescent="0.2">
      <c r="A11" s="609"/>
      <c r="B11" s="609" t="s">
        <v>1569</v>
      </c>
      <c r="C11" s="610"/>
      <c r="D11" s="604">
        <v>4.4999999999999998E-2</v>
      </c>
      <c r="E11" s="604"/>
      <c r="F11" s="604"/>
      <c r="G11" s="596"/>
      <c r="H11" s="596"/>
      <c r="I11" s="596"/>
      <c r="J11" s="596"/>
      <c r="K11" s="596"/>
      <c r="L11" s="596"/>
      <c r="M11" s="596"/>
    </row>
    <row r="12" spans="1:13" ht="15" x14ac:dyDescent="0.2">
      <c r="A12" s="596"/>
      <c r="B12" s="596"/>
      <c r="C12" s="596"/>
      <c r="D12" s="596"/>
      <c r="E12" s="596"/>
      <c r="F12" s="596"/>
      <c r="G12" s="596"/>
      <c r="H12" s="596"/>
      <c r="I12" s="596"/>
      <c r="J12" s="596"/>
      <c r="K12" s="596"/>
      <c r="L12" s="596"/>
      <c r="M12" s="596"/>
    </row>
    <row r="13" spans="1:13" ht="15.75" x14ac:dyDescent="0.25">
      <c r="A13" s="611" t="s">
        <v>1570</v>
      </c>
      <c r="B13" s="612"/>
      <c r="C13" s="611" t="s">
        <v>186</v>
      </c>
      <c r="D13" s="611" t="s">
        <v>1571</v>
      </c>
      <c r="E13" s="611" t="s">
        <v>1417</v>
      </c>
      <c r="F13" s="611" t="s">
        <v>1571</v>
      </c>
      <c r="G13" s="611" t="s">
        <v>1428</v>
      </c>
      <c r="H13" s="611" t="s">
        <v>1572</v>
      </c>
      <c r="I13" s="611" t="s">
        <v>1573</v>
      </c>
      <c r="J13" s="611" t="s">
        <v>1573</v>
      </c>
      <c r="K13" s="611" t="s">
        <v>1574</v>
      </c>
      <c r="L13" s="611" t="s">
        <v>1198</v>
      </c>
      <c r="M13" s="611" t="s">
        <v>1510</v>
      </c>
    </row>
    <row r="14" spans="1:13" ht="15.75" x14ac:dyDescent="0.25">
      <c r="A14" s="611" t="s">
        <v>1575</v>
      </c>
      <c r="B14" s="611" t="s">
        <v>1431</v>
      </c>
      <c r="C14" s="611" t="s">
        <v>1417</v>
      </c>
      <c r="D14" s="611" t="s">
        <v>1417</v>
      </c>
      <c r="E14" s="611" t="s">
        <v>1576</v>
      </c>
      <c r="F14" s="611" t="s">
        <v>1417</v>
      </c>
      <c r="G14" s="611" t="s">
        <v>1438</v>
      </c>
      <c r="H14" s="611" t="s">
        <v>1577</v>
      </c>
      <c r="I14" s="611" t="s">
        <v>1440</v>
      </c>
      <c r="J14" s="611" t="s">
        <v>1587</v>
      </c>
      <c r="K14" s="611" t="s">
        <v>616</v>
      </c>
      <c r="L14" s="611" t="s">
        <v>1452</v>
      </c>
      <c r="M14" s="611" t="s">
        <v>1588</v>
      </c>
    </row>
    <row r="15" spans="1:13" ht="15.75" x14ac:dyDescent="0.25">
      <c r="A15" s="613"/>
      <c r="B15" s="613"/>
      <c r="C15" s="613"/>
      <c r="D15" s="614" t="s">
        <v>1589</v>
      </c>
      <c r="E15" s="613"/>
      <c r="F15" s="614" t="s">
        <v>1590</v>
      </c>
      <c r="G15" s="613"/>
      <c r="H15" s="613"/>
      <c r="I15" s="613"/>
      <c r="J15" s="614"/>
      <c r="K15" s="615"/>
      <c r="L15" s="615"/>
      <c r="M15" s="615"/>
    </row>
    <row r="16" spans="1:13" ht="15" x14ac:dyDescent="0.2">
      <c r="A16" s="605"/>
      <c r="B16" s="605"/>
      <c r="C16" s="605"/>
      <c r="D16" s="596"/>
      <c r="E16" s="596"/>
      <c r="F16" s="596"/>
      <c r="G16" s="596"/>
      <c r="H16" s="596"/>
      <c r="I16" s="596"/>
      <c r="J16" s="596"/>
      <c r="K16" s="596"/>
      <c r="L16" s="596"/>
      <c r="M16" s="596"/>
    </row>
    <row r="17" spans="1:13" ht="15.75" x14ac:dyDescent="0.25">
      <c r="A17" s="596">
        <v>500424</v>
      </c>
      <c r="B17" s="596">
        <v>804252</v>
      </c>
      <c r="C17" s="630">
        <f>ROUND(D17/(1-$D$7),0)</f>
        <v>0</v>
      </c>
      <c r="D17" s="631">
        <f>IF(ISNA(VLOOKUP(B17,CNRGas,3,FALSE)),"na",VLOOKUP(B17,CNRGas,3,FALSE))</f>
        <v>0</v>
      </c>
      <c r="E17" s="617"/>
      <c r="F17" s="616">
        <f>D17+E17</f>
        <v>0</v>
      </c>
      <c r="G17" s="618">
        <f>F17*$D$4</f>
        <v>0</v>
      </c>
      <c r="H17" s="618">
        <f>ROUND(F17*$D$9,2)</f>
        <v>0</v>
      </c>
      <c r="I17" s="618">
        <f>ROUND(F17*$D$8,2)</f>
        <v>0</v>
      </c>
      <c r="J17" s="618">
        <v>25</v>
      </c>
      <c r="K17" s="618"/>
      <c r="L17" s="618">
        <v>25</v>
      </c>
      <c r="M17" s="618">
        <f>G17-H17-I17-J17-K17-L17</f>
        <v>-50</v>
      </c>
    </row>
    <row r="18" spans="1:13" ht="15.75" x14ac:dyDescent="0.25">
      <c r="A18" s="596">
        <v>500425</v>
      </c>
      <c r="B18" s="596">
        <v>804311</v>
      </c>
      <c r="C18" s="630">
        <f t="shared" ref="C18:C30" si="0">ROUND(D18/(1-$D$7),0)</f>
        <v>0</v>
      </c>
      <c r="D18" s="631">
        <f t="shared" ref="D18:D30" si="1">IF(ISNA(VLOOKUP(B18,CNRGas,3,FALSE)),"na",VLOOKUP(B18,CNRGas,3,FALSE))</f>
        <v>0</v>
      </c>
      <c r="E18" s="617"/>
      <c r="F18" s="616">
        <f t="shared" ref="F18:F30" si="2">D18+E18</f>
        <v>0</v>
      </c>
      <c r="G18" s="618">
        <f t="shared" ref="G18:G30" si="3">F18*$D$4</f>
        <v>0</v>
      </c>
      <c r="H18" s="618">
        <f t="shared" ref="H18:H30" si="4">ROUND(F18*$D$9,2)</f>
        <v>0</v>
      </c>
      <c r="I18" s="618">
        <f t="shared" ref="I18:I30" si="5">ROUND(F18*$D$8,2)</f>
        <v>0</v>
      </c>
      <c r="J18" s="618">
        <v>0</v>
      </c>
      <c r="K18" s="618"/>
      <c r="L18" s="618">
        <v>0</v>
      </c>
      <c r="M18" s="618">
        <f t="shared" ref="M18:M30" si="6">G18-H18-I18-J18-K18-L18</f>
        <v>0</v>
      </c>
    </row>
    <row r="19" spans="1:13" ht="15.75" x14ac:dyDescent="0.25">
      <c r="A19" s="596">
        <v>500429</v>
      </c>
      <c r="B19" s="596">
        <v>804619</v>
      </c>
      <c r="C19" s="630">
        <f t="shared" si="0"/>
        <v>0</v>
      </c>
      <c r="D19" s="631">
        <f t="shared" si="1"/>
        <v>0</v>
      </c>
      <c r="E19" s="617"/>
      <c r="F19" s="616">
        <f t="shared" si="2"/>
        <v>0</v>
      </c>
      <c r="G19" s="618">
        <f t="shared" si="3"/>
        <v>0</v>
      </c>
      <c r="H19" s="618">
        <f t="shared" si="4"/>
        <v>0</v>
      </c>
      <c r="I19" s="618">
        <f t="shared" si="5"/>
        <v>0</v>
      </c>
      <c r="J19" s="618">
        <v>25</v>
      </c>
      <c r="K19" s="618"/>
      <c r="L19" s="618">
        <v>25</v>
      </c>
      <c r="M19" s="618">
        <f t="shared" si="6"/>
        <v>-50</v>
      </c>
    </row>
    <row r="20" spans="1:13" ht="15.75" x14ac:dyDescent="0.25">
      <c r="A20" s="596">
        <v>500430</v>
      </c>
      <c r="B20" s="596">
        <v>804796</v>
      </c>
      <c r="C20" s="630">
        <f t="shared" si="0"/>
        <v>0</v>
      </c>
      <c r="D20" s="631">
        <f t="shared" si="1"/>
        <v>0</v>
      </c>
      <c r="E20" s="617"/>
      <c r="F20" s="616">
        <f t="shared" si="2"/>
        <v>0</v>
      </c>
      <c r="G20" s="618">
        <f t="shared" si="3"/>
        <v>0</v>
      </c>
      <c r="H20" s="618">
        <f t="shared" si="4"/>
        <v>0</v>
      </c>
      <c r="I20" s="618">
        <f t="shared" si="5"/>
        <v>0</v>
      </c>
      <c r="J20" s="618">
        <v>25</v>
      </c>
      <c r="K20" s="618"/>
      <c r="L20" s="618">
        <v>25</v>
      </c>
      <c r="M20" s="618">
        <f t="shared" si="6"/>
        <v>-50</v>
      </c>
    </row>
    <row r="21" spans="1:13" ht="15.75" x14ac:dyDescent="0.25">
      <c r="A21" s="605">
        <v>501111</v>
      </c>
      <c r="B21" s="605">
        <v>801544</v>
      </c>
      <c r="C21" s="630">
        <f t="shared" si="0"/>
        <v>0</v>
      </c>
      <c r="D21" s="631">
        <f t="shared" si="1"/>
        <v>0</v>
      </c>
      <c r="E21" s="617"/>
      <c r="F21" s="616">
        <f t="shared" si="2"/>
        <v>0</v>
      </c>
      <c r="G21" s="618">
        <f t="shared" si="3"/>
        <v>0</v>
      </c>
      <c r="H21" s="618">
        <f t="shared" si="4"/>
        <v>0</v>
      </c>
      <c r="I21" s="618">
        <f t="shared" si="5"/>
        <v>0</v>
      </c>
      <c r="J21" s="618">
        <v>25</v>
      </c>
      <c r="K21" s="619">
        <f>ROUND((G21-H21-I21-J21)*$D$11,2)</f>
        <v>-1.1299999999999999</v>
      </c>
      <c r="L21" s="618">
        <v>25</v>
      </c>
      <c r="M21" s="618">
        <f t="shared" si="6"/>
        <v>-48.870000000000005</v>
      </c>
    </row>
    <row r="22" spans="1:13" ht="15.75" x14ac:dyDescent="0.25">
      <c r="A22" s="605">
        <v>500407</v>
      </c>
      <c r="B22" s="605">
        <v>801947</v>
      </c>
      <c r="C22" s="630">
        <f t="shared" si="0"/>
        <v>0</v>
      </c>
      <c r="D22" s="631">
        <f t="shared" si="1"/>
        <v>0</v>
      </c>
      <c r="E22" s="617"/>
      <c r="F22" s="616">
        <f t="shared" si="2"/>
        <v>0</v>
      </c>
      <c r="G22" s="618">
        <f t="shared" si="3"/>
        <v>0</v>
      </c>
      <c r="H22" s="618">
        <f t="shared" si="4"/>
        <v>0</v>
      </c>
      <c r="I22" s="618">
        <f t="shared" si="5"/>
        <v>0</v>
      </c>
      <c r="J22" s="618">
        <v>25</v>
      </c>
      <c r="K22" s="618"/>
      <c r="L22" s="618">
        <v>25</v>
      </c>
      <c r="M22" s="618">
        <f t="shared" si="6"/>
        <v>-50</v>
      </c>
    </row>
    <row r="23" spans="1:13" ht="15.75" x14ac:dyDescent="0.25">
      <c r="A23" s="596">
        <v>500411</v>
      </c>
      <c r="B23" s="596">
        <v>802177</v>
      </c>
      <c r="C23" s="630">
        <f t="shared" si="0"/>
        <v>0</v>
      </c>
      <c r="D23" s="631">
        <f t="shared" si="1"/>
        <v>0</v>
      </c>
      <c r="E23" s="617"/>
      <c r="F23" s="616">
        <f t="shared" si="2"/>
        <v>0</v>
      </c>
      <c r="G23" s="618">
        <f t="shared" si="3"/>
        <v>0</v>
      </c>
      <c r="H23" s="618">
        <f t="shared" si="4"/>
        <v>0</v>
      </c>
      <c r="I23" s="618">
        <f t="shared" si="5"/>
        <v>0</v>
      </c>
      <c r="J23" s="618">
        <v>25</v>
      </c>
      <c r="K23" s="618"/>
      <c r="L23" s="618">
        <v>25</v>
      </c>
      <c r="M23" s="618">
        <f t="shared" si="6"/>
        <v>-50</v>
      </c>
    </row>
    <row r="24" spans="1:13" ht="15.75" x14ac:dyDescent="0.25">
      <c r="A24" s="605">
        <v>500414</v>
      </c>
      <c r="B24" s="605">
        <v>802304</v>
      </c>
      <c r="C24" s="630">
        <f t="shared" si="0"/>
        <v>0</v>
      </c>
      <c r="D24" s="631">
        <f t="shared" si="1"/>
        <v>0</v>
      </c>
      <c r="E24" s="617"/>
      <c r="F24" s="616">
        <f t="shared" si="2"/>
        <v>0</v>
      </c>
      <c r="G24" s="618">
        <f t="shared" si="3"/>
        <v>0</v>
      </c>
      <c r="H24" s="618">
        <f t="shared" si="4"/>
        <v>0</v>
      </c>
      <c r="I24" s="618">
        <f t="shared" si="5"/>
        <v>0</v>
      </c>
      <c r="J24" s="618">
        <v>25</v>
      </c>
      <c r="K24" s="619">
        <f>ROUND((G24-H24-I24-J24)*$D$11,2)</f>
        <v>-1.1299999999999999</v>
      </c>
      <c r="L24" s="618">
        <v>25</v>
      </c>
      <c r="M24" s="618">
        <f t="shared" si="6"/>
        <v>-48.870000000000005</v>
      </c>
    </row>
    <row r="25" spans="1:13" ht="15.75" x14ac:dyDescent="0.25">
      <c r="A25" s="605">
        <v>500415</v>
      </c>
      <c r="B25" s="605">
        <v>802334</v>
      </c>
      <c r="C25" s="630">
        <f t="shared" si="0"/>
        <v>0</v>
      </c>
      <c r="D25" s="631">
        <f t="shared" si="1"/>
        <v>0</v>
      </c>
      <c r="E25" s="617"/>
      <c r="F25" s="616">
        <f t="shared" si="2"/>
        <v>0</v>
      </c>
      <c r="G25" s="618">
        <f t="shared" si="3"/>
        <v>0</v>
      </c>
      <c r="H25" s="618">
        <f t="shared" si="4"/>
        <v>0</v>
      </c>
      <c r="I25" s="618">
        <f t="shared" si="5"/>
        <v>0</v>
      </c>
      <c r="J25" s="618">
        <v>25</v>
      </c>
      <c r="K25" s="619">
        <f>ROUND((G25-H25-I25-J25)*$D$11,2)</f>
        <v>-1.1299999999999999</v>
      </c>
      <c r="L25" s="618">
        <v>25</v>
      </c>
      <c r="M25" s="618">
        <f t="shared" si="6"/>
        <v>-48.870000000000005</v>
      </c>
    </row>
    <row r="26" spans="1:13" ht="15.75" x14ac:dyDescent="0.25">
      <c r="A26" s="596">
        <v>500416</v>
      </c>
      <c r="B26" s="596">
        <v>802380</v>
      </c>
      <c r="C26" s="630">
        <f t="shared" si="0"/>
        <v>0</v>
      </c>
      <c r="D26" s="631">
        <f t="shared" si="1"/>
        <v>0</v>
      </c>
      <c r="E26" s="617"/>
      <c r="F26" s="616">
        <f t="shared" si="2"/>
        <v>0</v>
      </c>
      <c r="G26" s="618">
        <f t="shared" si="3"/>
        <v>0</v>
      </c>
      <c r="H26" s="618">
        <f t="shared" si="4"/>
        <v>0</v>
      </c>
      <c r="I26" s="618">
        <f t="shared" si="5"/>
        <v>0</v>
      </c>
      <c r="J26" s="618">
        <v>25</v>
      </c>
      <c r="K26" s="618"/>
      <c r="L26" s="618">
        <v>0</v>
      </c>
      <c r="M26" s="618">
        <f t="shared" si="6"/>
        <v>-25</v>
      </c>
    </row>
    <row r="27" spans="1:13" ht="15.75" x14ac:dyDescent="0.25">
      <c r="A27" s="596">
        <v>500432</v>
      </c>
      <c r="B27" s="596">
        <v>805102</v>
      </c>
      <c r="C27" s="630">
        <f t="shared" si="0"/>
        <v>0</v>
      </c>
      <c r="D27" s="631">
        <f t="shared" si="1"/>
        <v>0</v>
      </c>
      <c r="E27" s="617"/>
      <c r="F27" s="616">
        <f t="shared" si="2"/>
        <v>0</v>
      </c>
      <c r="G27" s="618">
        <f t="shared" si="3"/>
        <v>0</v>
      </c>
      <c r="H27" s="618">
        <f t="shared" si="4"/>
        <v>0</v>
      </c>
      <c r="I27" s="618">
        <f t="shared" si="5"/>
        <v>0</v>
      </c>
      <c r="J27" s="618">
        <v>25</v>
      </c>
      <c r="K27" s="618"/>
      <c r="L27" s="618">
        <v>25</v>
      </c>
      <c r="M27" s="618">
        <f t="shared" si="6"/>
        <v>-50</v>
      </c>
    </row>
    <row r="28" spans="1:13" ht="15.75" x14ac:dyDescent="0.25">
      <c r="A28" s="596">
        <v>500433</v>
      </c>
      <c r="B28" s="596">
        <v>805229</v>
      </c>
      <c r="C28" s="630">
        <f t="shared" si="0"/>
        <v>0</v>
      </c>
      <c r="D28" s="631">
        <f t="shared" si="1"/>
        <v>0</v>
      </c>
      <c r="E28" s="617"/>
      <c r="F28" s="616">
        <f t="shared" si="2"/>
        <v>0</v>
      </c>
      <c r="G28" s="618">
        <f t="shared" si="3"/>
        <v>0</v>
      </c>
      <c r="H28" s="618">
        <f t="shared" si="4"/>
        <v>0</v>
      </c>
      <c r="I28" s="618">
        <f t="shared" si="5"/>
        <v>0</v>
      </c>
      <c r="J28" s="618">
        <v>25</v>
      </c>
      <c r="K28" s="618"/>
      <c r="L28" s="618">
        <v>25</v>
      </c>
      <c r="M28" s="618">
        <f t="shared" si="6"/>
        <v>-50</v>
      </c>
    </row>
    <row r="29" spans="1:13" ht="15.75" x14ac:dyDescent="0.25">
      <c r="A29" s="596">
        <v>500434</v>
      </c>
      <c r="B29" s="596">
        <v>805235</v>
      </c>
      <c r="C29" s="630">
        <f t="shared" si="0"/>
        <v>0</v>
      </c>
      <c r="D29" s="631">
        <f t="shared" si="1"/>
        <v>0</v>
      </c>
      <c r="E29" s="617"/>
      <c r="F29" s="616">
        <f t="shared" si="2"/>
        <v>0</v>
      </c>
      <c r="G29" s="618">
        <f t="shared" si="3"/>
        <v>0</v>
      </c>
      <c r="H29" s="618">
        <f t="shared" si="4"/>
        <v>0</v>
      </c>
      <c r="I29" s="618">
        <f t="shared" si="5"/>
        <v>0</v>
      </c>
      <c r="J29" s="618">
        <v>0</v>
      </c>
      <c r="K29" s="618"/>
      <c r="L29" s="618">
        <v>0</v>
      </c>
      <c r="M29" s="618">
        <f t="shared" si="6"/>
        <v>0</v>
      </c>
    </row>
    <row r="30" spans="1:13" ht="15.75" x14ac:dyDescent="0.25">
      <c r="A30" s="613">
        <v>500484</v>
      </c>
      <c r="B30" s="613">
        <v>830923</v>
      </c>
      <c r="C30" s="620">
        <f t="shared" si="0"/>
        <v>0</v>
      </c>
      <c r="D30" s="632">
        <f t="shared" si="1"/>
        <v>0</v>
      </c>
      <c r="E30" s="620"/>
      <c r="F30" s="621">
        <f t="shared" si="2"/>
        <v>0</v>
      </c>
      <c r="G30" s="622">
        <f t="shared" si="3"/>
        <v>0</v>
      </c>
      <c r="H30" s="622">
        <f t="shared" si="4"/>
        <v>0</v>
      </c>
      <c r="I30" s="622">
        <f t="shared" si="5"/>
        <v>0</v>
      </c>
      <c r="J30" s="622">
        <v>25</v>
      </c>
      <c r="K30" s="622"/>
      <c r="L30" s="622">
        <v>25</v>
      </c>
      <c r="M30" s="622">
        <f t="shared" si="6"/>
        <v>-50</v>
      </c>
    </row>
    <row r="31" spans="1:13" ht="15" x14ac:dyDescent="0.2">
      <c r="A31" s="596"/>
      <c r="B31" s="596"/>
      <c r="C31" s="623"/>
      <c r="D31" s="616"/>
      <c r="E31" s="616"/>
      <c r="F31" s="616"/>
      <c r="G31" s="618"/>
      <c r="H31" s="608"/>
      <c r="I31" s="608"/>
      <c r="J31" s="608"/>
      <c r="K31" s="596"/>
      <c r="L31" s="596"/>
      <c r="M31" s="618"/>
    </row>
    <row r="32" spans="1:13" ht="16.5" thickBot="1" x14ac:dyDescent="0.3">
      <c r="A32" s="598"/>
      <c r="B32" s="598" t="s">
        <v>186</v>
      </c>
      <c r="C32" s="624">
        <f t="shared" ref="C32:K32" si="7">SUM(C17:C31)</f>
        <v>0</v>
      </c>
      <c r="D32" s="624">
        <f t="shared" si="7"/>
        <v>0</v>
      </c>
      <c r="E32" s="624"/>
      <c r="F32" s="624"/>
      <c r="G32" s="625">
        <f t="shared" si="7"/>
        <v>0</v>
      </c>
      <c r="H32" s="625">
        <f t="shared" si="7"/>
        <v>0</v>
      </c>
      <c r="I32" s="625">
        <f t="shared" si="7"/>
        <v>0</v>
      </c>
      <c r="J32" s="625">
        <f t="shared" si="7"/>
        <v>300</v>
      </c>
      <c r="K32" s="625">
        <f t="shared" si="7"/>
        <v>-3.3899999999999997</v>
      </c>
      <c r="L32" s="625">
        <f>SUM(L17:L30)</f>
        <v>275</v>
      </c>
      <c r="M32" s="626">
        <f>SUM(M17:M31)</f>
        <v>-571.61</v>
      </c>
    </row>
    <row r="33" spans="1:13" ht="16.5" thickTop="1" x14ac:dyDescent="0.25">
      <c r="A33" s="598"/>
      <c r="B33" s="598"/>
      <c r="C33" s="624"/>
      <c r="D33" s="624"/>
      <c r="E33" s="624"/>
      <c r="F33" s="624"/>
      <c r="G33" s="625"/>
      <c r="H33" s="625"/>
      <c r="I33" s="625"/>
      <c r="J33" s="625"/>
      <c r="K33" s="625"/>
      <c r="L33" s="625"/>
      <c r="M33" s="627"/>
    </row>
    <row r="34" spans="1:13" ht="18" x14ac:dyDescent="0.25">
      <c r="A34" s="628"/>
      <c r="B34" s="628" t="s">
        <v>1591</v>
      </c>
      <c r="J34" s="598"/>
      <c r="K34" s="22"/>
      <c r="L34" s="22"/>
      <c r="M34" s="850"/>
    </row>
    <row r="35" spans="1:13" ht="15.75" x14ac:dyDescent="0.25">
      <c r="A35" s="596"/>
      <c r="B35" s="596"/>
      <c r="C35" s="596" t="s">
        <v>1592</v>
      </c>
      <c r="D35" s="596"/>
      <c r="E35" s="596"/>
      <c r="F35" s="596"/>
      <c r="G35" s="596"/>
      <c r="H35" s="596"/>
      <c r="I35" s="596"/>
      <c r="J35" s="598"/>
      <c r="K35" s="598"/>
      <c r="L35" s="598"/>
      <c r="M35" s="850"/>
    </row>
    <row r="36" spans="1:13" ht="16.5" thickBot="1" x14ac:dyDescent="0.3">
      <c r="A36" s="596"/>
      <c r="B36" s="596"/>
      <c r="C36" s="596" t="s">
        <v>1593</v>
      </c>
      <c r="D36" s="596"/>
      <c r="E36" s="596"/>
      <c r="F36" s="596"/>
      <c r="G36" s="596"/>
      <c r="H36" s="596"/>
      <c r="I36" s="596"/>
      <c r="J36" s="598"/>
      <c r="K36" s="598"/>
      <c r="L36" s="598"/>
      <c r="M36" s="626"/>
    </row>
    <row r="37" spans="1:13" ht="15.75" thickTop="1" x14ac:dyDescent="0.2">
      <c r="A37" s="596"/>
      <c r="B37" s="596"/>
      <c r="C37" s="605" t="s">
        <v>1594</v>
      </c>
      <c r="D37" s="605"/>
      <c r="E37" s="605"/>
      <c r="F37" s="605"/>
      <c r="G37" s="605"/>
      <c r="H37" s="605"/>
      <c r="I37" s="596"/>
      <c r="J37" s="596"/>
      <c r="K37" s="596"/>
      <c r="L37" s="596"/>
      <c r="M37" s="596"/>
    </row>
    <row r="38" spans="1:13" ht="15" x14ac:dyDescent="0.2">
      <c r="A38" s="596"/>
      <c r="B38" s="596"/>
      <c r="C38" s="596" t="s">
        <v>1595</v>
      </c>
      <c r="D38" s="596"/>
      <c r="E38" s="596"/>
      <c r="F38" s="596"/>
      <c r="G38" s="596"/>
      <c r="H38" s="596"/>
      <c r="I38" s="596"/>
      <c r="J38" s="596"/>
      <c r="K38" s="596"/>
      <c r="L38" s="596"/>
      <c r="M38" s="596"/>
    </row>
    <row r="39" spans="1:13" ht="15" x14ac:dyDescent="0.2">
      <c r="A39" s="596"/>
      <c r="B39" s="596"/>
      <c r="C39" s="596" t="s">
        <v>1597</v>
      </c>
      <c r="D39" s="596"/>
      <c r="E39" s="596"/>
      <c r="F39" s="596"/>
      <c r="G39" s="596"/>
      <c r="H39" s="596"/>
      <c r="I39" s="596"/>
      <c r="J39" s="596"/>
      <c r="K39" s="596"/>
      <c r="L39" s="596"/>
      <c r="M39" s="596"/>
    </row>
    <row r="40" spans="1:13" ht="15" x14ac:dyDescent="0.2">
      <c r="C40" s="596" t="s">
        <v>1598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2"/>
  <sheetViews>
    <sheetView topLeftCell="A104" workbookViewId="0">
      <selection activeCell="E131" sqref="E131"/>
    </sheetView>
  </sheetViews>
  <sheetFormatPr defaultRowHeight="12.75" x14ac:dyDescent="0.2"/>
  <cols>
    <col min="2" max="2" width="20.42578125" bestFit="1" customWidth="1"/>
    <col min="3" max="3" width="34.7109375" bestFit="1" customWidth="1"/>
  </cols>
  <sheetData>
    <row r="1" spans="1:5" x14ac:dyDescent="0.2">
      <c r="A1">
        <v>602280</v>
      </c>
      <c r="B1" s="777" t="s">
        <v>702</v>
      </c>
      <c r="C1" s="777" t="s">
        <v>632</v>
      </c>
      <c r="D1" s="777" t="s">
        <v>1204</v>
      </c>
      <c r="E1" s="777">
        <v>283</v>
      </c>
    </row>
    <row r="2" spans="1:5" x14ac:dyDescent="0.2">
      <c r="A2">
        <v>602297</v>
      </c>
      <c r="B2" s="777" t="s">
        <v>703</v>
      </c>
      <c r="C2" s="777" t="s">
        <v>633</v>
      </c>
      <c r="D2" s="777" t="s">
        <v>1204</v>
      </c>
      <c r="E2" s="777">
        <v>513</v>
      </c>
    </row>
    <row r="3" spans="1:5" x14ac:dyDescent="0.2">
      <c r="A3">
        <v>602337</v>
      </c>
      <c r="B3" s="777" t="s">
        <v>704</v>
      </c>
      <c r="C3" s="777" t="s">
        <v>2230</v>
      </c>
      <c r="D3" s="777" t="s">
        <v>1204</v>
      </c>
      <c r="E3" s="777">
        <v>0</v>
      </c>
    </row>
    <row r="4" spans="1:5" x14ac:dyDescent="0.2">
      <c r="A4">
        <v>602350</v>
      </c>
      <c r="B4" s="777" t="s">
        <v>705</v>
      </c>
      <c r="C4" s="777" t="s">
        <v>634</v>
      </c>
      <c r="D4" s="777" t="s">
        <v>1204</v>
      </c>
      <c r="E4" s="777">
        <v>0</v>
      </c>
    </row>
    <row r="5" spans="1:5" x14ac:dyDescent="0.2">
      <c r="A5">
        <v>602355</v>
      </c>
      <c r="B5" s="777" t="s">
        <v>706</v>
      </c>
      <c r="C5" s="777" t="s">
        <v>2288</v>
      </c>
      <c r="D5" s="777" t="s">
        <v>1204</v>
      </c>
      <c r="E5" s="777">
        <v>101</v>
      </c>
    </row>
    <row r="6" spans="1:5" x14ac:dyDescent="0.2">
      <c r="A6">
        <v>602364</v>
      </c>
      <c r="B6" s="777" t="s">
        <v>707</v>
      </c>
      <c r="C6" s="777" t="s">
        <v>1842</v>
      </c>
      <c r="D6" s="777" t="s">
        <v>1204</v>
      </c>
      <c r="E6" s="777">
        <v>0</v>
      </c>
    </row>
    <row r="7" spans="1:5" x14ac:dyDescent="0.2">
      <c r="A7">
        <v>602368</v>
      </c>
      <c r="B7" s="777" t="s">
        <v>708</v>
      </c>
      <c r="C7" s="777" t="s">
        <v>1843</v>
      </c>
      <c r="D7" s="777" t="s">
        <v>1204</v>
      </c>
      <c r="E7" s="777">
        <v>0</v>
      </c>
    </row>
    <row r="8" spans="1:5" x14ac:dyDescent="0.2">
      <c r="A8">
        <v>602405</v>
      </c>
      <c r="B8" s="777" t="s">
        <v>709</v>
      </c>
      <c r="C8" s="777" t="s">
        <v>635</v>
      </c>
      <c r="D8" s="777" t="s">
        <v>1204</v>
      </c>
      <c r="E8" s="777">
        <v>148</v>
      </c>
    </row>
    <row r="9" spans="1:5" x14ac:dyDescent="0.2">
      <c r="A9">
        <v>602411</v>
      </c>
      <c r="B9" s="777" t="s">
        <v>710</v>
      </c>
      <c r="C9" s="777" t="s">
        <v>1844</v>
      </c>
      <c r="D9" s="777" t="s">
        <v>1204</v>
      </c>
      <c r="E9" s="777">
        <v>0</v>
      </c>
    </row>
    <row r="10" spans="1:5" x14ac:dyDescent="0.2">
      <c r="A10">
        <v>602423</v>
      </c>
      <c r="B10" s="777" t="s">
        <v>711</v>
      </c>
      <c r="C10" s="777" t="s">
        <v>1845</v>
      </c>
      <c r="D10" s="777" t="s">
        <v>1204</v>
      </c>
      <c r="E10" s="777">
        <v>0</v>
      </c>
    </row>
    <row r="11" spans="1:5" x14ac:dyDescent="0.2">
      <c r="A11">
        <v>602442</v>
      </c>
      <c r="B11" s="777" t="s">
        <v>712</v>
      </c>
      <c r="C11" s="777" t="s">
        <v>636</v>
      </c>
      <c r="D11" s="777" t="s">
        <v>1204</v>
      </c>
      <c r="E11" s="777">
        <v>0</v>
      </c>
    </row>
    <row r="12" spans="1:5" x14ac:dyDescent="0.2">
      <c r="A12">
        <v>602444</v>
      </c>
      <c r="B12" s="777" t="s">
        <v>703</v>
      </c>
      <c r="C12" s="777" t="s">
        <v>633</v>
      </c>
      <c r="D12" s="777" t="s">
        <v>1204</v>
      </c>
      <c r="E12" s="777">
        <v>329</v>
      </c>
    </row>
    <row r="13" spans="1:5" x14ac:dyDescent="0.2">
      <c r="A13">
        <v>602455</v>
      </c>
      <c r="B13" s="777" t="s">
        <v>713</v>
      </c>
      <c r="C13" s="777" t="s">
        <v>2233</v>
      </c>
      <c r="D13" s="777" t="s">
        <v>1204</v>
      </c>
      <c r="E13" s="777">
        <v>0</v>
      </c>
    </row>
    <row r="14" spans="1:5" x14ac:dyDescent="0.2">
      <c r="A14">
        <v>602461</v>
      </c>
      <c r="B14" s="777" t="s">
        <v>714</v>
      </c>
      <c r="C14" s="777" t="s">
        <v>637</v>
      </c>
      <c r="D14" s="777" t="s">
        <v>1204</v>
      </c>
      <c r="E14" s="777">
        <v>268</v>
      </c>
    </row>
    <row r="15" spans="1:5" x14ac:dyDescent="0.2">
      <c r="A15">
        <v>602467</v>
      </c>
      <c r="B15" s="777" t="s">
        <v>708</v>
      </c>
      <c r="C15" s="777" t="s">
        <v>1843</v>
      </c>
      <c r="D15" s="777" t="s">
        <v>1204</v>
      </c>
      <c r="E15" s="777">
        <v>0</v>
      </c>
    </row>
    <row r="16" spans="1:5" x14ac:dyDescent="0.2">
      <c r="A16">
        <v>602482</v>
      </c>
      <c r="B16" s="777" t="s">
        <v>715</v>
      </c>
      <c r="C16" s="777" t="s">
        <v>1849</v>
      </c>
      <c r="D16" s="777" t="s">
        <v>1204</v>
      </c>
      <c r="E16" s="777">
        <v>0</v>
      </c>
    </row>
    <row r="17" spans="1:5" x14ac:dyDescent="0.2">
      <c r="A17">
        <v>602482</v>
      </c>
      <c r="B17" s="777" t="s">
        <v>716</v>
      </c>
      <c r="C17" s="777" t="s">
        <v>1849</v>
      </c>
      <c r="D17" s="777" t="s">
        <v>1204</v>
      </c>
      <c r="E17" s="777">
        <v>0</v>
      </c>
    </row>
    <row r="18" spans="1:5" x14ac:dyDescent="0.2">
      <c r="A18">
        <v>602485</v>
      </c>
      <c r="B18" s="777" t="s">
        <v>717</v>
      </c>
      <c r="C18" s="777" t="s">
        <v>638</v>
      </c>
      <c r="D18" s="777" t="s">
        <v>1204</v>
      </c>
      <c r="E18" s="777">
        <v>0</v>
      </c>
    </row>
    <row r="19" spans="1:5" x14ac:dyDescent="0.2">
      <c r="A19">
        <v>602544</v>
      </c>
      <c r="B19" s="777" t="s">
        <v>711</v>
      </c>
      <c r="C19" s="777" t="s">
        <v>639</v>
      </c>
      <c r="D19" s="777" t="s">
        <v>1204</v>
      </c>
      <c r="E19" s="777">
        <v>0</v>
      </c>
    </row>
    <row r="20" spans="1:5" x14ac:dyDescent="0.2">
      <c r="A20">
        <v>602556</v>
      </c>
      <c r="B20" s="777" t="s">
        <v>718</v>
      </c>
      <c r="C20" s="777" t="s">
        <v>640</v>
      </c>
      <c r="D20" s="777" t="s">
        <v>1204</v>
      </c>
      <c r="E20" s="777">
        <v>0</v>
      </c>
    </row>
    <row r="21" spans="1:5" x14ac:dyDescent="0.2">
      <c r="A21">
        <v>602559</v>
      </c>
      <c r="B21" s="777" t="s">
        <v>719</v>
      </c>
      <c r="C21" s="777" t="s">
        <v>641</v>
      </c>
      <c r="D21" s="777" t="s">
        <v>1204</v>
      </c>
      <c r="E21" s="777">
        <v>0</v>
      </c>
    </row>
    <row r="22" spans="1:5" x14ac:dyDescent="0.2">
      <c r="A22">
        <v>602562</v>
      </c>
      <c r="B22" s="777" t="s">
        <v>719</v>
      </c>
      <c r="C22" s="777" t="s">
        <v>642</v>
      </c>
      <c r="D22" s="777" t="s">
        <v>1204</v>
      </c>
      <c r="E22" s="777">
        <v>0</v>
      </c>
    </row>
    <row r="23" spans="1:5" x14ac:dyDescent="0.2">
      <c r="A23">
        <v>602598</v>
      </c>
      <c r="B23" s="777" t="s">
        <v>702</v>
      </c>
      <c r="C23" s="777" t="s">
        <v>632</v>
      </c>
      <c r="D23" s="777" t="s">
        <v>1204</v>
      </c>
      <c r="E23" s="777">
        <v>91</v>
      </c>
    </row>
    <row r="24" spans="1:5" x14ac:dyDescent="0.2">
      <c r="A24">
        <v>602613</v>
      </c>
      <c r="B24" s="777" t="s">
        <v>720</v>
      </c>
      <c r="C24" s="777" t="s">
        <v>1851</v>
      </c>
      <c r="D24" s="777" t="s">
        <v>1204</v>
      </c>
      <c r="E24" s="777">
        <v>0</v>
      </c>
    </row>
    <row r="25" spans="1:5" x14ac:dyDescent="0.2">
      <c r="A25">
        <v>602664</v>
      </c>
      <c r="B25" s="777" t="s">
        <v>721</v>
      </c>
      <c r="C25" s="777" t="s">
        <v>643</v>
      </c>
      <c r="D25" s="777" t="s">
        <v>1204</v>
      </c>
      <c r="E25" s="777">
        <v>0</v>
      </c>
    </row>
    <row r="26" spans="1:5" x14ac:dyDescent="0.2">
      <c r="A26">
        <v>602670</v>
      </c>
      <c r="B26" s="777" t="s">
        <v>609</v>
      </c>
      <c r="C26" s="777" t="s">
        <v>1853</v>
      </c>
      <c r="D26" s="777" t="s">
        <v>1204</v>
      </c>
      <c r="E26" s="777">
        <v>142</v>
      </c>
    </row>
    <row r="27" spans="1:5" x14ac:dyDescent="0.2">
      <c r="A27">
        <v>602671</v>
      </c>
      <c r="B27" s="777" t="s">
        <v>610</v>
      </c>
      <c r="C27" s="777" t="s">
        <v>1853</v>
      </c>
      <c r="D27" s="777" t="s">
        <v>1204</v>
      </c>
      <c r="E27" s="777">
        <v>385</v>
      </c>
    </row>
    <row r="28" spans="1:5" x14ac:dyDescent="0.2">
      <c r="A28">
        <v>602736</v>
      </c>
      <c r="B28" s="777" t="s">
        <v>722</v>
      </c>
      <c r="C28" s="777" t="s">
        <v>644</v>
      </c>
      <c r="D28" s="777" t="s">
        <v>1204</v>
      </c>
      <c r="E28" s="777">
        <v>0</v>
      </c>
    </row>
    <row r="29" spans="1:5" x14ac:dyDescent="0.2">
      <c r="A29">
        <v>604724</v>
      </c>
      <c r="B29" s="777" t="s">
        <v>723</v>
      </c>
      <c r="C29" s="777" t="s">
        <v>645</v>
      </c>
      <c r="D29" s="777" t="s">
        <v>1204</v>
      </c>
      <c r="E29" s="777">
        <v>0</v>
      </c>
    </row>
    <row r="30" spans="1:5" x14ac:dyDescent="0.2">
      <c r="A30">
        <v>616411</v>
      </c>
      <c r="B30" s="777" t="s">
        <v>724</v>
      </c>
      <c r="C30" s="777" t="s">
        <v>1862</v>
      </c>
      <c r="D30" s="777" t="s">
        <v>1204</v>
      </c>
      <c r="E30" s="777">
        <v>0</v>
      </c>
    </row>
    <row r="31" spans="1:5" x14ac:dyDescent="0.2">
      <c r="A31">
        <v>617598</v>
      </c>
      <c r="B31" s="777" t="s">
        <v>725</v>
      </c>
      <c r="C31" s="777" t="s">
        <v>1742</v>
      </c>
      <c r="D31" s="777" t="s">
        <v>1204</v>
      </c>
      <c r="E31" s="777">
        <v>0</v>
      </c>
    </row>
    <row r="32" spans="1:5" x14ac:dyDescent="0.2">
      <c r="A32">
        <v>618011</v>
      </c>
      <c r="B32" s="777" t="s">
        <v>726</v>
      </c>
      <c r="C32" s="777" t="s">
        <v>1863</v>
      </c>
      <c r="D32" s="777" t="s">
        <v>1204</v>
      </c>
      <c r="E32" s="777">
        <v>51</v>
      </c>
    </row>
    <row r="33" spans="1:5" x14ac:dyDescent="0.2">
      <c r="A33">
        <v>620073</v>
      </c>
      <c r="B33" s="777" t="s">
        <v>727</v>
      </c>
      <c r="C33" s="777" t="s">
        <v>646</v>
      </c>
      <c r="D33" s="777" t="s">
        <v>1204</v>
      </c>
      <c r="E33" s="777">
        <v>0</v>
      </c>
    </row>
    <row r="34" spans="1:5" x14ac:dyDescent="0.2">
      <c r="A34">
        <v>620988</v>
      </c>
      <c r="B34" s="777" t="s">
        <v>728</v>
      </c>
      <c r="C34" s="777" t="s">
        <v>1261</v>
      </c>
      <c r="D34" s="777" t="s">
        <v>1204</v>
      </c>
      <c r="E34" s="777">
        <v>0</v>
      </c>
    </row>
    <row r="35" spans="1:5" x14ac:dyDescent="0.2">
      <c r="A35">
        <v>622471</v>
      </c>
      <c r="B35" s="777" t="s">
        <v>729</v>
      </c>
      <c r="C35" s="777" t="s">
        <v>1867</v>
      </c>
      <c r="D35" s="777" t="s">
        <v>1204</v>
      </c>
      <c r="E35" s="777">
        <v>424</v>
      </c>
    </row>
    <row r="36" spans="1:5" x14ac:dyDescent="0.2">
      <c r="A36">
        <v>622546</v>
      </c>
      <c r="B36" s="777" t="s">
        <v>730</v>
      </c>
      <c r="C36" s="777" t="s">
        <v>1868</v>
      </c>
      <c r="D36" s="777" t="s">
        <v>1204</v>
      </c>
      <c r="E36" s="777">
        <v>0</v>
      </c>
    </row>
    <row r="37" spans="1:5" x14ac:dyDescent="0.2">
      <c r="A37">
        <v>622576</v>
      </c>
      <c r="B37" s="777" t="s">
        <v>728</v>
      </c>
      <c r="C37" s="777" t="s">
        <v>1865</v>
      </c>
      <c r="D37" s="777" t="s">
        <v>1204</v>
      </c>
      <c r="E37" s="777">
        <v>0</v>
      </c>
    </row>
    <row r="38" spans="1:5" x14ac:dyDescent="0.2">
      <c r="A38">
        <v>622577</v>
      </c>
      <c r="B38" s="777" t="s">
        <v>728</v>
      </c>
      <c r="C38" s="777" t="s">
        <v>1865</v>
      </c>
      <c r="D38" s="777" t="s">
        <v>1204</v>
      </c>
      <c r="E38" s="777">
        <v>0</v>
      </c>
    </row>
    <row r="39" spans="1:5" x14ac:dyDescent="0.2">
      <c r="A39">
        <v>622578</v>
      </c>
      <c r="B39" s="777" t="s">
        <v>728</v>
      </c>
      <c r="C39" s="777" t="s">
        <v>1865</v>
      </c>
      <c r="D39" s="777" t="s">
        <v>1204</v>
      </c>
      <c r="E39" s="777">
        <v>0</v>
      </c>
    </row>
    <row r="40" spans="1:5" x14ac:dyDescent="0.2">
      <c r="A40">
        <v>622622</v>
      </c>
      <c r="B40" s="777" t="s">
        <v>715</v>
      </c>
      <c r="C40" s="777" t="s">
        <v>1849</v>
      </c>
      <c r="D40" s="777" t="s">
        <v>1204</v>
      </c>
      <c r="E40" s="777">
        <v>0</v>
      </c>
    </row>
    <row r="41" spans="1:5" x14ac:dyDescent="0.2">
      <c r="A41">
        <v>623640</v>
      </c>
      <c r="B41" s="777" t="s">
        <v>731</v>
      </c>
      <c r="C41" s="777" t="s">
        <v>647</v>
      </c>
      <c r="D41" s="777" t="s">
        <v>1204</v>
      </c>
      <c r="E41" s="777">
        <v>0</v>
      </c>
    </row>
    <row r="42" spans="1:5" x14ac:dyDescent="0.2">
      <c r="A42">
        <v>627342</v>
      </c>
      <c r="B42" s="777" t="s">
        <v>732</v>
      </c>
      <c r="C42" s="777" t="s">
        <v>648</v>
      </c>
      <c r="D42" s="777" t="s">
        <v>1204</v>
      </c>
      <c r="E42" s="777">
        <v>145</v>
      </c>
    </row>
    <row r="43" spans="1:5" x14ac:dyDescent="0.2">
      <c r="A43">
        <v>628227</v>
      </c>
      <c r="B43" s="777" t="s">
        <v>728</v>
      </c>
      <c r="C43" s="777" t="s">
        <v>1261</v>
      </c>
      <c r="D43" s="777" t="s">
        <v>1204</v>
      </c>
      <c r="E43" s="777">
        <v>0</v>
      </c>
    </row>
    <row r="44" spans="1:5" x14ac:dyDescent="0.2">
      <c r="A44">
        <v>629019</v>
      </c>
      <c r="B44" s="777" t="s">
        <v>723</v>
      </c>
      <c r="C44" s="777" t="s">
        <v>649</v>
      </c>
      <c r="D44" s="777" t="s">
        <v>1204</v>
      </c>
      <c r="E44" s="777">
        <v>0</v>
      </c>
    </row>
    <row r="45" spans="1:5" x14ac:dyDescent="0.2">
      <c r="A45">
        <v>630211</v>
      </c>
      <c r="B45" s="777" t="s">
        <v>733</v>
      </c>
      <c r="C45" s="777" t="s">
        <v>650</v>
      </c>
      <c r="D45" s="777" t="s">
        <v>1204</v>
      </c>
      <c r="E45" s="777">
        <v>0</v>
      </c>
    </row>
    <row r="46" spans="1:5" x14ac:dyDescent="0.2">
      <c r="A46">
        <v>632571</v>
      </c>
      <c r="B46" s="777" t="s">
        <v>711</v>
      </c>
      <c r="C46" s="777" t="s">
        <v>651</v>
      </c>
      <c r="D46" s="777" t="s">
        <v>1204</v>
      </c>
      <c r="E46" s="777">
        <v>0</v>
      </c>
    </row>
    <row r="47" spans="1:5" x14ac:dyDescent="0.2">
      <c r="A47">
        <v>633874</v>
      </c>
      <c r="B47" s="777" t="s">
        <v>734</v>
      </c>
      <c r="C47" s="777" t="s">
        <v>652</v>
      </c>
      <c r="D47" s="777" t="s">
        <v>1204</v>
      </c>
      <c r="E47" s="777">
        <v>0</v>
      </c>
    </row>
    <row r="48" spans="1:5" x14ac:dyDescent="0.2">
      <c r="A48">
        <v>634555</v>
      </c>
      <c r="B48" s="777" t="s">
        <v>735</v>
      </c>
      <c r="C48" s="777" t="s">
        <v>1850</v>
      </c>
      <c r="D48" s="777" t="s">
        <v>1204</v>
      </c>
      <c r="E48" s="777">
        <v>0</v>
      </c>
    </row>
    <row r="49" spans="1:5" x14ac:dyDescent="0.2">
      <c r="A49">
        <v>634585</v>
      </c>
      <c r="B49" s="777" t="s">
        <v>725</v>
      </c>
      <c r="C49" s="777" t="s">
        <v>653</v>
      </c>
      <c r="D49" s="777" t="s">
        <v>1204</v>
      </c>
      <c r="E49" s="777">
        <v>0</v>
      </c>
    </row>
    <row r="50" spans="1:5" x14ac:dyDescent="0.2">
      <c r="A50">
        <v>634679</v>
      </c>
      <c r="B50" s="777" t="s">
        <v>736</v>
      </c>
      <c r="C50" s="777" t="s">
        <v>654</v>
      </c>
      <c r="D50" s="777" t="s">
        <v>1204</v>
      </c>
      <c r="E50" s="777">
        <v>0</v>
      </c>
    </row>
    <row r="51" spans="1:5" x14ac:dyDescent="0.2">
      <c r="A51">
        <v>634894</v>
      </c>
      <c r="B51" s="777" t="s">
        <v>737</v>
      </c>
      <c r="C51" s="777" t="s">
        <v>655</v>
      </c>
      <c r="D51" s="777" t="s">
        <v>1204</v>
      </c>
      <c r="E51" s="777">
        <v>0</v>
      </c>
    </row>
    <row r="52" spans="1:5" x14ac:dyDescent="0.2">
      <c r="A52">
        <v>635056</v>
      </c>
      <c r="B52" s="777" t="s">
        <v>737</v>
      </c>
      <c r="C52" s="777" t="s">
        <v>655</v>
      </c>
      <c r="D52" s="777" t="s">
        <v>1204</v>
      </c>
      <c r="E52" s="777">
        <v>0</v>
      </c>
    </row>
    <row r="53" spans="1:5" x14ac:dyDescent="0.2">
      <c r="A53">
        <v>635268</v>
      </c>
      <c r="B53" s="777" t="s">
        <v>721</v>
      </c>
      <c r="C53" s="777" t="s">
        <v>1998</v>
      </c>
      <c r="D53" s="777" t="s">
        <v>1204</v>
      </c>
      <c r="E53" s="777">
        <v>0</v>
      </c>
    </row>
    <row r="54" spans="1:5" x14ac:dyDescent="0.2">
      <c r="A54">
        <v>635719</v>
      </c>
      <c r="B54" s="777" t="s">
        <v>738</v>
      </c>
      <c r="C54" s="777" t="s">
        <v>656</v>
      </c>
      <c r="D54" s="777" t="s">
        <v>1204</v>
      </c>
      <c r="E54" s="777">
        <v>0</v>
      </c>
    </row>
    <row r="55" spans="1:5" x14ac:dyDescent="0.2">
      <c r="A55">
        <v>636989</v>
      </c>
      <c r="B55" s="777" t="s">
        <v>739</v>
      </c>
      <c r="C55" s="777" t="s">
        <v>657</v>
      </c>
      <c r="D55" s="777" t="s">
        <v>1204</v>
      </c>
      <c r="E55" s="777">
        <v>0</v>
      </c>
    </row>
    <row r="56" spans="1:5" x14ac:dyDescent="0.2">
      <c r="A56">
        <v>708922</v>
      </c>
      <c r="B56" s="777" t="s">
        <v>740</v>
      </c>
      <c r="C56" s="777" t="s">
        <v>658</v>
      </c>
      <c r="D56" s="777" t="s">
        <v>1204</v>
      </c>
      <c r="E56" s="777">
        <v>0</v>
      </c>
    </row>
    <row r="57" spans="1:5" x14ac:dyDescent="0.2">
      <c r="A57">
        <v>708933</v>
      </c>
      <c r="B57" s="777" t="s">
        <v>741</v>
      </c>
      <c r="C57" s="777" t="s">
        <v>659</v>
      </c>
      <c r="D57" s="777" t="s">
        <v>1204</v>
      </c>
      <c r="E57" s="777">
        <v>0</v>
      </c>
    </row>
    <row r="58" spans="1:5" x14ac:dyDescent="0.2">
      <c r="A58">
        <v>709094</v>
      </c>
      <c r="B58" s="777" t="s">
        <v>742</v>
      </c>
      <c r="C58" s="777" t="s">
        <v>1207</v>
      </c>
      <c r="D58" s="777" t="s">
        <v>1204</v>
      </c>
      <c r="E58" s="777">
        <v>0</v>
      </c>
    </row>
    <row r="59" spans="1:5" x14ac:dyDescent="0.2">
      <c r="A59">
        <v>710760</v>
      </c>
      <c r="B59" s="777" t="s">
        <v>743</v>
      </c>
      <c r="C59" s="777" t="s">
        <v>660</v>
      </c>
      <c r="D59" s="777" t="s">
        <v>1204</v>
      </c>
      <c r="E59" s="777">
        <v>0</v>
      </c>
    </row>
    <row r="60" spans="1:5" x14ac:dyDescent="0.2">
      <c r="A60">
        <v>710961</v>
      </c>
      <c r="B60" s="777" t="s">
        <v>744</v>
      </c>
      <c r="C60" s="777" t="s">
        <v>2007</v>
      </c>
      <c r="D60" s="777" t="s">
        <v>1204</v>
      </c>
      <c r="E60" s="777">
        <v>0</v>
      </c>
    </row>
    <row r="61" spans="1:5" x14ac:dyDescent="0.2">
      <c r="A61">
        <v>711108</v>
      </c>
      <c r="B61" s="777" t="s">
        <v>745</v>
      </c>
      <c r="C61" s="777" t="s">
        <v>1884</v>
      </c>
      <c r="D61" s="777" t="s">
        <v>1204</v>
      </c>
      <c r="E61" s="777">
        <v>0</v>
      </c>
    </row>
    <row r="62" spans="1:5" x14ac:dyDescent="0.2">
      <c r="A62">
        <v>711586</v>
      </c>
      <c r="B62" s="777" t="s">
        <v>607</v>
      </c>
      <c r="C62" s="777" t="s">
        <v>1582</v>
      </c>
      <c r="D62" s="777" t="s">
        <v>1204</v>
      </c>
      <c r="E62" s="777">
        <v>0</v>
      </c>
    </row>
    <row r="63" spans="1:5" x14ac:dyDescent="0.2">
      <c r="A63">
        <v>712310</v>
      </c>
      <c r="B63" s="777" t="s">
        <v>746</v>
      </c>
      <c r="C63" s="777" t="s">
        <v>2010</v>
      </c>
      <c r="D63" s="777" t="s">
        <v>1204</v>
      </c>
      <c r="E63" s="777">
        <v>0</v>
      </c>
    </row>
    <row r="64" spans="1:5" x14ac:dyDescent="0.2">
      <c r="A64">
        <v>713078</v>
      </c>
      <c r="B64" s="777" t="s">
        <v>747</v>
      </c>
      <c r="C64" s="777" t="s">
        <v>661</v>
      </c>
      <c r="D64" s="777" t="s">
        <v>1204</v>
      </c>
      <c r="E64" s="777">
        <v>0</v>
      </c>
    </row>
    <row r="65" spans="1:5" x14ac:dyDescent="0.2">
      <c r="A65">
        <v>713095</v>
      </c>
      <c r="B65" s="777" t="s">
        <v>748</v>
      </c>
      <c r="C65" s="777" t="s">
        <v>662</v>
      </c>
      <c r="D65" s="777" t="s">
        <v>1204</v>
      </c>
      <c r="E65" s="777">
        <v>0</v>
      </c>
    </row>
    <row r="66" spans="1:5" x14ac:dyDescent="0.2">
      <c r="A66">
        <v>713258</v>
      </c>
      <c r="B66" s="777" t="s">
        <v>749</v>
      </c>
      <c r="C66" s="777" t="s">
        <v>663</v>
      </c>
      <c r="D66" s="777" t="s">
        <v>1204</v>
      </c>
      <c r="E66" s="777">
        <v>0</v>
      </c>
    </row>
    <row r="67" spans="1:5" x14ac:dyDescent="0.2">
      <c r="A67">
        <v>713762</v>
      </c>
      <c r="B67" s="777" t="s">
        <v>1426</v>
      </c>
      <c r="C67" s="777" t="s">
        <v>1426</v>
      </c>
      <c r="D67" s="777" t="s">
        <v>1204</v>
      </c>
      <c r="E67" s="777">
        <v>0</v>
      </c>
    </row>
    <row r="68" spans="1:5" x14ac:dyDescent="0.2">
      <c r="A68">
        <v>717296</v>
      </c>
      <c r="B68" s="777" t="s">
        <v>750</v>
      </c>
      <c r="C68" s="777" t="s">
        <v>664</v>
      </c>
      <c r="D68" s="777" t="s">
        <v>1204</v>
      </c>
      <c r="E68" s="777">
        <v>0</v>
      </c>
    </row>
    <row r="69" spans="1:5" x14ac:dyDescent="0.2">
      <c r="A69">
        <v>717858</v>
      </c>
      <c r="B69" s="777" t="s">
        <v>742</v>
      </c>
      <c r="C69" s="777" t="s">
        <v>665</v>
      </c>
      <c r="D69" s="777" t="s">
        <v>1204</v>
      </c>
      <c r="E69" s="777">
        <v>0</v>
      </c>
    </row>
    <row r="70" spans="1:5" x14ac:dyDescent="0.2">
      <c r="A70">
        <v>718417</v>
      </c>
      <c r="B70" s="777" t="s">
        <v>751</v>
      </c>
      <c r="C70" s="777" t="s">
        <v>666</v>
      </c>
      <c r="D70" s="777" t="s">
        <v>1204</v>
      </c>
      <c r="E70" s="777">
        <v>0</v>
      </c>
    </row>
    <row r="71" spans="1:5" x14ac:dyDescent="0.2">
      <c r="A71">
        <v>719181</v>
      </c>
      <c r="B71" s="777" t="s">
        <v>752</v>
      </c>
      <c r="C71" s="777" t="s">
        <v>667</v>
      </c>
      <c r="D71" s="777" t="s">
        <v>1204</v>
      </c>
      <c r="E71" s="777">
        <v>162</v>
      </c>
    </row>
    <row r="72" spans="1:5" x14ac:dyDescent="0.2">
      <c r="A72">
        <v>720846</v>
      </c>
      <c r="B72" s="777" t="s">
        <v>753</v>
      </c>
      <c r="C72" s="777" t="s">
        <v>668</v>
      </c>
      <c r="D72" s="777" t="s">
        <v>1204</v>
      </c>
      <c r="E72" s="777">
        <v>0</v>
      </c>
    </row>
    <row r="73" spans="1:5" x14ac:dyDescent="0.2">
      <c r="A73">
        <v>721071</v>
      </c>
      <c r="B73" s="777" t="s">
        <v>754</v>
      </c>
      <c r="C73" s="777" t="s">
        <v>1259</v>
      </c>
      <c r="D73" s="777" t="s">
        <v>1204</v>
      </c>
      <c r="E73" s="777">
        <v>0</v>
      </c>
    </row>
    <row r="74" spans="1:5" x14ac:dyDescent="0.2">
      <c r="A74">
        <v>721824</v>
      </c>
      <c r="B74" s="777" t="s">
        <v>755</v>
      </c>
      <c r="C74" s="777" t="s">
        <v>1890</v>
      </c>
      <c r="D74" s="777" t="s">
        <v>1204</v>
      </c>
      <c r="E74" s="777">
        <v>0</v>
      </c>
    </row>
    <row r="75" spans="1:5" x14ac:dyDescent="0.2">
      <c r="A75">
        <v>721905</v>
      </c>
      <c r="B75" s="777" t="s">
        <v>756</v>
      </c>
      <c r="C75" s="777" t="s">
        <v>669</v>
      </c>
      <c r="D75" s="777" t="s">
        <v>1204</v>
      </c>
      <c r="E75" s="777">
        <v>0</v>
      </c>
    </row>
    <row r="76" spans="1:5" x14ac:dyDescent="0.2">
      <c r="A76">
        <v>722099</v>
      </c>
      <c r="B76" s="777" t="s">
        <v>757</v>
      </c>
      <c r="C76" s="777" t="s">
        <v>2033</v>
      </c>
      <c r="D76" s="777" t="s">
        <v>1204</v>
      </c>
      <c r="E76" s="777">
        <v>48</v>
      </c>
    </row>
    <row r="77" spans="1:5" x14ac:dyDescent="0.2">
      <c r="A77">
        <v>722242</v>
      </c>
      <c r="B77" s="777" t="s">
        <v>758</v>
      </c>
      <c r="C77" s="777" t="s">
        <v>1228</v>
      </c>
      <c r="D77" s="777" t="s">
        <v>1204</v>
      </c>
      <c r="E77" s="777">
        <v>0</v>
      </c>
    </row>
    <row r="78" spans="1:5" x14ac:dyDescent="0.2">
      <c r="A78">
        <v>722821</v>
      </c>
      <c r="B78" s="777" t="s">
        <v>759</v>
      </c>
      <c r="C78" s="777" t="s">
        <v>670</v>
      </c>
      <c r="D78" s="777" t="s">
        <v>1204</v>
      </c>
      <c r="E78" s="777">
        <v>0</v>
      </c>
    </row>
    <row r="79" spans="1:5" x14ac:dyDescent="0.2">
      <c r="A79">
        <v>722909</v>
      </c>
      <c r="B79" s="777" t="s">
        <v>760</v>
      </c>
      <c r="C79" s="777" t="s">
        <v>1896</v>
      </c>
      <c r="D79" s="777" t="s">
        <v>1204</v>
      </c>
      <c r="E79" s="777">
        <v>0</v>
      </c>
    </row>
    <row r="80" spans="1:5" x14ac:dyDescent="0.2">
      <c r="A80">
        <v>722974</v>
      </c>
      <c r="B80" s="777" t="s">
        <v>761</v>
      </c>
      <c r="C80" s="777" t="s">
        <v>2036</v>
      </c>
      <c r="D80" s="777" t="s">
        <v>1204</v>
      </c>
      <c r="E80" s="777">
        <v>0</v>
      </c>
    </row>
    <row r="81" spans="1:5" x14ac:dyDescent="0.2">
      <c r="A81">
        <v>723017</v>
      </c>
      <c r="B81" s="777" t="s">
        <v>762</v>
      </c>
      <c r="C81" s="777" t="s">
        <v>671</v>
      </c>
      <c r="D81" s="777" t="s">
        <v>1204</v>
      </c>
      <c r="E81" s="777">
        <v>0</v>
      </c>
    </row>
    <row r="82" spans="1:5" x14ac:dyDescent="0.2">
      <c r="A82">
        <v>723517</v>
      </c>
      <c r="B82" s="777" t="s">
        <v>763</v>
      </c>
      <c r="C82" s="777" t="s">
        <v>672</v>
      </c>
      <c r="D82" s="777" t="s">
        <v>1204</v>
      </c>
      <c r="E82" s="777">
        <v>567</v>
      </c>
    </row>
    <row r="83" spans="1:5" x14ac:dyDescent="0.2">
      <c r="A83">
        <v>723668</v>
      </c>
      <c r="B83" s="777" t="s">
        <v>747</v>
      </c>
      <c r="C83" s="777" t="s">
        <v>2258</v>
      </c>
      <c r="D83" s="777" t="s">
        <v>1204</v>
      </c>
      <c r="E83" s="777">
        <v>0</v>
      </c>
    </row>
    <row r="84" spans="1:5" x14ac:dyDescent="0.2">
      <c r="A84">
        <v>724802</v>
      </c>
      <c r="B84" s="777" t="s">
        <v>764</v>
      </c>
      <c r="C84" s="777" t="s">
        <v>1900</v>
      </c>
      <c r="D84" s="777" t="s">
        <v>1204</v>
      </c>
      <c r="E84" s="777">
        <v>106</v>
      </c>
    </row>
    <row r="85" spans="1:5" x14ac:dyDescent="0.2">
      <c r="A85">
        <v>727018</v>
      </c>
      <c r="B85" s="777" t="s">
        <v>765</v>
      </c>
      <c r="C85" s="777" t="s">
        <v>673</v>
      </c>
      <c r="D85" s="777" t="s">
        <v>1204</v>
      </c>
      <c r="E85" s="777">
        <v>0</v>
      </c>
    </row>
    <row r="86" spans="1:5" x14ac:dyDescent="0.2">
      <c r="A86">
        <v>729044</v>
      </c>
      <c r="B86" s="777" t="s">
        <v>2047</v>
      </c>
      <c r="C86" s="777" t="s">
        <v>608</v>
      </c>
      <c r="D86" s="777" t="s">
        <v>1204</v>
      </c>
      <c r="E86" s="777">
        <v>0</v>
      </c>
    </row>
    <row r="87" spans="1:5" x14ac:dyDescent="0.2">
      <c r="A87">
        <v>729331</v>
      </c>
      <c r="B87" s="777" t="s">
        <v>766</v>
      </c>
      <c r="C87" s="777" t="s">
        <v>1218</v>
      </c>
      <c r="D87" s="777" t="s">
        <v>1204</v>
      </c>
      <c r="E87" s="777">
        <v>0</v>
      </c>
    </row>
    <row r="88" spans="1:5" x14ac:dyDescent="0.2">
      <c r="A88">
        <v>729582</v>
      </c>
      <c r="B88" s="777" t="s">
        <v>767</v>
      </c>
      <c r="C88" s="777" t="s">
        <v>674</v>
      </c>
      <c r="D88" s="777" t="s">
        <v>1204</v>
      </c>
      <c r="E88" s="777">
        <v>0</v>
      </c>
    </row>
    <row r="89" spans="1:5" x14ac:dyDescent="0.2">
      <c r="A89">
        <v>730140</v>
      </c>
      <c r="B89" s="777" t="s">
        <v>768</v>
      </c>
      <c r="C89" s="777" t="s">
        <v>1903</v>
      </c>
      <c r="D89" s="777" t="s">
        <v>1204</v>
      </c>
      <c r="E89" s="777">
        <v>0</v>
      </c>
    </row>
    <row r="90" spans="1:5" x14ac:dyDescent="0.2">
      <c r="A90">
        <v>730935</v>
      </c>
      <c r="B90" s="777" t="s">
        <v>769</v>
      </c>
      <c r="C90" s="777" t="s">
        <v>675</v>
      </c>
      <c r="D90" s="777" t="s">
        <v>1204</v>
      </c>
      <c r="E90" s="777">
        <v>0</v>
      </c>
    </row>
    <row r="91" spans="1:5" x14ac:dyDescent="0.2">
      <c r="A91">
        <v>731275</v>
      </c>
      <c r="B91" s="777" t="s">
        <v>770</v>
      </c>
      <c r="C91" s="777" t="s">
        <v>676</v>
      </c>
      <c r="D91" s="777" t="s">
        <v>1204</v>
      </c>
      <c r="E91" s="777">
        <v>449</v>
      </c>
    </row>
    <row r="92" spans="1:5" x14ac:dyDescent="0.2">
      <c r="A92">
        <v>731882</v>
      </c>
      <c r="B92" s="777" t="s">
        <v>771</v>
      </c>
      <c r="C92" s="777" t="s">
        <v>1242</v>
      </c>
      <c r="D92" s="777" t="s">
        <v>1204</v>
      </c>
      <c r="E92" s="777">
        <v>0</v>
      </c>
    </row>
    <row r="93" spans="1:5" x14ac:dyDescent="0.2">
      <c r="A93">
        <v>732038</v>
      </c>
      <c r="B93" s="777" t="s">
        <v>772</v>
      </c>
      <c r="C93" s="777" t="s">
        <v>677</v>
      </c>
      <c r="D93" s="777" t="s">
        <v>1204</v>
      </c>
      <c r="E93" s="777">
        <v>0</v>
      </c>
    </row>
    <row r="94" spans="1:5" x14ac:dyDescent="0.2">
      <c r="A94">
        <v>733453</v>
      </c>
      <c r="B94" s="777" t="s">
        <v>773</v>
      </c>
      <c r="C94" s="777" t="s">
        <v>678</v>
      </c>
      <c r="D94" s="777" t="s">
        <v>1204</v>
      </c>
      <c r="E94" s="777">
        <v>0</v>
      </c>
    </row>
    <row r="95" spans="1:5" x14ac:dyDescent="0.2">
      <c r="A95">
        <v>733704</v>
      </c>
      <c r="B95" s="777" t="s">
        <v>774</v>
      </c>
      <c r="C95" s="777" t="s">
        <v>679</v>
      </c>
      <c r="D95" s="777" t="s">
        <v>1204</v>
      </c>
      <c r="E95" s="777">
        <v>0</v>
      </c>
    </row>
    <row r="96" spans="1:5" x14ac:dyDescent="0.2">
      <c r="A96">
        <v>734209</v>
      </c>
      <c r="B96" s="777" t="s">
        <v>775</v>
      </c>
      <c r="C96" s="777" t="s">
        <v>680</v>
      </c>
      <c r="D96" s="777" t="s">
        <v>1204</v>
      </c>
      <c r="E96" s="777">
        <v>0</v>
      </c>
    </row>
    <row r="97" spans="1:5" x14ac:dyDescent="0.2">
      <c r="A97">
        <v>734857</v>
      </c>
      <c r="B97" s="777" t="s">
        <v>776</v>
      </c>
      <c r="C97" s="777" t="s">
        <v>681</v>
      </c>
      <c r="D97" s="777" t="s">
        <v>1204</v>
      </c>
      <c r="E97" s="777">
        <v>0</v>
      </c>
    </row>
    <row r="98" spans="1:5" x14ac:dyDescent="0.2">
      <c r="A98">
        <v>734918</v>
      </c>
      <c r="B98" s="777" t="s">
        <v>777</v>
      </c>
      <c r="C98" s="777" t="s">
        <v>682</v>
      </c>
      <c r="D98" s="777" t="s">
        <v>1204</v>
      </c>
      <c r="E98" s="777">
        <v>0</v>
      </c>
    </row>
    <row r="99" spans="1:5" x14ac:dyDescent="0.2">
      <c r="A99">
        <v>734994</v>
      </c>
      <c r="B99" s="777" t="s">
        <v>778</v>
      </c>
      <c r="C99" s="777" t="s">
        <v>683</v>
      </c>
      <c r="D99" s="777" t="s">
        <v>1204</v>
      </c>
      <c r="E99" s="777">
        <v>0</v>
      </c>
    </row>
    <row r="100" spans="1:5" x14ac:dyDescent="0.2">
      <c r="A100">
        <v>735116</v>
      </c>
      <c r="B100" s="777" t="s">
        <v>779</v>
      </c>
      <c r="C100" s="777" t="s">
        <v>684</v>
      </c>
      <c r="D100" s="777" t="s">
        <v>1204</v>
      </c>
      <c r="E100" s="777">
        <v>0</v>
      </c>
    </row>
    <row r="101" spans="1:5" x14ac:dyDescent="0.2">
      <c r="A101">
        <v>735273</v>
      </c>
      <c r="B101" s="777" t="s">
        <v>750</v>
      </c>
      <c r="C101" s="777" t="s">
        <v>2117</v>
      </c>
      <c r="D101" s="777" t="s">
        <v>1204</v>
      </c>
      <c r="E101" s="777">
        <v>0</v>
      </c>
    </row>
    <row r="102" spans="1:5" x14ac:dyDescent="0.2">
      <c r="A102">
        <v>801980</v>
      </c>
      <c r="B102" s="777" t="s">
        <v>780</v>
      </c>
      <c r="C102" s="777" t="s">
        <v>685</v>
      </c>
      <c r="D102" s="777" t="s">
        <v>1204</v>
      </c>
      <c r="E102" s="777">
        <v>0</v>
      </c>
    </row>
    <row r="103" spans="1:5" x14ac:dyDescent="0.2">
      <c r="A103">
        <v>802049</v>
      </c>
      <c r="B103" s="777" t="s">
        <v>781</v>
      </c>
      <c r="C103" s="777" t="s">
        <v>686</v>
      </c>
      <c r="D103" s="777" t="s">
        <v>1204</v>
      </c>
      <c r="E103" s="777">
        <v>0</v>
      </c>
    </row>
    <row r="104" spans="1:5" x14ac:dyDescent="0.2">
      <c r="A104">
        <v>802477</v>
      </c>
      <c r="B104" s="777" t="s">
        <v>782</v>
      </c>
      <c r="C104" s="777" t="s">
        <v>687</v>
      </c>
      <c r="D104" s="777" t="s">
        <v>1204</v>
      </c>
      <c r="E104" s="777">
        <v>0</v>
      </c>
    </row>
    <row r="105" spans="1:5" x14ac:dyDescent="0.2">
      <c r="A105">
        <v>802938</v>
      </c>
      <c r="B105" s="777" t="s">
        <v>783</v>
      </c>
      <c r="C105" s="777" t="s">
        <v>2125</v>
      </c>
      <c r="D105" s="777" t="s">
        <v>1204</v>
      </c>
      <c r="E105" s="777">
        <v>0</v>
      </c>
    </row>
    <row r="106" spans="1:5" x14ac:dyDescent="0.2">
      <c r="A106">
        <v>806321</v>
      </c>
      <c r="B106" s="777" t="s">
        <v>784</v>
      </c>
      <c r="C106" s="777" t="s">
        <v>1422</v>
      </c>
      <c r="D106" s="777" t="s">
        <v>1204</v>
      </c>
      <c r="E106" s="777">
        <v>0</v>
      </c>
    </row>
    <row r="107" spans="1:5" x14ac:dyDescent="0.2">
      <c r="A107">
        <v>821590</v>
      </c>
      <c r="B107" s="777" t="s">
        <v>785</v>
      </c>
      <c r="C107" s="777" t="s">
        <v>688</v>
      </c>
      <c r="D107" s="777" t="s">
        <v>1204</v>
      </c>
      <c r="E107" s="777">
        <v>0</v>
      </c>
    </row>
    <row r="108" spans="1:5" x14ac:dyDescent="0.2">
      <c r="A108">
        <v>824442</v>
      </c>
      <c r="B108" s="777" t="s">
        <v>786</v>
      </c>
      <c r="C108" s="777" t="s">
        <v>1914</v>
      </c>
      <c r="D108" s="777" t="s">
        <v>1204</v>
      </c>
      <c r="E108" s="777">
        <v>10316</v>
      </c>
    </row>
    <row r="109" spans="1:5" x14ac:dyDescent="0.2">
      <c r="A109">
        <v>824766</v>
      </c>
      <c r="B109" s="777" t="s">
        <v>787</v>
      </c>
      <c r="C109" s="777" t="s">
        <v>689</v>
      </c>
      <c r="D109" s="777" t="s">
        <v>1204</v>
      </c>
      <c r="E109" s="777">
        <v>0</v>
      </c>
    </row>
    <row r="110" spans="1:5" x14ac:dyDescent="0.2">
      <c r="A110">
        <v>825005</v>
      </c>
      <c r="B110" s="777" t="s">
        <v>788</v>
      </c>
      <c r="C110" s="777" t="s">
        <v>623</v>
      </c>
      <c r="D110" s="777" t="s">
        <v>1204</v>
      </c>
      <c r="E110" s="777">
        <v>0</v>
      </c>
    </row>
    <row r="111" spans="1:5" x14ac:dyDescent="0.2">
      <c r="A111">
        <v>827009</v>
      </c>
      <c r="B111" s="777" t="s">
        <v>786</v>
      </c>
      <c r="C111" s="777" t="s">
        <v>1914</v>
      </c>
      <c r="D111" s="777" t="s">
        <v>1204</v>
      </c>
      <c r="E111" s="777">
        <v>3720</v>
      </c>
    </row>
    <row r="112" spans="1:5" x14ac:dyDescent="0.2">
      <c r="A112">
        <v>827548</v>
      </c>
      <c r="B112" s="777" t="s">
        <v>789</v>
      </c>
      <c r="C112" s="777" t="s">
        <v>690</v>
      </c>
      <c r="D112" s="777" t="s">
        <v>1204</v>
      </c>
      <c r="E112" s="777">
        <v>0</v>
      </c>
    </row>
    <row r="113" spans="1:5" x14ac:dyDescent="0.2">
      <c r="A113">
        <v>829390</v>
      </c>
      <c r="B113" s="777" t="s">
        <v>790</v>
      </c>
      <c r="C113" s="777" t="s">
        <v>2206</v>
      </c>
      <c r="D113" s="777" t="s">
        <v>1204</v>
      </c>
      <c r="E113" s="777">
        <v>0</v>
      </c>
    </row>
    <row r="114" spans="1:5" x14ac:dyDescent="0.2">
      <c r="A114">
        <v>833198</v>
      </c>
      <c r="B114" s="777" t="s">
        <v>791</v>
      </c>
      <c r="C114" s="777" t="s">
        <v>691</v>
      </c>
      <c r="D114" s="777" t="s">
        <v>1204</v>
      </c>
      <c r="E114" s="777">
        <v>177</v>
      </c>
    </row>
    <row r="115" spans="1:5" x14ac:dyDescent="0.2">
      <c r="A115">
        <v>833482</v>
      </c>
      <c r="B115" s="777" t="s">
        <v>792</v>
      </c>
      <c r="C115" s="777" t="s">
        <v>692</v>
      </c>
      <c r="D115" s="777" t="s">
        <v>1204</v>
      </c>
      <c r="E115" s="777">
        <v>0</v>
      </c>
    </row>
    <row r="116" spans="1:5" x14ac:dyDescent="0.2">
      <c r="A116">
        <v>833486</v>
      </c>
      <c r="B116" s="777" t="s">
        <v>792</v>
      </c>
      <c r="C116" s="777" t="s">
        <v>692</v>
      </c>
      <c r="D116" s="777" t="s">
        <v>1204</v>
      </c>
      <c r="E116" s="777">
        <v>0</v>
      </c>
    </row>
    <row r="117" spans="1:5" x14ac:dyDescent="0.2">
      <c r="A117">
        <v>833556</v>
      </c>
      <c r="B117" s="777" t="s">
        <v>793</v>
      </c>
      <c r="C117" s="777" t="s">
        <v>693</v>
      </c>
      <c r="D117" s="777" t="s">
        <v>1204</v>
      </c>
      <c r="E117" s="777">
        <v>0</v>
      </c>
    </row>
    <row r="118" spans="1:5" x14ac:dyDescent="0.2">
      <c r="A118">
        <v>834152</v>
      </c>
      <c r="B118" s="777" t="s">
        <v>794</v>
      </c>
      <c r="C118" s="777" t="s">
        <v>694</v>
      </c>
      <c r="D118" s="777" t="s">
        <v>1204</v>
      </c>
      <c r="E118" s="777">
        <v>0</v>
      </c>
    </row>
    <row r="119" spans="1:5" x14ac:dyDescent="0.2">
      <c r="A119">
        <v>834152</v>
      </c>
      <c r="B119" s="777" t="s">
        <v>794</v>
      </c>
      <c r="C119" s="777" t="s">
        <v>694</v>
      </c>
      <c r="D119" s="777" t="s">
        <v>1204</v>
      </c>
      <c r="E119" s="777">
        <v>0</v>
      </c>
    </row>
    <row r="120" spans="1:5" x14ac:dyDescent="0.2">
      <c r="A120">
        <v>834263</v>
      </c>
      <c r="B120" s="777" t="s">
        <v>795</v>
      </c>
      <c r="C120" s="777" t="s">
        <v>695</v>
      </c>
      <c r="D120" s="777" t="s">
        <v>1204</v>
      </c>
      <c r="E120" s="777">
        <v>0</v>
      </c>
    </row>
    <row r="121" spans="1:5" x14ac:dyDescent="0.2">
      <c r="A121">
        <v>834333</v>
      </c>
      <c r="B121" s="777" t="s">
        <v>796</v>
      </c>
      <c r="C121" s="777" t="s">
        <v>2213</v>
      </c>
      <c r="D121" s="777" t="s">
        <v>1204</v>
      </c>
      <c r="E121" s="777">
        <v>0</v>
      </c>
    </row>
    <row r="122" spans="1:5" x14ac:dyDescent="0.2">
      <c r="A122">
        <v>834596</v>
      </c>
      <c r="B122" s="777" t="s">
        <v>794</v>
      </c>
      <c r="C122" s="777" t="s">
        <v>696</v>
      </c>
      <c r="D122" s="777" t="s">
        <v>1204</v>
      </c>
      <c r="E122" s="777">
        <v>0</v>
      </c>
    </row>
    <row r="123" spans="1:5" x14ac:dyDescent="0.2">
      <c r="A123">
        <v>834662</v>
      </c>
      <c r="B123" s="777" t="s">
        <v>2224</v>
      </c>
      <c r="C123" s="777" t="s">
        <v>697</v>
      </c>
      <c r="D123" s="777" t="s">
        <v>1204</v>
      </c>
      <c r="E123" s="777">
        <v>0</v>
      </c>
    </row>
    <row r="124" spans="1:5" x14ac:dyDescent="0.2">
      <c r="A124">
        <v>835043</v>
      </c>
      <c r="B124" s="777" t="s">
        <v>792</v>
      </c>
      <c r="C124" s="777" t="s">
        <v>698</v>
      </c>
      <c r="D124" s="777" t="s">
        <v>1204</v>
      </c>
      <c r="E124" s="777">
        <v>0</v>
      </c>
    </row>
    <row r="125" spans="1:5" x14ac:dyDescent="0.2">
      <c r="A125">
        <v>835064</v>
      </c>
      <c r="B125" s="777" t="s">
        <v>797</v>
      </c>
      <c r="C125" s="777" t="s">
        <v>1919</v>
      </c>
      <c r="D125" s="777" t="s">
        <v>1204</v>
      </c>
      <c r="E125" s="777">
        <v>0</v>
      </c>
    </row>
    <row r="126" spans="1:5" x14ac:dyDescent="0.2">
      <c r="A126">
        <v>835068</v>
      </c>
      <c r="B126" s="777" t="s">
        <v>798</v>
      </c>
      <c r="C126" s="777" t="s">
        <v>1920</v>
      </c>
      <c r="D126" s="777" t="s">
        <v>1204</v>
      </c>
      <c r="E126" s="777">
        <v>0</v>
      </c>
    </row>
    <row r="127" spans="1:5" x14ac:dyDescent="0.2">
      <c r="A127">
        <v>835124</v>
      </c>
      <c r="B127" s="777" t="s">
        <v>799</v>
      </c>
      <c r="C127" s="777" t="s">
        <v>699</v>
      </c>
      <c r="D127" s="777" t="s">
        <v>1204</v>
      </c>
      <c r="E127" s="777">
        <v>0</v>
      </c>
    </row>
    <row r="128" spans="1:5" x14ac:dyDescent="0.2">
      <c r="A128">
        <v>835712</v>
      </c>
      <c r="B128" s="777" t="s">
        <v>800</v>
      </c>
      <c r="C128" s="777" t="s">
        <v>700</v>
      </c>
      <c r="D128" s="777" t="s">
        <v>1204</v>
      </c>
      <c r="E128" s="777">
        <v>0</v>
      </c>
    </row>
    <row r="129" spans="1:5" x14ac:dyDescent="0.2">
      <c r="A129">
        <v>835864</v>
      </c>
      <c r="B129" s="777" t="s">
        <v>801</v>
      </c>
      <c r="C129" s="777" t="s">
        <v>701</v>
      </c>
      <c r="D129" s="777" t="s">
        <v>1204</v>
      </c>
      <c r="E129" s="777">
        <v>0</v>
      </c>
    </row>
    <row r="132" spans="1:5" x14ac:dyDescent="0.2">
      <c r="E132">
        <f>SUM(E1:E131)</f>
        <v>18425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4"/>
  <sheetViews>
    <sheetView topLeftCell="A182" workbookViewId="0">
      <selection activeCell="J5" sqref="J5"/>
    </sheetView>
  </sheetViews>
  <sheetFormatPr defaultColWidth="11" defaultRowHeight="12.75" x14ac:dyDescent="0.2"/>
  <cols>
    <col min="1" max="1" width="10" style="135" bestFit="1" customWidth="1"/>
    <col min="2" max="2" width="26.42578125" style="135" customWidth="1"/>
    <col min="3" max="3" width="20.42578125" style="135" bestFit="1" customWidth="1"/>
    <col min="4" max="4" width="9.5703125" style="135" customWidth="1"/>
    <col min="5" max="5" width="9" style="135" bestFit="1" customWidth="1"/>
    <col min="6" max="6" width="4" style="135" customWidth="1"/>
    <col min="7" max="7" width="3.7109375" style="135" customWidth="1"/>
    <col min="8" max="8" width="5.5703125" style="135" customWidth="1"/>
    <col min="9" max="9" width="10.140625" style="363" customWidth="1"/>
    <col min="10" max="10" width="10.28515625" bestFit="1" customWidth="1"/>
    <col min="11" max="11" width="4.140625" customWidth="1"/>
    <col min="12" max="12" width="8.7109375" customWidth="1"/>
    <col min="14" max="14" width="11" style="136"/>
    <col min="15" max="15" width="11" style="98"/>
  </cols>
  <sheetData>
    <row r="1" spans="1:16" x14ac:dyDescent="0.2">
      <c r="A1" t="s">
        <v>1411</v>
      </c>
      <c r="B1" t="s">
        <v>1411</v>
      </c>
      <c r="C1" t="s">
        <v>1721</v>
      </c>
      <c r="D1" t="s">
        <v>1153</v>
      </c>
      <c r="E1" t="s">
        <v>1722</v>
      </c>
      <c r="F1" t="s">
        <v>1408</v>
      </c>
      <c r="G1" t="s">
        <v>1407</v>
      </c>
      <c r="H1" t="s">
        <v>1723</v>
      </c>
      <c r="I1" s="778" t="s">
        <v>1724</v>
      </c>
      <c r="J1" t="s">
        <v>1725</v>
      </c>
    </row>
    <row r="2" spans="1:16" x14ac:dyDescent="0.2">
      <c r="A2" t="s">
        <v>1726</v>
      </c>
      <c r="B2" t="s">
        <v>1727</v>
      </c>
      <c r="C2" t="s">
        <v>1728</v>
      </c>
      <c r="D2" t="s">
        <v>1729</v>
      </c>
      <c r="E2" t="s">
        <v>1729</v>
      </c>
      <c r="F2" t="s">
        <v>1730</v>
      </c>
      <c r="G2" t="s">
        <v>1730</v>
      </c>
      <c r="H2" t="s">
        <v>1731</v>
      </c>
      <c r="I2" s="778" t="s">
        <v>1732</v>
      </c>
      <c r="J2" t="s">
        <v>1732</v>
      </c>
    </row>
    <row r="3" spans="1:16" x14ac:dyDescent="0.2">
      <c r="A3" t="s">
        <v>1733</v>
      </c>
      <c r="B3" t="s">
        <v>1734</v>
      </c>
      <c r="C3" t="s">
        <v>1735</v>
      </c>
      <c r="D3" t="s">
        <v>1736</v>
      </c>
      <c r="E3" t="s">
        <v>1737</v>
      </c>
      <c r="F3" t="s">
        <v>1738</v>
      </c>
      <c r="G3" t="s">
        <v>1738</v>
      </c>
      <c r="H3" t="s">
        <v>1739</v>
      </c>
      <c r="I3" s="778" t="s">
        <v>1740</v>
      </c>
      <c r="J3" t="s">
        <v>1740</v>
      </c>
    </row>
    <row r="4" spans="1:16" x14ac:dyDescent="0.2">
      <c r="A4">
        <v>602280</v>
      </c>
      <c r="B4" t="s">
        <v>1928</v>
      </c>
      <c r="C4" t="s">
        <v>1838</v>
      </c>
      <c r="D4">
        <v>20011101</v>
      </c>
      <c r="E4">
        <v>20011130</v>
      </c>
      <c r="F4" t="s">
        <v>1719</v>
      </c>
      <c r="G4" t="s">
        <v>1718</v>
      </c>
      <c r="H4" t="s">
        <v>1578</v>
      </c>
      <c r="I4">
        <v>0</v>
      </c>
      <c r="J4">
        <f>IF(ISNA(VLOOKUP(A4,cgasx,5,FALSE)),0,(VLOOKUP(A4,cgasx,5,FALSE)))</f>
        <v>283</v>
      </c>
      <c r="L4" s="160" t="str">
        <f t="shared" ref="L4:L33" si="0">IF(ISNA(VLOOKUP(A4,InCGAS,1,FALSE)),"--", "Y")</f>
        <v>Y</v>
      </c>
      <c r="M4" s="160">
        <f>IF(ISNA(VLOOKUP(A4,InCGAS,1,FALSE)),"na",VLOOKUP(A4,InCGAS,9,FALSE))</f>
        <v>283</v>
      </c>
      <c r="N4">
        <f>+J4-M4</f>
        <v>0</v>
      </c>
      <c r="O4" s="149"/>
      <c r="P4" s="149"/>
    </row>
    <row r="5" spans="1:16" x14ac:dyDescent="0.2">
      <c r="A5">
        <v>602297</v>
      </c>
      <c r="B5" t="s">
        <v>1929</v>
      </c>
      <c r="C5" t="s">
        <v>1839</v>
      </c>
      <c r="D5">
        <v>20011030</v>
      </c>
      <c r="E5">
        <v>20011127</v>
      </c>
      <c r="F5" t="s">
        <v>1719</v>
      </c>
      <c r="G5" t="s">
        <v>1718</v>
      </c>
      <c r="H5" t="s">
        <v>1578</v>
      </c>
      <c r="I5">
        <v>0</v>
      </c>
      <c r="J5">
        <f t="shared" ref="J5:J68" si="1">IF(ISNA(VLOOKUP(A5,cgasx,5,FALSE)),0,(VLOOKUP(A5,cgasx,5,FALSE)))</f>
        <v>513</v>
      </c>
      <c r="L5" s="160" t="str">
        <f t="shared" si="0"/>
        <v>Y</v>
      </c>
      <c r="M5" s="160">
        <f t="shared" ref="M5:M73" si="2">IF(ISNA(VLOOKUP(A5,InCGAS,1,FALSE)),"na",VLOOKUP(A5,InCGAS,9,FALSE))</f>
        <v>513</v>
      </c>
      <c r="N5">
        <f t="shared" ref="N5:N73" si="3">+J5-M5</f>
        <v>0</v>
      </c>
      <c r="O5" s="149"/>
      <c r="P5" s="149"/>
    </row>
    <row r="6" spans="1:16" x14ac:dyDescent="0.2">
      <c r="A6">
        <v>602303</v>
      </c>
      <c r="B6" t="s">
        <v>1930</v>
      </c>
      <c r="C6" t="s">
        <v>1839</v>
      </c>
      <c r="D6">
        <v>20011030</v>
      </c>
      <c r="E6">
        <v>20011127</v>
      </c>
      <c r="F6" t="s">
        <v>1719</v>
      </c>
      <c r="G6" t="s">
        <v>1718</v>
      </c>
      <c r="H6" t="s">
        <v>1578</v>
      </c>
      <c r="I6">
        <v>0</v>
      </c>
      <c r="J6">
        <f t="shared" si="1"/>
        <v>0</v>
      </c>
      <c r="L6" s="160" t="str">
        <f>IF(ISNA(VLOOKUP(A6,InCGAS,1,FALSE)),"--", "Y")</f>
        <v>Y</v>
      </c>
      <c r="M6" s="160">
        <f>IF(ISNA(VLOOKUP(A6,InCGAS,1,FALSE)),"na",VLOOKUP(A6,InCGAS,9,FALSE))</f>
        <v>0</v>
      </c>
      <c r="N6">
        <f>+J6-M6</f>
        <v>0</v>
      </c>
      <c r="O6" s="149"/>
      <c r="P6" s="149"/>
    </row>
    <row r="7" spans="1:16" x14ac:dyDescent="0.2">
      <c r="A7">
        <v>602337</v>
      </c>
      <c r="B7" t="s">
        <v>1931</v>
      </c>
      <c r="C7" t="s">
        <v>2230</v>
      </c>
      <c r="D7">
        <v>20011031</v>
      </c>
      <c r="E7">
        <v>20011129</v>
      </c>
      <c r="F7" t="s">
        <v>2279</v>
      </c>
      <c r="G7" t="s">
        <v>1718</v>
      </c>
      <c r="H7" t="s">
        <v>1578</v>
      </c>
      <c r="I7">
        <v>0</v>
      </c>
      <c r="J7">
        <f t="shared" si="1"/>
        <v>0</v>
      </c>
      <c r="L7" s="160" t="str">
        <f>IF(ISNA(VLOOKUP(A7,InCGAS,1,FALSE)),"--", "Y")</f>
        <v>Y</v>
      </c>
      <c r="M7" s="160">
        <f>IF(ISNA(VLOOKUP(A7,InCGAS,1,FALSE)),"na",VLOOKUP(A7,InCGAS,9,FALSE))</f>
        <v>0</v>
      </c>
      <c r="N7">
        <f>+J7-M7</f>
        <v>0</v>
      </c>
      <c r="O7" s="149"/>
      <c r="P7" s="149"/>
    </row>
    <row r="8" spans="1:16" x14ac:dyDescent="0.2">
      <c r="A8">
        <v>602350</v>
      </c>
      <c r="B8" t="s">
        <v>1933</v>
      </c>
      <c r="C8" t="s">
        <v>2231</v>
      </c>
      <c r="D8">
        <v>20011102</v>
      </c>
      <c r="E8">
        <v>20011130</v>
      </c>
      <c r="F8" t="s">
        <v>1719</v>
      </c>
      <c r="G8" t="s">
        <v>1718</v>
      </c>
      <c r="H8" t="s">
        <v>1578</v>
      </c>
      <c r="I8">
        <v>0</v>
      </c>
      <c r="J8">
        <f t="shared" si="1"/>
        <v>0</v>
      </c>
      <c r="L8" s="160" t="str">
        <f>IF(ISNA(VLOOKUP(A8,InCGAS,1,FALSE)),"--", "Y")</f>
        <v>Y</v>
      </c>
      <c r="M8" s="160">
        <f>IF(ISNA(VLOOKUP(A8,InCGAS,1,FALSE)),"na",VLOOKUP(A8,InCGAS,9,FALSE))</f>
        <v>0</v>
      </c>
      <c r="N8">
        <f>+J8-M8</f>
        <v>0</v>
      </c>
      <c r="O8" s="149"/>
      <c r="P8" s="149"/>
    </row>
    <row r="9" spans="1:16" x14ac:dyDescent="0.2">
      <c r="A9">
        <v>602355</v>
      </c>
      <c r="B9" t="s">
        <v>1934</v>
      </c>
      <c r="C9" t="s">
        <v>2288</v>
      </c>
      <c r="D9">
        <v>20011106</v>
      </c>
      <c r="E9">
        <v>20011205</v>
      </c>
      <c r="F9" t="s">
        <v>1719</v>
      </c>
      <c r="G9" t="s">
        <v>1718</v>
      </c>
      <c r="H9" t="s">
        <v>1578</v>
      </c>
      <c r="I9">
        <v>0</v>
      </c>
      <c r="J9">
        <f t="shared" si="1"/>
        <v>101</v>
      </c>
      <c r="L9" s="160" t="str">
        <f>IF(ISNA(VLOOKUP(A9,InCGAS,1,FALSE)),"--", "Y")</f>
        <v>Y</v>
      </c>
      <c r="M9" s="160">
        <f>IF(ISNA(VLOOKUP(A9,InCGAS,1,FALSE)),"na",VLOOKUP(A9,InCGAS,9,FALSE))</f>
        <v>101</v>
      </c>
      <c r="N9">
        <f>+J9-M9</f>
        <v>0</v>
      </c>
      <c r="O9" s="149"/>
      <c r="P9" s="149"/>
    </row>
    <row r="10" spans="1:16" x14ac:dyDescent="0.2">
      <c r="A10">
        <v>602364</v>
      </c>
      <c r="B10" t="s">
        <v>1935</v>
      </c>
      <c r="C10" t="s">
        <v>1842</v>
      </c>
      <c r="D10">
        <v>20011029</v>
      </c>
      <c r="E10">
        <v>20011128</v>
      </c>
      <c r="F10" t="s">
        <v>2279</v>
      </c>
      <c r="G10" t="s">
        <v>1718</v>
      </c>
      <c r="H10" t="s">
        <v>1578</v>
      </c>
      <c r="I10">
        <v>0</v>
      </c>
      <c r="J10">
        <f t="shared" si="1"/>
        <v>0</v>
      </c>
      <c r="L10" s="160" t="str">
        <f>IF(ISNA(VLOOKUP(A10,InCGAS,1,FALSE)),"--", "Y")</f>
        <v>Y</v>
      </c>
      <c r="M10" s="160">
        <f>IF(ISNA(VLOOKUP(A10,InCGAS,1,FALSE)),"na",VLOOKUP(A10,InCGAS,9,FALSE))</f>
        <v>0</v>
      </c>
      <c r="N10">
        <f>+J10-M10</f>
        <v>0</v>
      </c>
      <c r="O10" s="149"/>
      <c r="P10" s="149"/>
    </row>
    <row r="11" spans="1:16" x14ac:dyDescent="0.2">
      <c r="A11">
        <v>602368</v>
      </c>
      <c r="B11" t="s">
        <v>1936</v>
      </c>
      <c r="C11" t="s">
        <v>1843</v>
      </c>
      <c r="D11">
        <v>20011030</v>
      </c>
      <c r="E11">
        <v>20011127</v>
      </c>
      <c r="F11" t="s">
        <v>1719</v>
      </c>
      <c r="G11" t="s">
        <v>1718</v>
      </c>
      <c r="H11" t="s">
        <v>1578</v>
      </c>
      <c r="I11">
        <v>0</v>
      </c>
      <c r="J11">
        <f t="shared" si="1"/>
        <v>0</v>
      </c>
      <c r="L11" s="160" t="str">
        <f t="shared" si="0"/>
        <v>Y</v>
      </c>
      <c r="M11" s="160">
        <f t="shared" si="2"/>
        <v>0</v>
      </c>
      <c r="N11">
        <f t="shared" si="3"/>
        <v>0</v>
      </c>
      <c r="O11" s="149"/>
      <c r="P11" s="149"/>
    </row>
    <row r="12" spans="1:16" x14ac:dyDescent="0.2">
      <c r="A12">
        <v>602405</v>
      </c>
      <c r="B12" t="s">
        <v>1937</v>
      </c>
      <c r="C12" t="s">
        <v>2232</v>
      </c>
      <c r="D12">
        <v>20011030</v>
      </c>
      <c r="E12">
        <v>20011129</v>
      </c>
      <c r="F12" t="s">
        <v>1719</v>
      </c>
      <c r="G12" t="s">
        <v>1718</v>
      </c>
      <c r="H12" t="s">
        <v>1578</v>
      </c>
      <c r="I12">
        <v>0</v>
      </c>
      <c r="J12">
        <f t="shared" si="1"/>
        <v>148</v>
      </c>
      <c r="L12" s="160" t="str">
        <f t="shared" si="0"/>
        <v>Y</v>
      </c>
      <c r="M12" s="160">
        <f t="shared" si="2"/>
        <v>148</v>
      </c>
      <c r="N12">
        <f t="shared" si="3"/>
        <v>0</v>
      </c>
      <c r="O12" s="149"/>
      <c r="P12" s="149"/>
    </row>
    <row r="13" spans="1:16" x14ac:dyDescent="0.2">
      <c r="A13">
        <v>602411</v>
      </c>
      <c r="B13" t="s">
        <v>1938</v>
      </c>
      <c r="C13" t="s">
        <v>1844</v>
      </c>
      <c r="D13">
        <v>20011102</v>
      </c>
      <c r="E13">
        <v>20011130</v>
      </c>
      <c r="F13" t="s">
        <v>1719</v>
      </c>
      <c r="G13" t="s">
        <v>1718</v>
      </c>
      <c r="H13" t="s">
        <v>1578</v>
      </c>
      <c r="I13">
        <v>0</v>
      </c>
      <c r="J13">
        <f t="shared" si="1"/>
        <v>0</v>
      </c>
      <c r="L13" s="160" t="str">
        <f t="shared" si="0"/>
        <v>Y</v>
      </c>
      <c r="M13" s="160">
        <f t="shared" si="2"/>
        <v>0</v>
      </c>
      <c r="N13">
        <f t="shared" si="3"/>
        <v>0</v>
      </c>
      <c r="O13" s="149"/>
      <c r="P13" s="149"/>
    </row>
    <row r="14" spans="1:16" x14ac:dyDescent="0.2">
      <c r="A14">
        <v>602423</v>
      </c>
      <c r="B14" t="s">
        <v>1939</v>
      </c>
      <c r="C14" t="s">
        <v>1845</v>
      </c>
      <c r="D14">
        <v>20011105</v>
      </c>
      <c r="E14">
        <v>20011204</v>
      </c>
      <c r="F14" t="s">
        <v>1719</v>
      </c>
      <c r="G14" t="s">
        <v>1718</v>
      </c>
      <c r="H14" t="s">
        <v>1578</v>
      </c>
      <c r="I14">
        <v>0</v>
      </c>
      <c r="J14">
        <f t="shared" si="1"/>
        <v>0</v>
      </c>
      <c r="L14" s="160" t="str">
        <f t="shared" si="0"/>
        <v>Y</v>
      </c>
      <c r="M14" s="160">
        <f t="shared" si="2"/>
        <v>0</v>
      </c>
      <c r="N14">
        <f t="shared" si="3"/>
        <v>0</v>
      </c>
      <c r="O14" s="149"/>
      <c r="P14" s="149"/>
    </row>
    <row r="15" spans="1:16" x14ac:dyDescent="0.2">
      <c r="A15">
        <v>602442</v>
      </c>
      <c r="B15" t="s">
        <v>1940</v>
      </c>
      <c r="C15" t="s">
        <v>1846</v>
      </c>
      <c r="D15">
        <v>20011030</v>
      </c>
      <c r="E15">
        <v>20011128</v>
      </c>
      <c r="F15" t="s">
        <v>1719</v>
      </c>
      <c r="G15" t="s">
        <v>1718</v>
      </c>
      <c r="H15" t="s">
        <v>1578</v>
      </c>
      <c r="I15">
        <v>0</v>
      </c>
      <c r="J15">
        <f t="shared" si="1"/>
        <v>0</v>
      </c>
      <c r="L15" s="160" t="str">
        <f t="shared" si="0"/>
        <v>Y</v>
      </c>
      <c r="M15" s="160">
        <f t="shared" si="2"/>
        <v>0</v>
      </c>
      <c r="N15">
        <f t="shared" si="3"/>
        <v>0</v>
      </c>
      <c r="O15" s="149"/>
      <c r="P15" s="149"/>
    </row>
    <row r="16" spans="1:16" x14ac:dyDescent="0.2">
      <c r="A16">
        <v>602444</v>
      </c>
      <c r="B16" t="s">
        <v>1941</v>
      </c>
      <c r="C16" t="s">
        <v>1839</v>
      </c>
      <c r="D16">
        <v>20011031</v>
      </c>
      <c r="E16">
        <v>20011128</v>
      </c>
      <c r="F16" t="s">
        <v>1719</v>
      </c>
      <c r="G16" t="s">
        <v>1718</v>
      </c>
      <c r="H16" t="s">
        <v>1578</v>
      </c>
      <c r="I16">
        <v>0</v>
      </c>
      <c r="J16">
        <f t="shared" si="1"/>
        <v>329</v>
      </c>
      <c r="L16" s="160" t="str">
        <f t="shared" si="0"/>
        <v>Y</v>
      </c>
      <c r="M16" s="160">
        <f t="shared" si="2"/>
        <v>329</v>
      </c>
      <c r="N16">
        <f t="shared" si="3"/>
        <v>0</v>
      </c>
      <c r="O16" s="149"/>
      <c r="P16" s="149"/>
    </row>
    <row r="17" spans="1:16" x14ac:dyDescent="0.2">
      <c r="A17">
        <v>602455</v>
      </c>
      <c r="B17" t="s">
        <v>1942</v>
      </c>
      <c r="C17" t="s">
        <v>2233</v>
      </c>
      <c r="D17">
        <v>20011106</v>
      </c>
      <c r="E17">
        <v>20011205</v>
      </c>
      <c r="F17" t="s">
        <v>1719</v>
      </c>
      <c r="G17" t="s">
        <v>1718</v>
      </c>
      <c r="H17" t="s">
        <v>1578</v>
      </c>
      <c r="I17">
        <v>0</v>
      </c>
      <c r="J17">
        <f t="shared" si="1"/>
        <v>0</v>
      </c>
      <c r="L17" s="160" t="str">
        <f t="shared" si="0"/>
        <v>Y</v>
      </c>
      <c r="M17" s="160">
        <f t="shared" si="2"/>
        <v>0</v>
      </c>
      <c r="N17">
        <f t="shared" si="3"/>
        <v>0</v>
      </c>
      <c r="O17" s="149"/>
      <c r="P17" s="149"/>
    </row>
    <row r="18" spans="1:16" x14ac:dyDescent="0.2">
      <c r="A18">
        <v>602456</v>
      </c>
      <c r="B18" t="s">
        <v>1943</v>
      </c>
      <c r="C18" t="s">
        <v>2233</v>
      </c>
      <c r="D18">
        <v>20011106</v>
      </c>
      <c r="E18">
        <v>20011205</v>
      </c>
      <c r="F18" t="s">
        <v>1719</v>
      </c>
      <c r="G18" t="s">
        <v>1719</v>
      </c>
      <c r="H18" t="s">
        <v>1578</v>
      </c>
      <c r="I18">
        <v>0</v>
      </c>
      <c r="J18">
        <f t="shared" si="1"/>
        <v>0</v>
      </c>
      <c r="L18" s="160" t="str">
        <f t="shared" si="0"/>
        <v>Y</v>
      </c>
      <c r="M18" s="160">
        <f t="shared" si="2"/>
        <v>0</v>
      </c>
      <c r="N18">
        <f t="shared" si="3"/>
        <v>0</v>
      </c>
      <c r="O18" s="149"/>
      <c r="P18" s="149"/>
    </row>
    <row r="19" spans="1:16" x14ac:dyDescent="0.2">
      <c r="A19">
        <v>602457</v>
      </c>
      <c r="B19" t="s">
        <v>1944</v>
      </c>
      <c r="C19" t="s">
        <v>2233</v>
      </c>
      <c r="D19">
        <v>20011106</v>
      </c>
      <c r="E19">
        <v>20011205</v>
      </c>
      <c r="F19" t="s">
        <v>1719</v>
      </c>
      <c r="G19" t="s">
        <v>1718</v>
      </c>
      <c r="H19" t="s">
        <v>1578</v>
      </c>
      <c r="I19">
        <v>0</v>
      </c>
      <c r="J19">
        <f t="shared" si="1"/>
        <v>0</v>
      </c>
      <c r="L19" s="160" t="str">
        <f t="shared" si="0"/>
        <v>Y</v>
      </c>
      <c r="M19" s="160">
        <f t="shared" si="2"/>
        <v>0</v>
      </c>
      <c r="N19">
        <f t="shared" si="3"/>
        <v>0</v>
      </c>
      <c r="O19" s="149"/>
      <c r="P19" s="149"/>
    </row>
    <row r="20" spans="1:16" x14ac:dyDescent="0.2">
      <c r="A20">
        <v>602461</v>
      </c>
      <c r="B20" t="s">
        <v>1945</v>
      </c>
      <c r="C20" t="s">
        <v>2234</v>
      </c>
      <c r="D20">
        <v>20011029</v>
      </c>
      <c r="E20">
        <v>20011129</v>
      </c>
      <c r="F20" t="s">
        <v>1719</v>
      </c>
      <c r="G20" t="s">
        <v>1718</v>
      </c>
      <c r="H20" t="s">
        <v>1578</v>
      </c>
      <c r="I20">
        <v>0</v>
      </c>
      <c r="J20">
        <f t="shared" si="1"/>
        <v>268</v>
      </c>
      <c r="L20" s="160" t="str">
        <f t="shared" si="0"/>
        <v>Y</v>
      </c>
      <c r="M20" s="160">
        <f t="shared" si="2"/>
        <v>268</v>
      </c>
      <c r="N20">
        <f t="shared" si="3"/>
        <v>0</v>
      </c>
      <c r="O20" s="149"/>
      <c r="P20" s="149"/>
    </row>
    <row r="21" spans="1:16" x14ac:dyDescent="0.2">
      <c r="A21">
        <v>602467</v>
      </c>
      <c r="B21" t="s">
        <v>1946</v>
      </c>
      <c r="C21" t="s">
        <v>1843</v>
      </c>
      <c r="D21">
        <v>20011102</v>
      </c>
      <c r="E21">
        <v>20011130</v>
      </c>
      <c r="F21" t="s">
        <v>1719</v>
      </c>
      <c r="G21" t="s">
        <v>1718</v>
      </c>
      <c r="H21" t="s">
        <v>1578</v>
      </c>
      <c r="I21">
        <v>0</v>
      </c>
      <c r="J21">
        <f t="shared" si="1"/>
        <v>0</v>
      </c>
      <c r="L21" s="160" t="str">
        <f t="shared" si="0"/>
        <v>Y</v>
      </c>
      <c r="M21" s="160">
        <f t="shared" si="2"/>
        <v>0</v>
      </c>
      <c r="N21">
        <f t="shared" si="3"/>
        <v>0</v>
      </c>
      <c r="O21" s="149"/>
      <c r="P21" s="149"/>
    </row>
    <row r="22" spans="1:16" x14ac:dyDescent="0.2">
      <c r="A22">
        <v>602482</v>
      </c>
      <c r="B22" t="s">
        <v>1779</v>
      </c>
      <c r="C22" t="s">
        <v>1849</v>
      </c>
      <c r="D22">
        <v>20011029</v>
      </c>
      <c r="E22">
        <v>20011127</v>
      </c>
      <c r="F22" t="s">
        <v>1719</v>
      </c>
      <c r="G22" t="s">
        <v>1718</v>
      </c>
      <c r="H22" t="s">
        <v>1578</v>
      </c>
      <c r="I22">
        <v>0</v>
      </c>
      <c r="J22">
        <f t="shared" si="1"/>
        <v>0</v>
      </c>
      <c r="L22" s="160" t="str">
        <f t="shared" si="0"/>
        <v>Y</v>
      </c>
      <c r="M22" s="160">
        <f t="shared" si="2"/>
        <v>0</v>
      </c>
      <c r="N22">
        <f t="shared" si="3"/>
        <v>0</v>
      </c>
      <c r="O22" s="149"/>
      <c r="P22" s="149"/>
    </row>
    <row r="23" spans="1:16" x14ac:dyDescent="0.2">
      <c r="A23">
        <v>602485</v>
      </c>
      <c r="B23" t="s">
        <v>1947</v>
      </c>
      <c r="C23" t="s">
        <v>2235</v>
      </c>
      <c r="D23">
        <v>20011106</v>
      </c>
      <c r="E23">
        <v>20011205</v>
      </c>
      <c r="F23" t="s">
        <v>2279</v>
      </c>
      <c r="G23" t="s">
        <v>1718</v>
      </c>
      <c r="H23" t="s">
        <v>1578</v>
      </c>
      <c r="I23">
        <v>0</v>
      </c>
      <c r="J23">
        <f t="shared" si="1"/>
        <v>0</v>
      </c>
      <c r="L23" s="160" t="str">
        <f t="shared" si="0"/>
        <v>Y</v>
      </c>
      <c r="M23" s="160">
        <f t="shared" si="2"/>
        <v>0</v>
      </c>
      <c r="N23">
        <f t="shared" si="3"/>
        <v>0</v>
      </c>
      <c r="O23" s="149"/>
      <c r="P23" s="149"/>
    </row>
    <row r="24" spans="1:16" x14ac:dyDescent="0.2">
      <c r="A24">
        <v>602544</v>
      </c>
      <c r="B24" t="s">
        <v>1948</v>
      </c>
      <c r="C24" t="s">
        <v>2236</v>
      </c>
      <c r="D24">
        <v>20011102</v>
      </c>
      <c r="E24">
        <v>20011130</v>
      </c>
      <c r="F24" t="s">
        <v>1719</v>
      </c>
      <c r="G24" t="s">
        <v>1718</v>
      </c>
      <c r="H24" t="s">
        <v>1578</v>
      </c>
      <c r="I24">
        <v>0</v>
      </c>
      <c r="J24">
        <f t="shared" si="1"/>
        <v>0</v>
      </c>
      <c r="L24" s="160" t="str">
        <f t="shared" si="0"/>
        <v>Y</v>
      </c>
      <c r="M24" s="160">
        <f t="shared" si="2"/>
        <v>0</v>
      </c>
      <c r="N24">
        <f t="shared" si="3"/>
        <v>0</v>
      </c>
      <c r="O24" s="149"/>
      <c r="P24" s="149"/>
    </row>
    <row r="25" spans="1:16" x14ac:dyDescent="0.2">
      <c r="A25">
        <v>602556</v>
      </c>
      <c r="B25" t="s">
        <v>1949</v>
      </c>
      <c r="C25" t="s">
        <v>461</v>
      </c>
      <c r="D25">
        <v>20011031</v>
      </c>
      <c r="E25">
        <v>20011129</v>
      </c>
      <c r="F25" t="s">
        <v>1719</v>
      </c>
      <c r="G25" t="s">
        <v>1718</v>
      </c>
      <c r="H25" t="s">
        <v>1578</v>
      </c>
      <c r="I25">
        <v>0</v>
      </c>
      <c r="J25">
        <f t="shared" si="1"/>
        <v>0</v>
      </c>
      <c r="L25" s="160" t="str">
        <f t="shared" si="0"/>
        <v>Y</v>
      </c>
      <c r="M25" s="160">
        <f t="shared" si="2"/>
        <v>0</v>
      </c>
      <c r="N25">
        <f t="shared" si="3"/>
        <v>0</v>
      </c>
      <c r="O25" s="149"/>
      <c r="P25" s="149"/>
    </row>
    <row r="26" spans="1:16" x14ac:dyDescent="0.2">
      <c r="A26">
        <v>602559</v>
      </c>
      <c r="B26" t="s">
        <v>1950</v>
      </c>
      <c r="C26" t="s">
        <v>2237</v>
      </c>
      <c r="D26">
        <v>20011029</v>
      </c>
      <c r="E26">
        <v>20011127</v>
      </c>
      <c r="F26" t="s">
        <v>1719</v>
      </c>
      <c r="G26" t="s">
        <v>1718</v>
      </c>
      <c r="H26" t="s">
        <v>1578</v>
      </c>
      <c r="I26">
        <v>0</v>
      </c>
      <c r="J26">
        <f t="shared" si="1"/>
        <v>0</v>
      </c>
      <c r="L26" s="160" t="str">
        <f t="shared" si="0"/>
        <v>Y</v>
      </c>
      <c r="M26" s="160">
        <f t="shared" si="2"/>
        <v>0</v>
      </c>
      <c r="N26">
        <f t="shared" si="3"/>
        <v>0</v>
      </c>
      <c r="O26" s="149"/>
      <c r="P26" s="149"/>
    </row>
    <row r="27" spans="1:16" x14ac:dyDescent="0.2">
      <c r="A27">
        <v>602562</v>
      </c>
      <c r="B27" t="s">
        <v>1951</v>
      </c>
      <c r="C27" t="s">
        <v>2237</v>
      </c>
      <c r="D27">
        <v>20011029</v>
      </c>
      <c r="E27">
        <v>20011127</v>
      </c>
      <c r="F27" t="s">
        <v>1719</v>
      </c>
      <c r="G27" t="s">
        <v>1718</v>
      </c>
      <c r="H27" t="s">
        <v>1578</v>
      </c>
      <c r="I27">
        <v>0</v>
      </c>
      <c r="J27">
        <f t="shared" si="1"/>
        <v>0</v>
      </c>
      <c r="L27" s="160" t="str">
        <f t="shared" si="0"/>
        <v>Y</v>
      </c>
      <c r="M27" s="160">
        <f t="shared" si="2"/>
        <v>0</v>
      </c>
      <c r="N27">
        <f t="shared" si="3"/>
        <v>0</v>
      </c>
      <c r="O27" s="149"/>
      <c r="P27" s="149"/>
    </row>
    <row r="28" spans="1:16" x14ac:dyDescent="0.2">
      <c r="A28">
        <v>602598</v>
      </c>
      <c r="B28" t="s">
        <v>1952</v>
      </c>
      <c r="C28" t="s">
        <v>1838</v>
      </c>
      <c r="D28">
        <v>20011101</v>
      </c>
      <c r="E28">
        <v>20011130</v>
      </c>
      <c r="F28" t="s">
        <v>1719</v>
      </c>
      <c r="G28" t="s">
        <v>1718</v>
      </c>
      <c r="H28" t="s">
        <v>1578</v>
      </c>
      <c r="I28">
        <v>0</v>
      </c>
      <c r="J28">
        <f t="shared" si="1"/>
        <v>91</v>
      </c>
      <c r="L28" s="160" t="str">
        <f t="shared" si="0"/>
        <v>Y</v>
      </c>
      <c r="M28" s="160">
        <f t="shared" si="2"/>
        <v>91</v>
      </c>
      <c r="N28">
        <f t="shared" si="3"/>
        <v>0</v>
      </c>
      <c r="O28" s="149"/>
      <c r="P28" s="149"/>
    </row>
    <row r="29" spans="1:16" x14ac:dyDescent="0.2">
      <c r="A29">
        <v>602613</v>
      </c>
      <c r="B29" t="s">
        <v>1953</v>
      </c>
      <c r="C29" t="s">
        <v>1851</v>
      </c>
      <c r="D29">
        <v>20011030</v>
      </c>
      <c r="E29">
        <v>20011127</v>
      </c>
      <c r="F29" t="s">
        <v>1719</v>
      </c>
      <c r="G29" t="s">
        <v>1718</v>
      </c>
      <c r="H29" t="s">
        <v>1578</v>
      </c>
      <c r="I29">
        <v>0</v>
      </c>
      <c r="J29">
        <f t="shared" si="1"/>
        <v>0</v>
      </c>
      <c r="L29" s="160" t="str">
        <f t="shared" si="0"/>
        <v>Y</v>
      </c>
      <c r="M29" s="160">
        <f t="shared" si="2"/>
        <v>0</v>
      </c>
      <c r="N29">
        <f t="shared" si="3"/>
        <v>0</v>
      </c>
      <c r="O29" s="149"/>
      <c r="P29" s="149"/>
    </row>
    <row r="30" spans="1:16" x14ac:dyDescent="0.2">
      <c r="A30">
        <v>602661</v>
      </c>
      <c r="B30" t="s">
        <v>1954</v>
      </c>
      <c r="C30" t="s">
        <v>2238</v>
      </c>
      <c r="D30">
        <v>20011106</v>
      </c>
      <c r="E30">
        <v>20011205</v>
      </c>
      <c r="F30" t="s">
        <v>2279</v>
      </c>
      <c r="G30" t="s">
        <v>1718</v>
      </c>
      <c r="H30" t="s">
        <v>1578</v>
      </c>
      <c r="I30">
        <v>0</v>
      </c>
      <c r="J30">
        <f t="shared" si="1"/>
        <v>0</v>
      </c>
      <c r="L30" s="160" t="str">
        <f t="shared" si="0"/>
        <v>Y</v>
      </c>
      <c r="M30" s="160">
        <f t="shared" si="2"/>
        <v>0</v>
      </c>
      <c r="N30">
        <f t="shared" si="3"/>
        <v>0</v>
      </c>
      <c r="O30" s="149"/>
      <c r="P30" s="149"/>
    </row>
    <row r="31" spans="1:16" x14ac:dyDescent="0.2">
      <c r="A31">
        <v>602662</v>
      </c>
      <c r="B31" t="s">
        <v>1955</v>
      </c>
      <c r="C31" t="s">
        <v>2238</v>
      </c>
      <c r="D31">
        <v>20011106</v>
      </c>
      <c r="E31">
        <v>20011205</v>
      </c>
      <c r="F31" t="s">
        <v>2279</v>
      </c>
      <c r="G31" t="s">
        <v>1718</v>
      </c>
      <c r="H31" t="s">
        <v>1578</v>
      </c>
      <c r="I31">
        <v>0</v>
      </c>
      <c r="J31">
        <f t="shared" si="1"/>
        <v>0</v>
      </c>
      <c r="L31" s="160" t="str">
        <f t="shared" si="0"/>
        <v>Y</v>
      </c>
      <c r="M31" s="160">
        <f t="shared" si="2"/>
        <v>0</v>
      </c>
      <c r="N31">
        <f t="shared" si="3"/>
        <v>0</v>
      </c>
      <c r="O31" s="149"/>
      <c r="P31" s="149"/>
    </row>
    <row r="32" spans="1:16" x14ac:dyDescent="0.2">
      <c r="A32">
        <v>602663</v>
      </c>
      <c r="B32" t="s">
        <v>1954</v>
      </c>
      <c r="C32" t="s">
        <v>2238</v>
      </c>
      <c r="D32">
        <v>20011106</v>
      </c>
      <c r="E32">
        <v>20011205</v>
      </c>
      <c r="F32" t="s">
        <v>2279</v>
      </c>
      <c r="G32" t="s">
        <v>1718</v>
      </c>
      <c r="H32" t="s">
        <v>1578</v>
      </c>
      <c r="I32">
        <v>0</v>
      </c>
      <c r="J32">
        <f t="shared" si="1"/>
        <v>0</v>
      </c>
      <c r="L32" s="160" t="str">
        <f t="shared" si="0"/>
        <v>Y</v>
      </c>
      <c r="M32" s="160">
        <f t="shared" si="2"/>
        <v>0</v>
      </c>
      <c r="N32">
        <f t="shared" si="3"/>
        <v>0</v>
      </c>
      <c r="O32" s="149"/>
      <c r="P32" s="149"/>
    </row>
    <row r="33" spans="1:16" x14ac:dyDescent="0.2">
      <c r="A33">
        <v>602664</v>
      </c>
      <c r="B33" t="s">
        <v>1956</v>
      </c>
      <c r="C33" t="s">
        <v>2238</v>
      </c>
      <c r="D33">
        <v>20011106</v>
      </c>
      <c r="E33">
        <v>20011205</v>
      </c>
      <c r="F33" t="s">
        <v>2279</v>
      </c>
      <c r="G33" t="s">
        <v>1718</v>
      </c>
      <c r="H33" t="s">
        <v>1578</v>
      </c>
      <c r="I33">
        <v>0</v>
      </c>
      <c r="J33">
        <f t="shared" si="1"/>
        <v>0</v>
      </c>
      <c r="L33" s="160" t="str">
        <f t="shared" si="0"/>
        <v>Y</v>
      </c>
      <c r="M33" s="160">
        <f t="shared" si="2"/>
        <v>0</v>
      </c>
      <c r="N33">
        <f t="shared" si="3"/>
        <v>0</v>
      </c>
      <c r="O33" s="149"/>
      <c r="P33" s="149"/>
    </row>
    <row r="34" spans="1:16" x14ac:dyDescent="0.2">
      <c r="A34">
        <v>602670</v>
      </c>
      <c r="B34" t="s">
        <v>1957</v>
      </c>
      <c r="C34" t="s">
        <v>1853</v>
      </c>
      <c r="D34">
        <v>20011029</v>
      </c>
      <c r="E34">
        <v>20011127</v>
      </c>
      <c r="F34" t="s">
        <v>1719</v>
      </c>
      <c r="G34" t="s">
        <v>1719</v>
      </c>
      <c r="H34" t="s">
        <v>1578</v>
      </c>
      <c r="I34">
        <v>0</v>
      </c>
      <c r="J34">
        <f t="shared" si="1"/>
        <v>142</v>
      </c>
      <c r="L34" s="160" t="str">
        <f t="shared" ref="L34:L93" si="4">IF(ISNA(VLOOKUP(A34,InCGAS,1,FALSE)),"--", "Y")</f>
        <v>Y</v>
      </c>
      <c r="M34" s="160">
        <f t="shared" si="2"/>
        <v>142</v>
      </c>
      <c r="N34">
        <f t="shared" si="3"/>
        <v>0</v>
      </c>
      <c r="O34" s="149"/>
      <c r="P34" s="149"/>
    </row>
    <row r="35" spans="1:16" x14ac:dyDescent="0.2">
      <c r="A35">
        <v>602671</v>
      </c>
      <c r="B35" t="s">
        <v>1958</v>
      </c>
      <c r="C35" t="s">
        <v>1853</v>
      </c>
      <c r="D35">
        <v>20011029</v>
      </c>
      <c r="E35">
        <v>20011127</v>
      </c>
      <c r="F35" t="s">
        <v>1719</v>
      </c>
      <c r="G35" t="s">
        <v>1718</v>
      </c>
      <c r="H35" t="s">
        <v>1578</v>
      </c>
      <c r="I35">
        <v>0</v>
      </c>
      <c r="J35">
        <f t="shared" si="1"/>
        <v>385</v>
      </c>
      <c r="L35" s="160" t="str">
        <f t="shared" si="4"/>
        <v>Y</v>
      </c>
      <c r="M35" s="160">
        <f t="shared" si="2"/>
        <v>385</v>
      </c>
      <c r="N35">
        <f t="shared" si="3"/>
        <v>0</v>
      </c>
      <c r="O35" s="149"/>
      <c r="P35" s="149"/>
    </row>
    <row r="36" spans="1:16" x14ac:dyDescent="0.2">
      <c r="A36">
        <v>602736</v>
      </c>
      <c r="B36" t="s">
        <v>1959</v>
      </c>
      <c r="C36" t="s">
        <v>2239</v>
      </c>
      <c r="D36">
        <v>20011102</v>
      </c>
      <c r="E36">
        <v>20011130</v>
      </c>
      <c r="F36" t="s">
        <v>1719</v>
      </c>
      <c r="G36" t="s">
        <v>1718</v>
      </c>
      <c r="H36" t="s">
        <v>1578</v>
      </c>
      <c r="I36">
        <v>0</v>
      </c>
      <c r="J36">
        <f t="shared" si="1"/>
        <v>0</v>
      </c>
      <c r="L36" s="160" t="str">
        <f t="shared" si="4"/>
        <v>Y</v>
      </c>
      <c r="M36" s="160">
        <f t="shared" si="2"/>
        <v>0</v>
      </c>
      <c r="N36">
        <f t="shared" si="3"/>
        <v>0</v>
      </c>
      <c r="O36" s="149"/>
      <c r="P36" s="149"/>
    </row>
    <row r="37" spans="1:16" x14ac:dyDescent="0.2">
      <c r="A37">
        <v>604724</v>
      </c>
      <c r="B37" t="s">
        <v>1960</v>
      </c>
      <c r="C37" t="s">
        <v>2240</v>
      </c>
      <c r="D37">
        <v>20011029</v>
      </c>
      <c r="E37">
        <v>20011127</v>
      </c>
      <c r="F37" t="s">
        <v>1719</v>
      </c>
      <c r="G37" t="s">
        <v>1718</v>
      </c>
      <c r="H37" t="s">
        <v>1578</v>
      </c>
      <c r="I37">
        <v>0</v>
      </c>
      <c r="J37">
        <f t="shared" si="1"/>
        <v>0</v>
      </c>
      <c r="L37" s="160" t="str">
        <f t="shared" si="4"/>
        <v>Y</v>
      </c>
      <c r="M37" s="160">
        <f t="shared" si="2"/>
        <v>0</v>
      </c>
      <c r="N37">
        <f t="shared" si="3"/>
        <v>0</v>
      </c>
      <c r="O37" s="149"/>
      <c r="P37" s="149"/>
    </row>
    <row r="38" spans="1:16" x14ac:dyDescent="0.2">
      <c r="A38">
        <v>616411</v>
      </c>
      <c r="B38" t="s">
        <v>1961</v>
      </c>
      <c r="C38" t="s">
        <v>1862</v>
      </c>
      <c r="D38">
        <v>20011029</v>
      </c>
      <c r="E38">
        <v>20011127</v>
      </c>
      <c r="F38" t="s">
        <v>1719</v>
      </c>
      <c r="G38" t="s">
        <v>1718</v>
      </c>
      <c r="H38" t="s">
        <v>1578</v>
      </c>
      <c r="I38">
        <v>0</v>
      </c>
      <c r="J38">
        <f t="shared" si="1"/>
        <v>0</v>
      </c>
      <c r="L38" s="160" t="str">
        <f t="shared" si="4"/>
        <v>Y</v>
      </c>
      <c r="M38" s="160">
        <f t="shared" si="2"/>
        <v>0</v>
      </c>
      <c r="N38">
        <f t="shared" si="3"/>
        <v>0</v>
      </c>
      <c r="O38" s="149"/>
      <c r="P38" s="149"/>
    </row>
    <row r="39" spans="1:16" x14ac:dyDescent="0.2">
      <c r="A39">
        <v>617598</v>
      </c>
      <c r="B39" t="s">
        <v>1962</v>
      </c>
      <c r="C39" t="s">
        <v>1742</v>
      </c>
      <c r="D39">
        <v>20011121</v>
      </c>
      <c r="E39">
        <v>20011126</v>
      </c>
      <c r="F39" t="s">
        <v>2279</v>
      </c>
      <c r="G39" t="s">
        <v>1718</v>
      </c>
      <c r="H39" t="s">
        <v>1578</v>
      </c>
      <c r="I39">
        <v>0</v>
      </c>
      <c r="J39">
        <f t="shared" si="1"/>
        <v>0</v>
      </c>
      <c r="L39" s="160" t="str">
        <f t="shared" si="4"/>
        <v>Y</v>
      </c>
      <c r="M39" s="160">
        <f t="shared" si="2"/>
        <v>0</v>
      </c>
      <c r="N39">
        <f t="shared" si="3"/>
        <v>0</v>
      </c>
      <c r="O39" s="149"/>
      <c r="P39" s="149"/>
    </row>
    <row r="40" spans="1:16" x14ac:dyDescent="0.2">
      <c r="A40">
        <v>618011</v>
      </c>
      <c r="B40" t="s">
        <v>1963</v>
      </c>
      <c r="C40" t="s">
        <v>1863</v>
      </c>
      <c r="D40">
        <v>20011106</v>
      </c>
      <c r="E40">
        <v>20011205</v>
      </c>
      <c r="F40" t="s">
        <v>1719</v>
      </c>
      <c r="G40" t="s">
        <v>1718</v>
      </c>
      <c r="H40" t="s">
        <v>1578</v>
      </c>
      <c r="I40">
        <v>0</v>
      </c>
      <c r="J40">
        <f t="shared" si="1"/>
        <v>51</v>
      </c>
      <c r="L40" s="160" t="str">
        <f t="shared" si="4"/>
        <v>Y</v>
      </c>
      <c r="M40" s="160">
        <f t="shared" si="2"/>
        <v>51</v>
      </c>
      <c r="N40">
        <f t="shared" si="3"/>
        <v>0</v>
      </c>
      <c r="O40" s="149"/>
      <c r="P40" s="149"/>
    </row>
    <row r="41" spans="1:16" x14ac:dyDescent="0.2">
      <c r="A41">
        <v>618741</v>
      </c>
      <c r="B41" t="s">
        <v>1964</v>
      </c>
      <c r="C41" t="s">
        <v>2241</v>
      </c>
      <c r="D41">
        <v>20011102</v>
      </c>
      <c r="E41">
        <v>20011130</v>
      </c>
      <c r="F41" t="s">
        <v>1719</v>
      </c>
      <c r="G41" t="s">
        <v>1719</v>
      </c>
      <c r="H41" t="s">
        <v>1578</v>
      </c>
      <c r="I41">
        <v>0</v>
      </c>
      <c r="J41">
        <f t="shared" si="1"/>
        <v>0</v>
      </c>
      <c r="L41" s="160" t="str">
        <f t="shared" si="4"/>
        <v>Y</v>
      </c>
      <c r="M41" s="160">
        <f t="shared" si="2"/>
        <v>0</v>
      </c>
      <c r="N41">
        <f t="shared" si="3"/>
        <v>0</v>
      </c>
      <c r="O41" s="149"/>
      <c r="P41" s="149"/>
    </row>
    <row r="42" spans="1:16" x14ac:dyDescent="0.2">
      <c r="A42">
        <v>620073</v>
      </c>
      <c r="B42" t="s">
        <v>1965</v>
      </c>
      <c r="C42" t="s">
        <v>1537</v>
      </c>
      <c r="D42">
        <v>20011105</v>
      </c>
      <c r="E42">
        <v>20011204</v>
      </c>
      <c r="F42" t="s">
        <v>1719</v>
      </c>
      <c r="G42" t="s">
        <v>1718</v>
      </c>
      <c r="H42" t="s">
        <v>1578</v>
      </c>
      <c r="I42">
        <v>0</v>
      </c>
      <c r="J42">
        <f t="shared" si="1"/>
        <v>0</v>
      </c>
      <c r="L42" s="160" t="str">
        <f t="shared" si="4"/>
        <v>Y</v>
      </c>
      <c r="M42" s="160">
        <f t="shared" si="2"/>
        <v>0</v>
      </c>
      <c r="N42">
        <f t="shared" si="3"/>
        <v>0</v>
      </c>
      <c r="O42" s="149"/>
      <c r="P42" s="149"/>
    </row>
    <row r="43" spans="1:16" x14ac:dyDescent="0.2">
      <c r="A43">
        <v>620988</v>
      </c>
      <c r="B43" t="s">
        <v>1966</v>
      </c>
      <c r="C43" t="s">
        <v>1865</v>
      </c>
      <c r="D43">
        <v>20011106</v>
      </c>
      <c r="E43">
        <v>20011205</v>
      </c>
      <c r="F43" t="s">
        <v>1719</v>
      </c>
      <c r="G43" t="s">
        <v>1718</v>
      </c>
      <c r="H43" t="s">
        <v>1578</v>
      </c>
      <c r="I43">
        <v>0</v>
      </c>
      <c r="J43">
        <f t="shared" si="1"/>
        <v>0</v>
      </c>
      <c r="L43" s="160" t="str">
        <f t="shared" si="4"/>
        <v>Y</v>
      </c>
      <c r="M43" s="160">
        <f t="shared" si="2"/>
        <v>0</v>
      </c>
      <c r="N43">
        <f t="shared" si="3"/>
        <v>0</v>
      </c>
      <c r="O43" s="149"/>
      <c r="P43" s="149"/>
    </row>
    <row r="44" spans="1:16" x14ac:dyDescent="0.2">
      <c r="A44">
        <v>622471</v>
      </c>
      <c r="B44" t="s">
        <v>1967</v>
      </c>
      <c r="C44" t="s">
        <v>1867</v>
      </c>
      <c r="D44">
        <v>20011105</v>
      </c>
      <c r="E44">
        <v>20011204</v>
      </c>
      <c r="F44" t="s">
        <v>1719</v>
      </c>
      <c r="G44" t="s">
        <v>1718</v>
      </c>
      <c r="H44" t="s">
        <v>1578</v>
      </c>
      <c r="I44">
        <v>0</v>
      </c>
      <c r="J44">
        <f t="shared" si="1"/>
        <v>424</v>
      </c>
      <c r="L44" s="160" t="str">
        <f t="shared" si="4"/>
        <v>Y</v>
      </c>
      <c r="M44" s="160">
        <f t="shared" si="2"/>
        <v>424</v>
      </c>
      <c r="N44">
        <f t="shared" si="3"/>
        <v>0</v>
      </c>
      <c r="O44" s="149"/>
      <c r="P44" s="149"/>
    </row>
    <row r="45" spans="1:16" x14ac:dyDescent="0.2">
      <c r="A45">
        <v>622546</v>
      </c>
      <c r="B45" t="s">
        <v>1968</v>
      </c>
      <c r="C45" t="s">
        <v>1868</v>
      </c>
      <c r="D45">
        <v>20011106</v>
      </c>
      <c r="E45">
        <v>20011205</v>
      </c>
      <c r="F45" t="s">
        <v>1719</v>
      </c>
      <c r="G45" t="s">
        <v>1718</v>
      </c>
      <c r="H45" t="s">
        <v>1578</v>
      </c>
      <c r="I45">
        <v>0</v>
      </c>
      <c r="J45">
        <f t="shared" si="1"/>
        <v>0</v>
      </c>
      <c r="L45" s="160" t="str">
        <f t="shared" si="4"/>
        <v>Y</v>
      </c>
      <c r="M45" s="160">
        <f t="shared" si="2"/>
        <v>0</v>
      </c>
      <c r="N45">
        <f t="shared" si="3"/>
        <v>0</v>
      </c>
      <c r="O45" s="149"/>
      <c r="P45" s="149"/>
    </row>
    <row r="46" spans="1:16" x14ac:dyDescent="0.2">
      <c r="A46">
        <v>622550</v>
      </c>
      <c r="B46" t="s">
        <v>1969</v>
      </c>
      <c r="C46" t="s">
        <v>1868</v>
      </c>
      <c r="D46">
        <v>20011106</v>
      </c>
      <c r="E46">
        <v>20011205</v>
      </c>
      <c r="F46" t="s">
        <v>1719</v>
      </c>
      <c r="G46" t="s">
        <v>1719</v>
      </c>
      <c r="H46" t="s">
        <v>1578</v>
      </c>
      <c r="I46">
        <v>0</v>
      </c>
      <c r="J46">
        <f t="shared" si="1"/>
        <v>0</v>
      </c>
      <c r="L46" s="160" t="str">
        <f t="shared" si="4"/>
        <v>Y</v>
      </c>
      <c r="M46" s="160">
        <f t="shared" si="2"/>
        <v>0</v>
      </c>
      <c r="N46">
        <f t="shared" si="3"/>
        <v>0</v>
      </c>
      <c r="O46" s="149"/>
      <c r="P46" s="149"/>
    </row>
    <row r="47" spans="1:16" x14ac:dyDescent="0.2">
      <c r="A47">
        <v>622576</v>
      </c>
      <c r="B47" t="s">
        <v>1970</v>
      </c>
      <c r="C47" t="s">
        <v>1865</v>
      </c>
      <c r="D47">
        <v>20011106</v>
      </c>
      <c r="E47">
        <v>20011205</v>
      </c>
      <c r="F47" t="s">
        <v>1719</v>
      </c>
      <c r="G47" t="s">
        <v>1718</v>
      </c>
      <c r="H47" t="s">
        <v>1578</v>
      </c>
      <c r="I47">
        <v>0</v>
      </c>
      <c r="J47">
        <f t="shared" si="1"/>
        <v>0</v>
      </c>
      <c r="L47" s="160" t="str">
        <f t="shared" si="4"/>
        <v>Y</v>
      </c>
      <c r="M47" s="160">
        <f t="shared" si="2"/>
        <v>0</v>
      </c>
      <c r="N47">
        <f t="shared" si="3"/>
        <v>0</v>
      </c>
      <c r="O47" s="149"/>
      <c r="P47" s="149"/>
    </row>
    <row r="48" spans="1:16" x14ac:dyDescent="0.2">
      <c r="A48">
        <v>622577</v>
      </c>
      <c r="B48" t="s">
        <v>1971</v>
      </c>
      <c r="C48" t="s">
        <v>1865</v>
      </c>
      <c r="D48">
        <v>20011106</v>
      </c>
      <c r="E48">
        <v>20011205</v>
      </c>
      <c r="F48" t="s">
        <v>1719</v>
      </c>
      <c r="G48" t="s">
        <v>1718</v>
      </c>
      <c r="H48" t="s">
        <v>1578</v>
      </c>
      <c r="I48">
        <v>0</v>
      </c>
      <c r="J48">
        <f t="shared" si="1"/>
        <v>0</v>
      </c>
      <c r="L48" s="160" t="str">
        <f t="shared" si="4"/>
        <v>Y</v>
      </c>
      <c r="M48" s="160">
        <f t="shared" si="2"/>
        <v>0</v>
      </c>
      <c r="N48">
        <f t="shared" si="3"/>
        <v>0</v>
      </c>
      <c r="O48" s="149"/>
      <c r="P48" s="149"/>
    </row>
    <row r="49" spans="1:16" x14ac:dyDescent="0.2">
      <c r="A49">
        <v>622578</v>
      </c>
      <c r="B49" t="s">
        <v>1972</v>
      </c>
      <c r="C49" t="s">
        <v>1865</v>
      </c>
      <c r="D49">
        <v>20011106</v>
      </c>
      <c r="E49">
        <v>20011205</v>
      </c>
      <c r="F49" t="s">
        <v>1719</v>
      </c>
      <c r="G49" t="s">
        <v>1718</v>
      </c>
      <c r="H49" t="s">
        <v>1578</v>
      </c>
      <c r="I49">
        <v>0</v>
      </c>
      <c r="J49">
        <f t="shared" si="1"/>
        <v>0</v>
      </c>
      <c r="L49" s="160" t="str">
        <f t="shared" si="4"/>
        <v>Y</v>
      </c>
      <c r="M49" s="160">
        <f t="shared" si="2"/>
        <v>0</v>
      </c>
      <c r="N49">
        <f t="shared" si="3"/>
        <v>0</v>
      </c>
      <c r="O49" s="149"/>
      <c r="P49" s="149"/>
    </row>
    <row r="50" spans="1:16" x14ac:dyDescent="0.2">
      <c r="A50">
        <v>622622</v>
      </c>
      <c r="B50" t="s">
        <v>1780</v>
      </c>
      <c r="C50" t="s">
        <v>1849</v>
      </c>
      <c r="D50">
        <v>20011029</v>
      </c>
      <c r="E50">
        <v>20011127</v>
      </c>
      <c r="F50" t="s">
        <v>1719</v>
      </c>
      <c r="G50" t="s">
        <v>1719</v>
      </c>
      <c r="H50" t="s">
        <v>1578</v>
      </c>
      <c r="I50">
        <v>0</v>
      </c>
      <c r="J50">
        <f t="shared" si="1"/>
        <v>0</v>
      </c>
      <c r="L50" s="160" t="str">
        <f t="shared" si="4"/>
        <v>Y</v>
      </c>
      <c r="M50" s="160">
        <f t="shared" si="2"/>
        <v>0</v>
      </c>
      <c r="N50">
        <f t="shared" si="3"/>
        <v>0</v>
      </c>
      <c r="O50" s="149"/>
      <c r="P50" s="149"/>
    </row>
    <row r="51" spans="1:16" x14ac:dyDescent="0.2">
      <c r="A51">
        <v>623640</v>
      </c>
      <c r="B51" t="s">
        <v>1973</v>
      </c>
      <c r="C51" t="s">
        <v>1743</v>
      </c>
      <c r="D51">
        <v>20011101</v>
      </c>
      <c r="E51">
        <v>20011203</v>
      </c>
      <c r="F51" t="s">
        <v>2279</v>
      </c>
      <c r="G51" t="s">
        <v>1719</v>
      </c>
      <c r="H51" t="s">
        <v>1578</v>
      </c>
      <c r="I51">
        <v>0</v>
      </c>
      <c r="J51">
        <f t="shared" si="1"/>
        <v>0</v>
      </c>
      <c r="L51" s="160" t="str">
        <f t="shared" si="4"/>
        <v>Y</v>
      </c>
      <c r="M51" s="160">
        <f t="shared" si="2"/>
        <v>0</v>
      </c>
      <c r="N51">
        <f t="shared" si="3"/>
        <v>0</v>
      </c>
      <c r="O51" s="149"/>
      <c r="P51" s="149"/>
    </row>
    <row r="52" spans="1:16" x14ac:dyDescent="0.2">
      <c r="A52">
        <v>625135</v>
      </c>
      <c r="B52" t="s">
        <v>1974</v>
      </c>
      <c r="C52" t="s">
        <v>1865</v>
      </c>
      <c r="D52">
        <v>20011106</v>
      </c>
      <c r="E52">
        <v>20011205</v>
      </c>
      <c r="F52" t="s">
        <v>1719</v>
      </c>
      <c r="G52" t="s">
        <v>1719</v>
      </c>
      <c r="H52" t="s">
        <v>1578</v>
      </c>
      <c r="I52">
        <v>0</v>
      </c>
      <c r="J52">
        <f t="shared" si="1"/>
        <v>0</v>
      </c>
      <c r="L52" s="160" t="str">
        <f t="shared" si="4"/>
        <v>Y</v>
      </c>
      <c r="M52" s="160">
        <f t="shared" si="2"/>
        <v>0</v>
      </c>
      <c r="N52">
        <f t="shared" si="3"/>
        <v>0</v>
      </c>
      <c r="O52" s="149"/>
      <c r="P52" s="149"/>
    </row>
    <row r="53" spans="1:16" x14ac:dyDescent="0.2">
      <c r="A53">
        <v>625145</v>
      </c>
      <c r="B53" t="s">
        <v>1049</v>
      </c>
      <c r="C53" t="s">
        <v>2240</v>
      </c>
      <c r="D53">
        <v>20011102</v>
      </c>
      <c r="E53">
        <v>20011130</v>
      </c>
      <c r="F53" t="s">
        <v>1719</v>
      </c>
      <c r="G53" t="s">
        <v>1719</v>
      </c>
      <c r="H53" t="s">
        <v>1578</v>
      </c>
      <c r="I53">
        <v>0</v>
      </c>
      <c r="J53">
        <f t="shared" si="1"/>
        <v>0</v>
      </c>
      <c r="L53" s="160" t="str">
        <f t="shared" si="4"/>
        <v>Y</v>
      </c>
      <c r="M53" s="160">
        <f t="shared" si="2"/>
        <v>0</v>
      </c>
      <c r="N53">
        <f t="shared" si="3"/>
        <v>0</v>
      </c>
      <c r="O53" s="149"/>
      <c r="P53" s="149"/>
    </row>
    <row r="54" spans="1:16" x14ac:dyDescent="0.2">
      <c r="A54">
        <v>626566</v>
      </c>
      <c r="B54" t="s">
        <v>1976</v>
      </c>
      <c r="C54" t="s">
        <v>1865</v>
      </c>
      <c r="D54">
        <v>20011106</v>
      </c>
      <c r="E54">
        <v>20011129</v>
      </c>
      <c r="F54" t="s">
        <v>1719</v>
      </c>
      <c r="G54" t="s">
        <v>1718</v>
      </c>
      <c r="H54" t="s">
        <v>1578</v>
      </c>
      <c r="I54">
        <v>0</v>
      </c>
      <c r="J54">
        <f t="shared" si="1"/>
        <v>0</v>
      </c>
      <c r="L54" s="160" t="str">
        <f t="shared" si="4"/>
        <v>Y</v>
      </c>
      <c r="M54" s="160">
        <f t="shared" si="2"/>
        <v>0</v>
      </c>
      <c r="N54">
        <f t="shared" si="3"/>
        <v>0</v>
      </c>
      <c r="O54" s="149"/>
      <c r="P54" s="149"/>
    </row>
    <row r="55" spans="1:16" x14ac:dyDescent="0.2">
      <c r="A55">
        <v>626567</v>
      </c>
      <c r="B55" t="s">
        <v>1979</v>
      </c>
      <c r="C55" t="s">
        <v>1865</v>
      </c>
      <c r="D55">
        <v>20011106</v>
      </c>
      <c r="E55">
        <v>20011129</v>
      </c>
      <c r="F55" t="s">
        <v>1719</v>
      </c>
      <c r="G55" t="s">
        <v>1718</v>
      </c>
      <c r="H55" t="s">
        <v>1578</v>
      </c>
      <c r="I55">
        <v>0</v>
      </c>
      <c r="J55">
        <f t="shared" si="1"/>
        <v>0</v>
      </c>
      <c r="L55" s="160" t="str">
        <f t="shared" si="4"/>
        <v>Y</v>
      </c>
      <c r="M55" s="160">
        <f t="shared" si="2"/>
        <v>0</v>
      </c>
      <c r="N55">
        <f t="shared" si="3"/>
        <v>0</v>
      </c>
      <c r="O55" s="149"/>
      <c r="P55" s="149"/>
    </row>
    <row r="56" spans="1:16" x14ac:dyDescent="0.2">
      <c r="A56">
        <v>626592</v>
      </c>
      <c r="B56" t="s">
        <v>1980</v>
      </c>
      <c r="C56" t="s">
        <v>1865</v>
      </c>
      <c r="D56">
        <v>20011106</v>
      </c>
      <c r="E56">
        <v>20011129</v>
      </c>
      <c r="F56" t="s">
        <v>1719</v>
      </c>
      <c r="G56" t="s">
        <v>1718</v>
      </c>
      <c r="H56" t="s">
        <v>1578</v>
      </c>
      <c r="I56">
        <v>0</v>
      </c>
      <c r="J56">
        <f t="shared" si="1"/>
        <v>0</v>
      </c>
      <c r="L56" s="160" t="str">
        <f t="shared" si="4"/>
        <v>Y</v>
      </c>
      <c r="M56" s="160">
        <f t="shared" si="2"/>
        <v>0</v>
      </c>
      <c r="N56">
        <f t="shared" si="3"/>
        <v>0</v>
      </c>
      <c r="O56" s="149"/>
      <c r="P56" s="149"/>
    </row>
    <row r="57" spans="1:16" x14ac:dyDescent="0.2">
      <c r="A57">
        <v>626593</v>
      </c>
      <c r="B57" t="s">
        <v>1981</v>
      </c>
      <c r="C57" t="s">
        <v>1865</v>
      </c>
      <c r="D57">
        <v>20011106</v>
      </c>
      <c r="E57">
        <v>20011129</v>
      </c>
      <c r="F57" t="s">
        <v>1719</v>
      </c>
      <c r="G57" t="s">
        <v>1718</v>
      </c>
      <c r="H57" t="s">
        <v>1578</v>
      </c>
      <c r="I57">
        <v>0</v>
      </c>
      <c r="J57">
        <f t="shared" si="1"/>
        <v>0</v>
      </c>
      <c r="L57" s="160" t="str">
        <f t="shared" si="4"/>
        <v>Y</v>
      </c>
      <c r="M57" s="160">
        <f t="shared" si="2"/>
        <v>0</v>
      </c>
      <c r="N57">
        <f t="shared" si="3"/>
        <v>0</v>
      </c>
      <c r="O57" s="149"/>
      <c r="P57" s="149"/>
    </row>
    <row r="58" spans="1:16" x14ac:dyDescent="0.2">
      <c r="A58">
        <v>627342</v>
      </c>
      <c r="B58" t="s">
        <v>1982</v>
      </c>
      <c r="C58" t="s">
        <v>1537</v>
      </c>
      <c r="D58">
        <v>20011102</v>
      </c>
      <c r="E58">
        <v>20011130</v>
      </c>
      <c r="F58" t="s">
        <v>1719</v>
      </c>
      <c r="G58" t="s">
        <v>1719</v>
      </c>
      <c r="H58" t="s">
        <v>1578</v>
      </c>
      <c r="I58">
        <v>0</v>
      </c>
      <c r="J58">
        <f t="shared" si="1"/>
        <v>145</v>
      </c>
      <c r="L58" s="160" t="str">
        <f t="shared" si="4"/>
        <v>Y</v>
      </c>
      <c r="M58" s="160">
        <f t="shared" si="2"/>
        <v>145</v>
      </c>
      <c r="N58">
        <f t="shared" si="3"/>
        <v>0</v>
      </c>
      <c r="O58" s="149"/>
      <c r="P58" s="149"/>
    </row>
    <row r="59" spans="1:16" x14ac:dyDescent="0.2">
      <c r="A59">
        <v>628227</v>
      </c>
      <c r="B59" t="s">
        <v>1983</v>
      </c>
      <c r="C59" t="s">
        <v>1865</v>
      </c>
      <c r="D59">
        <v>20011106</v>
      </c>
      <c r="E59">
        <v>20011202</v>
      </c>
      <c r="F59" t="s">
        <v>1719</v>
      </c>
      <c r="G59" t="s">
        <v>1718</v>
      </c>
      <c r="H59" t="s">
        <v>1578</v>
      </c>
      <c r="I59">
        <v>0</v>
      </c>
      <c r="J59">
        <f t="shared" si="1"/>
        <v>0</v>
      </c>
      <c r="L59" s="160" t="str">
        <f t="shared" si="4"/>
        <v>Y</v>
      </c>
      <c r="M59" s="160">
        <f t="shared" si="2"/>
        <v>0</v>
      </c>
      <c r="N59">
        <f t="shared" si="3"/>
        <v>0</v>
      </c>
      <c r="O59" s="149"/>
      <c r="P59" s="149"/>
    </row>
    <row r="60" spans="1:16" x14ac:dyDescent="0.2">
      <c r="A60">
        <v>628475</v>
      </c>
      <c r="B60" t="s">
        <v>1984</v>
      </c>
      <c r="C60" t="s">
        <v>1865</v>
      </c>
      <c r="D60">
        <v>20011106</v>
      </c>
      <c r="E60">
        <v>20011129</v>
      </c>
      <c r="F60" t="s">
        <v>1719</v>
      </c>
      <c r="G60" t="s">
        <v>1718</v>
      </c>
      <c r="H60" t="s">
        <v>1578</v>
      </c>
      <c r="I60">
        <v>0</v>
      </c>
      <c r="J60">
        <f t="shared" si="1"/>
        <v>0</v>
      </c>
      <c r="L60" s="160" t="str">
        <f t="shared" si="4"/>
        <v>Y</v>
      </c>
      <c r="M60" s="160">
        <f t="shared" si="2"/>
        <v>0</v>
      </c>
      <c r="N60">
        <f t="shared" si="3"/>
        <v>0</v>
      </c>
      <c r="O60" s="149"/>
      <c r="P60" s="149"/>
    </row>
    <row r="61" spans="1:16" x14ac:dyDescent="0.2">
      <c r="A61">
        <v>628476</v>
      </c>
      <c r="B61" t="s">
        <v>1985</v>
      </c>
      <c r="C61" t="s">
        <v>1865</v>
      </c>
      <c r="D61">
        <v>20011106</v>
      </c>
      <c r="E61">
        <v>20011129</v>
      </c>
      <c r="F61" t="s">
        <v>1719</v>
      </c>
      <c r="G61" t="s">
        <v>1718</v>
      </c>
      <c r="H61" t="s">
        <v>1578</v>
      </c>
      <c r="I61">
        <v>0</v>
      </c>
      <c r="J61">
        <f t="shared" si="1"/>
        <v>0</v>
      </c>
      <c r="L61" s="160" t="str">
        <f t="shared" si="4"/>
        <v>Y</v>
      </c>
      <c r="M61" s="160">
        <f t="shared" si="2"/>
        <v>0</v>
      </c>
      <c r="N61">
        <f t="shared" si="3"/>
        <v>0</v>
      </c>
      <c r="O61" s="149"/>
      <c r="P61" s="149"/>
    </row>
    <row r="62" spans="1:16" x14ac:dyDescent="0.2">
      <c r="A62">
        <v>629019</v>
      </c>
      <c r="B62" t="s">
        <v>1246</v>
      </c>
      <c r="C62" t="s">
        <v>2096</v>
      </c>
      <c r="D62">
        <v>20011029</v>
      </c>
      <c r="E62">
        <v>20011127</v>
      </c>
      <c r="F62" t="s">
        <v>1719</v>
      </c>
      <c r="G62" t="s">
        <v>1719</v>
      </c>
      <c r="H62" t="s">
        <v>1578</v>
      </c>
      <c r="I62">
        <v>0</v>
      </c>
      <c r="J62">
        <f t="shared" si="1"/>
        <v>0</v>
      </c>
      <c r="L62" s="160" t="str">
        <f t="shared" si="4"/>
        <v>Y</v>
      </c>
      <c r="M62" s="160">
        <f t="shared" si="2"/>
        <v>0</v>
      </c>
      <c r="N62">
        <f t="shared" si="3"/>
        <v>0</v>
      </c>
      <c r="O62" s="149"/>
      <c r="P62" s="149"/>
    </row>
    <row r="63" spans="1:16" x14ac:dyDescent="0.2">
      <c r="A63">
        <v>629141</v>
      </c>
      <c r="B63" t="s">
        <v>1986</v>
      </c>
      <c r="C63" t="s">
        <v>1865</v>
      </c>
      <c r="D63">
        <v>20011106</v>
      </c>
      <c r="E63">
        <v>20011129</v>
      </c>
      <c r="F63" t="s">
        <v>1719</v>
      </c>
      <c r="G63" t="s">
        <v>1718</v>
      </c>
      <c r="H63" t="s">
        <v>1578</v>
      </c>
      <c r="I63">
        <v>0</v>
      </c>
      <c r="J63">
        <f t="shared" si="1"/>
        <v>0</v>
      </c>
      <c r="L63" s="160" t="str">
        <f t="shared" si="4"/>
        <v>Y</v>
      </c>
      <c r="M63" s="160">
        <f t="shared" si="2"/>
        <v>0</v>
      </c>
      <c r="N63">
        <f t="shared" si="3"/>
        <v>0</v>
      </c>
      <c r="O63" s="149"/>
      <c r="P63" s="149"/>
    </row>
    <row r="64" spans="1:16" x14ac:dyDescent="0.2">
      <c r="A64">
        <v>630211</v>
      </c>
      <c r="B64" t="s">
        <v>1462</v>
      </c>
      <c r="C64" t="s">
        <v>1468</v>
      </c>
      <c r="D64">
        <v>20011105</v>
      </c>
      <c r="E64">
        <v>20011204</v>
      </c>
      <c r="F64" t="s">
        <v>1719</v>
      </c>
      <c r="G64" t="s">
        <v>1719</v>
      </c>
      <c r="H64" t="s">
        <v>1578</v>
      </c>
      <c r="I64">
        <v>0</v>
      </c>
      <c r="J64">
        <f t="shared" si="1"/>
        <v>0</v>
      </c>
      <c r="L64" s="160" t="str">
        <f t="shared" si="4"/>
        <v>Y</v>
      </c>
      <c r="M64" s="160">
        <f t="shared" si="2"/>
        <v>0</v>
      </c>
      <c r="N64">
        <f t="shared" si="3"/>
        <v>0</v>
      </c>
      <c r="O64" s="149"/>
      <c r="P64" s="149"/>
    </row>
    <row r="65" spans="1:16" x14ac:dyDescent="0.2">
      <c r="A65">
        <v>632571</v>
      </c>
      <c r="B65" t="s">
        <v>1987</v>
      </c>
      <c r="C65" t="s">
        <v>2236</v>
      </c>
      <c r="D65">
        <v>20011105</v>
      </c>
      <c r="E65">
        <v>20011204</v>
      </c>
      <c r="F65" t="s">
        <v>1719</v>
      </c>
      <c r="G65" t="s">
        <v>1718</v>
      </c>
      <c r="H65" t="s">
        <v>1578</v>
      </c>
      <c r="I65">
        <v>0</v>
      </c>
      <c r="J65">
        <f t="shared" si="1"/>
        <v>0</v>
      </c>
      <c r="L65" s="160" t="str">
        <f t="shared" si="4"/>
        <v>Y</v>
      </c>
      <c r="M65" s="160">
        <f t="shared" si="2"/>
        <v>0</v>
      </c>
      <c r="N65">
        <f t="shared" si="3"/>
        <v>0</v>
      </c>
      <c r="O65" s="149"/>
      <c r="P65" s="149"/>
    </row>
    <row r="66" spans="1:16" x14ac:dyDescent="0.2">
      <c r="A66">
        <v>633874</v>
      </c>
      <c r="B66" t="s">
        <v>1579</v>
      </c>
      <c r="C66" t="s">
        <v>2242</v>
      </c>
      <c r="D66">
        <v>20011130</v>
      </c>
      <c r="E66">
        <v>20011201</v>
      </c>
      <c r="F66" t="s">
        <v>1719</v>
      </c>
      <c r="G66" t="s">
        <v>1719</v>
      </c>
      <c r="H66" t="s">
        <v>1578</v>
      </c>
      <c r="I66">
        <v>0</v>
      </c>
      <c r="J66">
        <f t="shared" si="1"/>
        <v>0</v>
      </c>
      <c r="L66" s="160" t="str">
        <f t="shared" si="4"/>
        <v>Y</v>
      </c>
      <c r="M66" s="160">
        <f t="shared" si="2"/>
        <v>0</v>
      </c>
      <c r="N66">
        <f t="shared" si="3"/>
        <v>0</v>
      </c>
      <c r="O66" s="149"/>
      <c r="P66" s="149"/>
    </row>
    <row r="67" spans="1:16" x14ac:dyDescent="0.2">
      <c r="A67">
        <v>634253</v>
      </c>
      <c r="B67" t="s">
        <v>1988</v>
      </c>
      <c r="C67" t="s">
        <v>1850</v>
      </c>
      <c r="D67">
        <v>20011029</v>
      </c>
      <c r="E67">
        <v>20011127</v>
      </c>
      <c r="F67" t="s">
        <v>1719</v>
      </c>
      <c r="G67" t="s">
        <v>1719</v>
      </c>
      <c r="H67" t="s">
        <v>1578</v>
      </c>
      <c r="I67">
        <v>0</v>
      </c>
      <c r="J67">
        <f t="shared" si="1"/>
        <v>0</v>
      </c>
      <c r="L67" s="160" t="str">
        <f t="shared" si="4"/>
        <v>Y</v>
      </c>
      <c r="M67" s="160">
        <f t="shared" si="2"/>
        <v>0</v>
      </c>
      <c r="N67">
        <f t="shared" si="3"/>
        <v>0</v>
      </c>
      <c r="O67" s="149"/>
      <c r="P67" s="149"/>
    </row>
    <row r="68" spans="1:16" x14ac:dyDescent="0.2">
      <c r="A68">
        <v>634555</v>
      </c>
      <c r="B68" t="s">
        <v>1992</v>
      </c>
      <c r="C68" t="s">
        <v>1258</v>
      </c>
      <c r="D68">
        <v>20011105</v>
      </c>
      <c r="E68">
        <v>20011204</v>
      </c>
      <c r="F68" t="s">
        <v>1719</v>
      </c>
      <c r="G68" t="s">
        <v>1718</v>
      </c>
      <c r="H68" t="s">
        <v>1578</v>
      </c>
      <c r="I68">
        <v>0</v>
      </c>
      <c r="J68">
        <f t="shared" si="1"/>
        <v>0</v>
      </c>
      <c r="L68" s="160" t="str">
        <f t="shared" si="4"/>
        <v>Y</v>
      </c>
      <c r="M68" s="160">
        <f t="shared" si="2"/>
        <v>0</v>
      </c>
      <c r="N68">
        <f t="shared" si="3"/>
        <v>0</v>
      </c>
      <c r="O68" s="149"/>
      <c r="P68" s="149"/>
    </row>
    <row r="69" spans="1:16" x14ac:dyDescent="0.2">
      <c r="A69">
        <v>634585</v>
      </c>
      <c r="B69" t="s">
        <v>1993</v>
      </c>
      <c r="C69" t="s">
        <v>1742</v>
      </c>
      <c r="D69">
        <v>20011029</v>
      </c>
      <c r="E69">
        <v>20011127</v>
      </c>
      <c r="F69" t="s">
        <v>2279</v>
      </c>
      <c r="G69" t="s">
        <v>1719</v>
      </c>
      <c r="H69" t="s">
        <v>1578</v>
      </c>
      <c r="I69">
        <v>0</v>
      </c>
      <c r="J69">
        <f t="shared" ref="J69:J132" si="5">IF(ISNA(VLOOKUP(A69,cgasx,5,FALSE)),0,(VLOOKUP(A69,cgasx,5,FALSE)))</f>
        <v>0</v>
      </c>
      <c r="L69" s="160" t="str">
        <f t="shared" si="4"/>
        <v>Y</v>
      </c>
      <c r="M69" s="160">
        <f t="shared" si="2"/>
        <v>0</v>
      </c>
      <c r="N69">
        <f t="shared" si="3"/>
        <v>0</v>
      </c>
      <c r="O69" s="149"/>
      <c r="P69" s="149"/>
    </row>
    <row r="70" spans="1:16" x14ac:dyDescent="0.2">
      <c r="A70">
        <v>634679</v>
      </c>
      <c r="B70" t="s">
        <v>1580</v>
      </c>
      <c r="C70" t="s">
        <v>1633</v>
      </c>
      <c r="D70">
        <v>20011130</v>
      </c>
      <c r="E70">
        <v>20011201</v>
      </c>
      <c r="F70" t="s">
        <v>1719</v>
      </c>
      <c r="G70" t="s">
        <v>1719</v>
      </c>
      <c r="H70" t="s">
        <v>1578</v>
      </c>
      <c r="I70">
        <v>0</v>
      </c>
      <c r="J70">
        <f t="shared" si="5"/>
        <v>0</v>
      </c>
      <c r="L70" s="160" t="str">
        <f t="shared" si="4"/>
        <v>Y</v>
      </c>
      <c r="M70" s="160">
        <f t="shared" si="2"/>
        <v>0</v>
      </c>
      <c r="N70">
        <f t="shared" si="3"/>
        <v>0</v>
      </c>
      <c r="O70" s="149"/>
      <c r="P70" s="149"/>
    </row>
    <row r="71" spans="1:16" x14ac:dyDescent="0.2">
      <c r="A71">
        <v>634743</v>
      </c>
      <c r="B71" t="s">
        <v>1994</v>
      </c>
      <c r="C71" t="s">
        <v>1850</v>
      </c>
      <c r="D71">
        <v>20011029</v>
      </c>
      <c r="E71">
        <v>20011127</v>
      </c>
      <c r="F71" t="s">
        <v>1719</v>
      </c>
      <c r="G71" t="s">
        <v>1719</v>
      </c>
      <c r="H71" t="s">
        <v>1578</v>
      </c>
      <c r="I71">
        <v>0</v>
      </c>
      <c r="J71">
        <f t="shared" si="5"/>
        <v>0</v>
      </c>
      <c r="L71" s="160" t="str">
        <f t="shared" si="4"/>
        <v>Y</v>
      </c>
      <c r="M71" s="160">
        <f t="shared" si="2"/>
        <v>0</v>
      </c>
      <c r="N71">
        <f t="shared" si="3"/>
        <v>0</v>
      </c>
      <c r="O71" s="149"/>
      <c r="P71" s="149"/>
    </row>
    <row r="72" spans="1:16" x14ac:dyDescent="0.2">
      <c r="A72">
        <v>634872</v>
      </c>
      <c r="B72" t="s">
        <v>1995</v>
      </c>
      <c r="C72" t="s">
        <v>2239</v>
      </c>
      <c r="D72">
        <v>20011102</v>
      </c>
      <c r="E72">
        <v>20011130</v>
      </c>
      <c r="F72" t="s">
        <v>1719</v>
      </c>
      <c r="G72" t="s">
        <v>1719</v>
      </c>
      <c r="H72" t="s">
        <v>1578</v>
      </c>
      <c r="I72">
        <v>0</v>
      </c>
      <c r="J72">
        <f t="shared" si="5"/>
        <v>0</v>
      </c>
      <c r="L72" s="160" t="str">
        <f t="shared" si="4"/>
        <v>Y</v>
      </c>
      <c r="M72" s="160">
        <f t="shared" si="2"/>
        <v>0</v>
      </c>
      <c r="N72">
        <f t="shared" si="3"/>
        <v>0</v>
      </c>
      <c r="O72" s="149"/>
      <c r="P72" s="149"/>
    </row>
    <row r="73" spans="1:16" x14ac:dyDescent="0.2">
      <c r="A73">
        <v>634894</v>
      </c>
      <c r="B73" t="s">
        <v>1996</v>
      </c>
      <c r="C73" t="s">
        <v>1744</v>
      </c>
      <c r="D73">
        <v>20011031</v>
      </c>
      <c r="E73">
        <v>20011129</v>
      </c>
      <c r="F73" t="s">
        <v>2279</v>
      </c>
      <c r="G73" t="s">
        <v>1719</v>
      </c>
      <c r="H73" t="s">
        <v>1578</v>
      </c>
      <c r="I73">
        <v>0</v>
      </c>
      <c r="J73">
        <f t="shared" si="5"/>
        <v>0</v>
      </c>
      <c r="L73" s="160" t="str">
        <f t="shared" si="4"/>
        <v>Y</v>
      </c>
      <c r="M73" s="160">
        <f t="shared" si="2"/>
        <v>0</v>
      </c>
      <c r="N73">
        <f t="shared" si="3"/>
        <v>0</v>
      </c>
      <c r="O73" s="149"/>
      <c r="P73" s="149"/>
    </row>
    <row r="74" spans="1:16" x14ac:dyDescent="0.2">
      <c r="A74">
        <v>635056</v>
      </c>
      <c r="B74" t="s">
        <v>1997</v>
      </c>
      <c r="C74" t="s">
        <v>1744</v>
      </c>
      <c r="D74">
        <v>20011029</v>
      </c>
      <c r="E74">
        <v>20011127</v>
      </c>
      <c r="F74" t="s">
        <v>1719</v>
      </c>
      <c r="G74" t="s">
        <v>1718</v>
      </c>
      <c r="H74" t="s">
        <v>1578</v>
      </c>
      <c r="I74">
        <v>0</v>
      </c>
      <c r="J74">
        <f t="shared" si="5"/>
        <v>0</v>
      </c>
      <c r="L74" s="160" t="str">
        <f t="shared" si="4"/>
        <v>Y</v>
      </c>
      <c r="M74" s="160">
        <f t="shared" ref="M74:M133" si="6">IF(ISNA(VLOOKUP(A74,InCGAS,1,FALSE)),"na",VLOOKUP(A74,InCGAS,9,FALSE))</f>
        <v>0</v>
      </c>
      <c r="N74">
        <f t="shared" ref="N74:N133" si="7">+J74-M74</f>
        <v>0</v>
      </c>
      <c r="O74" s="149"/>
      <c r="P74" s="149"/>
    </row>
    <row r="75" spans="1:16" x14ac:dyDescent="0.2">
      <c r="A75">
        <v>635213</v>
      </c>
      <c r="B75" t="s">
        <v>1781</v>
      </c>
      <c r="C75" t="s">
        <v>2243</v>
      </c>
      <c r="D75">
        <v>20011130</v>
      </c>
      <c r="E75">
        <v>20011201</v>
      </c>
      <c r="F75" t="s">
        <v>1719</v>
      </c>
      <c r="G75" t="s">
        <v>1719</v>
      </c>
      <c r="H75" t="s">
        <v>1578</v>
      </c>
      <c r="I75">
        <v>0</v>
      </c>
      <c r="J75">
        <f t="shared" si="5"/>
        <v>0</v>
      </c>
      <c r="L75" s="160" t="str">
        <f t="shared" si="4"/>
        <v>Y</v>
      </c>
      <c r="M75" s="160">
        <f t="shared" si="6"/>
        <v>0</v>
      </c>
      <c r="N75">
        <f t="shared" si="7"/>
        <v>0</v>
      </c>
      <c r="O75" s="149"/>
      <c r="P75" s="149"/>
    </row>
    <row r="76" spans="1:16" x14ac:dyDescent="0.2">
      <c r="A76">
        <v>635268</v>
      </c>
      <c r="B76" t="s">
        <v>1998</v>
      </c>
      <c r="C76" t="s">
        <v>2244</v>
      </c>
      <c r="D76">
        <v>20011106</v>
      </c>
      <c r="E76">
        <v>20011205</v>
      </c>
      <c r="F76" t="s">
        <v>2279</v>
      </c>
      <c r="G76" t="s">
        <v>1718</v>
      </c>
      <c r="H76" t="s">
        <v>1578</v>
      </c>
      <c r="I76">
        <v>0</v>
      </c>
      <c r="J76">
        <f t="shared" si="5"/>
        <v>0</v>
      </c>
      <c r="L76" s="160" t="str">
        <f t="shared" si="4"/>
        <v>Y</v>
      </c>
      <c r="M76" s="160">
        <f t="shared" si="6"/>
        <v>0</v>
      </c>
      <c r="N76">
        <f t="shared" si="7"/>
        <v>0</v>
      </c>
      <c r="O76" s="149"/>
      <c r="P76" s="149"/>
    </row>
    <row r="77" spans="1:16" x14ac:dyDescent="0.2">
      <c r="A77">
        <v>635566</v>
      </c>
      <c r="B77" t="s">
        <v>1999</v>
      </c>
      <c r="C77" t="s">
        <v>2240</v>
      </c>
      <c r="D77">
        <v>20011102</v>
      </c>
      <c r="E77">
        <v>20011130</v>
      </c>
      <c r="F77" t="s">
        <v>1719</v>
      </c>
      <c r="G77" t="s">
        <v>1719</v>
      </c>
      <c r="H77" t="s">
        <v>1578</v>
      </c>
      <c r="I77">
        <v>0</v>
      </c>
      <c r="J77">
        <f t="shared" si="5"/>
        <v>0</v>
      </c>
      <c r="L77" s="160" t="str">
        <f t="shared" si="4"/>
        <v>Y</v>
      </c>
      <c r="M77" s="160">
        <f t="shared" si="6"/>
        <v>0</v>
      </c>
      <c r="N77">
        <f t="shared" si="7"/>
        <v>0</v>
      </c>
      <c r="O77" s="149"/>
      <c r="P77" s="149"/>
    </row>
    <row r="78" spans="1:16" x14ac:dyDescent="0.2">
      <c r="A78">
        <v>635719</v>
      </c>
      <c r="B78" t="s">
        <v>2000</v>
      </c>
      <c r="C78" t="s">
        <v>2297</v>
      </c>
      <c r="D78">
        <v>20011030</v>
      </c>
      <c r="E78">
        <v>20011128</v>
      </c>
      <c r="F78" t="s">
        <v>2279</v>
      </c>
      <c r="G78" t="s">
        <v>1718</v>
      </c>
      <c r="H78" t="s">
        <v>1578</v>
      </c>
      <c r="I78">
        <v>0</v>
      </c>
      <c r="J78">
        <f t="shared" si="5"/>
        <v>0</v>
      </c>
      <c r="L78" s="160" t="str">
        <f t="shared" si="4"/>
        <v>Y</v>
      </c>
      <c r="M78" s="160">
        <f t="shared" si="6"/>
        <v>0</v>
      </c>
      <c r="N78">
        <f t="shared" si="7"/>
        <v>0</v>
      </c>
      <c r="O78" s="149"/>
      <c r="P78" s="149"/>
    </row>
    <row r="79" spans="1:16" x14ac:dyDescent="0.2">
      <c r="A79">
        <v>636807</v>
      </c>
      <c r="B79" t="s">
        <v>1463</v>
      </c>
      <c r="C79" t="s">
        <v>1850</v>
      </c>
      <c r="D79">
        <v>20011102</v>
      </c>
      <c r="E79">
        <v>20011130</v>
      </c>
      <c r="F79" t="s">
        <v>1719</v>
      </c>
      <c r="G79" t="s">
        <v>1719</v>
      </c>
      <c r="H79" t="s">
        <v>1578</v>
      </c>
      <c r="I79">
        <v>0</v>
      </c>
      <c r="J79">
        <f t="shared" si="5"/>
        <v>0</v>
      </c>
      <c r="L79" s="160" t="str">
        <f t="shared" si="4"/>
        <v>Y</v>
      </c>
      <c r="M79" s="160">
        <f t="shared" si="6"/>
        <v>0</v>
      </c>
      <c r="N79">
        <f t="shared" si="7"/>
        <v>0</v>
      </c>
      <c r="O79" s="149"/>
      <c r="P79" s="149"/>
    </row>
    <row r="80" spans="1:16" x14ac:dyDescent="0.2">
      <c r="A80">
        <v>636989</v>
      </c>
      <c r="B80" t="s">
        <v>1581</v>
      </c>
      <c r="C80" t="s">
        <v>1850</v>
      </c>
      <c r="D80">
        <v>20011105</v>
      </c>
      <c r="E80">
        <v>20011204</v>
      </c>
      <c r="F80" t="s">
        <v>1719</v>
      </c>
      <c r="G80" t="s">
        <v>1719</v>
      </c>
      <c r="H80" t="s">
        <v>1578</v>
      </c>
      <c r="I80">
        <v>0</v>
      </c>
      <c r="J80">
        <f t="shared" si="5"/>
        <v>0</v>
      </c>
      <c r="L80" s="160" t="str">
        <f t="shared" si="4"/>
        <v>Y</v>
      </c>
      <c r="M80" s="160">
        <f t="shared" si="6"/>
        <v>0</v>
      </c>
      <c r="N80">
        <f t="shared" si="7"/>
        <v>0</v>
      </c>
      <c r="O80" s="149"/>
      <c r="P80" s="149"/>
    </row>
    <row r="81" spans="1:16" x14ac:dyDescent="0.2">
      <c r="A81">
        <v>637167</v>
      </c>
      <c r="B81" t="s">
        <v>1247</v>
      </c>
      <c r="C81" t="s">
        <v>1850</v>
      </c>
      <c r="D81">
        <v>20011119</v>
      </c>
      <c r="E81">
        <v>20011130</v>
      </c>
      <c r="F81" t="s">
        <v>1719</v>
      </c>
      <c r="G81" t="s">
        <v>1719</v>
      </c>
      <c r="H81" t="s">
        <v>1578</v>
      </c>
      <c r="I81">
        <v>0</v>
      </c>
      <c r="J81">
        <f t="shared" si="5"/>
        <v>0</v>
      </c>
      <c r="L81" s="160" t="str">
        <f t="shared" si="4"/>
        <v>Y</v>
      </c>
      <c r="M81" s="160">
        <f t="shared" si="6"/>
        <v>0</v>
      </c>
      <c r="N81">
        <f t="shared" si="7"/>
        <v>0</v>
      </c>
      <c r="O81" s="149"/>
      <c r="P81" s="149"/>
    </row>
    <row r="82" spans="1:16" x14ac:dyDescent="0.2">
      <c r="A82">
        <v>706731</v>
      </c>
      <c r="B82" t="s">
        <v>2001</v>
      </c>
      <c r="C82" t="s">
        <v>1582</v>
      </c>
      <c r="D82">
        <v>20011030</v>
      </c>
      <c r="E82">
        <v>20011203</v>
      </c>
      <c r="F82" t="s">
        <v>1719</v>
      </c>
      <c r="G82" t="s">
        <v>1718</v>
      </c>
      <c r="H82" t="s">
        <v>1578</v>
      </c>
      <c r="I82">
        <v>0</v>
      </c>
      <c r="J82">
        <f t="shared" si="5"/>
        <v>0</v>
      </c>
      <c r="L82" s="160" t="str">
        <f t="shared" si="4"/>
        <v>Y</v>
      </c>
      <c r="M82" s="160">
        <f t="shared" si="6"/>
        <v>0</v>
      </c>
      <c r="N82">
        <f t="shared" si="7"/>
        <v>0</v>
      </c>
      <c r="O82" s="149"/>
      <c r="P82" s="149"/>
    </row>
    <row r="83" spans="1:16" x14ac:dyDescent="0.2">
      <c r="A83">
        <v>707846</v>
      </c>
      <c r="B83" t="s">
        <v>2003</v>
      </c>
      <c r="C83" t="s">
        <v>1582</v>
      </c>
      <c r="D83">
        <v>20011126</v>
      </c>
      <c r="E83">
        <v>20011203</v>
      </c>
      <c r="F83" t="s">
        <v>1719</v>
      </c>
      <c r="G83" t="s">
        <v>1718</v>
      </c>
      <c r="H83" t="s">
        <v>1578</v>
      </c>
      <c r="I83">
        <v>0</v>
      </c>
      <c r="J83">
        <f t="shared" si="5"/>
        <v>0</v>
      </c>
      <c r="L83" s="160" t="str">
        <f t="shared" si="4"/>
        <v>Y</v>
      </c>
      <c r="M83" s="160">
        <f t="shared" si="6"/>
        <v>0</v>
      </c>
      <c r="N83">
        <f t="shared" si="7"/>
        <v>0</v>
      </c>
      <c r="O83" s="149"/>
      <c r="P83" s="149"/>
    </row>
    <row r="84" spans="1:16" x14ac:dyDescent="0.2">
      <c r="A84">
        <v>708922</v>
      </c>
      <c r="B84" t="s">
        <v>2004</v>
      </c>
      <c r="C84" t="s">
        <v>1707</v>
      </c>
      <c r="D84">
        <v>20011101</v>
      </c>
      <c r="E84">
        <v>20011203</v>
      </c>
      <c r="F84" t="s">
        <v>1719</v>
      </c>
      <c r="G84" t="s">
        <v>1718</v>
      </c>
      <c r="H84" t="s">
        <v>1578</v>
      </c>
      <c r="I84">
        <v>0</v>
      </c>
      <c r="J84">
        <f t="shared" si="5"/>
        <v>0</v>
      </c>
      <c r="L84" s="160" t="str">
        <f t="shared" si="4"/>
        <v>Y</v>
      </c>
      <c r="M84" s="160">
        <f t="shared" si="6"/>
        <v>0</v>
      </c>
      <c r="N84">
        <f t="shared" si="7"/>
        <v>0</v>
      </c>
      <c r="O84" s="149"/>
      <c r="P84" s="149"/>
    </row>
    <row r="85" spans="1:16" x14ac:dyDescent="0.2">
      <c r="A85">
        <v>708933</v>
      </c>
      <c r="B85" t="s">
        <v>2005</v>
      </c>
      <c r="C85" t="s">
        <v>2245</v>
      </c>
      <c r="D85">
        <v>20011030</v>
      </c>
      <c r="E85">
        <v>20011205</v>
      </c>
      <c r="F85" t="s">
        <v>1719</v>
      </c>
      <c r="G85" t="s">
        <v>1718</v>
      </c>
      <c r="H85" t="s">
        <v>1578</v>
      </c>
      <c r="I85">
        <v>0</v>
      </c>
      <c r="J85">
        <f t="shared" si="5"/>
        <v>0</v>
      </c>
      <c r="L85" s="160" t="str">
        <f t="shared" si="4"/>
        <v>Y</v>
      </c>
      <c r="M85" s="160">
        <f t="shared" si="6"/>
        <v>0</v>
      </c>
      <c r="N85">
        <f t="shared" si="7"/>
        <v>0</v>
      </c>
      <c r="O85" s="149"/>
      <c r="P85" s="149"/>
    </row>
    <row r="86" spans="1:16" x14ac:dyDescent="0.2">
      <c r="A86">
        <v>710760</v>
      </c>
      <c r="B86" t="s">
        <v>2006</v>
      </c>
      <c r="C86" t="s">
        <v>2246</v>
      </c>
      <c r="D86">
        <v>20011030</v>
      </c>
      <c r="E86">
        <v>20011129</v>
      </c>
      <c r="F86" t="s">
        <v>1719</v>
      </c>
      <c r="G86" t="s">
        <v>1718</v>
      </c>
      <c r="H86" t="s">
        <v>1578</v>
      </c>
      <c r="I86">
        <v>0</v>
      </c>
      <c r="J86">
        <f t="shared" si="5"/>
        <v>0</v>
      </c>
      <c r="L86" s="160" t="str">
        <f t="shared" si="4"/>
        <v>Y</v>
      </c>
      <c r="M86" s="160">
        <f t="shared" si="6"/>
        <v>0</v>
      </c>
      <c r="N86">
        <f t="shared" si="7"/>
        <v>0</v>
      </c>
      <c r="O86" s="149"/>
      <c r="P86" s="149"/>
    </row>
    <row r="87" spans="1:16" x14ac:dyDescent="0.2">
      <c r="A87">
        <v>710961</v>
      </c>
      <c r="B87" t="s">
        <v>2007</v>
      </c>
      <c r="C87" t="s">
        <v>2247</v>
      </c>
      <c r="D87">
        <v>20011102</v>
      </c>
      <c r="E87">
        <v>20011205</v>
      </c>
      <c r="F87" t="s">
        <v>1719</v>
      </c>
      <c r="G87" t="s">
        <v>1718</v>
      </c>
      <c r="H87" t="s">
        <v>1578</v>
      </c>
      <c r="I87">
        <v>0</v>
      </c>
      <c r="J87">
        <f t="shared" si="5"/>
        <v>0</v>
      </c>
      <c r="L87" s="160" t="str">
        <f t="shared" si="4"/>
        <v>Y</v>
      </c>
      <c r="M87" s="160">
        <f t="shared" si="6"/>
        <v>0</v>
      </c>
      <c r="N87">
        <f t="shared" si="7"/>
        <v>0</v>
      </c>
      <c r="O87" s="149"/>
      <c r="P87" s="149"/>
    </row>
    <row r="88" spans="1:16" x14ac:dyDescent="0.2">
      <c r="A88">
        <v>711108</v>
      </c>
      <c r="B88" t="s">
        <v>2008</v>
      </c>
      <c r="C88" t="s">
        <v>1884</v>
      </c>
      <c r="D88">
        <v>20011030</v>
      </c>
      <c r="E88">
        <v>20011129</v>
      </c>
      <c r="F88" t="s">
        <v>1719</v>
      </c>
      <c r="G88" t="s">
        <v>1718</v>
      </c>
      <c r="H88" t="s">
        <v>1578</v>
      </c>
      <c r="I88">
        <v>0</v>
      </c>
      <c r="J88">
        <f t="shared" si="5"/>
        <v>0</v>
      </c>
      <c r="L88" s="160" t="str">
        <f t="shared" si="4"/>
        <v>Y</v>
      </c>
      <c r="M88" s="160">
        <f t="shared" si="6"/>
        <v>0</v>
      </c>
      <c r="N88">
        <f t="shared" si="7"/>
        <v>0</v>
      </c>
      <c r="O88" s="149"/>
      <c r="P88" s="149"/>
    </row>
    <row r="89" spans="1:16" x14ac:dyDescent="0.2">
      <c r="A89">
        <v>711586</v>
      </c>
      <c r="B89" t="s">
        <v>2009</v>
      </c>
      <c r="C89" t="s">
        <v>1582</v>
      </c>
      <c r="D89">
        <v>20011030</v>
      </c>
      <c r="E89">
        <v>20011203</v>
      </c>
      <c r="F89" t="s">
        <v>1719</v>
      </c>
      <c r="G89" t="s">
        <v>1718</v>
      </c>
      <c r="H89" t="s">
        <v>1578</v>
      </c>
      <c r="I89">
        <v>0</v>
      </c>
      <c r="J89">
        <f t="shared" si="5"/>
        <v>0</v>
      </c>
      <c r="L89" s="160" t="str">
        <f t="shared" si="4"/>
        <v>Y</v>
      </c>
      <c r="M89" s="160">
        <f t="shared" si="6"/>
        <v>0</v>
      </c>
      <c r="N89">
        <f t="shared" si="7"/>
        <v>0</v>
      </c>
      <c r="O89" s="149"/>
      <c r="P89" s="149"/>
    </row>
    <row r="90" spans="1:16" x14ac:dyDescent="0.2">
      <c r="A90">
        <v>712310</v>
      </c>
      <c r="B90" t="s">
        <v>2010</v>
      </c>
      <c r="C90" t="s">
        <v>2248</v>
      </c>
      <c r="D90">
        <v>20011029</v>
      </c>
      <c r="E90">
        <v>20011130</v>
      </c>
      <c r="F90" t="s">
        <v>1719</v>
      </c>
      <c r="G90" t="s">
        <v>1719</v>
      </c>
      <c r="H90" t="s">
        <v>1578</v>
      </c>
      <c r="I90">
        <v>0</v>
      </c>
      <c r="J90">
        <f t="shared" si="5"/>
        <v>0</v>
      </c>
      <c r="L90" s="160" t="str">
        <f t="shared" si="4"/>
        <v>Y</v>
      </c>
      <c r="M90" s="160">
        <f t="shared" si="6"/>
        <v>0</v>
      </c>
      <c r="N90">
        <f t="shared" si="7"/>
        <v>0</v>
      </c>
      <c r="O90" s="149"/>
      <c r="P90" s="149"/>
    </row>
    <row r="91" spans="1:16" x14ac:dyDescent="0.2">
      <c r="A91">
        <v>712366</v>
      </c>
      <c r="B91" t="s">
        <v>2011</v>
      </c>
      <c r="C91" t="s">
        <v>2248</v>
      </c>
      <c r="D91">
        <v>20011029</v>
      </c>
      <c r="E91">
        <v>20011130</v>
      </c>
      <c r="F91" t="s">
        <v>1719</v>
      </c>
      <c r="G91" t="s">
        <v>1719</v>
      </c>
      <c r="H91" t="s">
        <v>1578</v>
      </c>
      <c r="I91">
        <v>0</v>
      </c>
      <c r="J91">
        <f t="shared" si="5"/>
        <v>0</v>
      </c>
      <c r="L91" s="160" t="str">
        <f t="shared" si="4"/>
        <v>Y</v>
      </c>
      <c r="M91" s="160">
        <f t="shared" si="6"/>
        <v>0</v>
      </c>
      <c r="N91">
        <f t="shared" si="7"/>
        <v>0</v>
      </c>
      <c r="O91" s="149"/>
      <c r="P91" s="149"/>
    </row>
    <row r="92" spans="1:16" x14ac:dyDescent="0.2">
      <c r="A92">
        <v>712721</v>
      </c>
      <c r="B92" t="s">
        <v>2012</v>
      </c>
      <c r="C92" t="s">
        <v>2248</v>
      </c>
      <c r="D92">
        <v>20011029</v>
      </c>
      <c r="E92">
        <v>20011126</v>
      </c>
      <c r="F92" t="s">
        <v>1719</v>
      </c>
      <c r="G92" t="s">
        <v>1718</v>
      </c>
      <c r="H92" t="s">
        <v>1578</v>
      </c>
      <c r="I92">
        <v>0</v>
      </c>
      <c r="J92">
        <f t="shared" si="5"/>
        <v>0</v>
      </c>
      <c r="L92" s="160" t="str">
        <f t="shared" si="4"/>
        <v>Y</v>
      </c>
      <c r="M92" s="160">
        <f t="shared" si="6"/>
        <v>0</v>
      </c>
      <c r="N92">
        <f t="shared" si="7"/>
        <v>0</v>
      </c>
      <c r="O92" s="149"/>
      <c r="P92" s="149"/>
    </row>
    <row r="93" spans="1:16" x14ac:dyDescent="0.2">
      <c r="A93">
        <v>713095</v>
      </c>
      <c r="B93" t="s">
        <v>2013</v>
      </c>
      <c r="C93" t="s">
        <v>2249</v>
      </c>
      <c r="D93">
        <v>20011029</v>
      </c>
      <c r="E93">
        <v>20011127</v>
      </c>
      <c r="F93" t="s">
        <v>1719</v>
      </c>
      <c r="G93" t="s">
        <v>1719</v>
      </c>
      <c r="H93" t="s">
        <v>1578</v>
      </c>
      <c r="I93">
        <v>0</v>
      </c>
      <c r="J93">
        <f t="shared" si="5"/>
        <v>0</v>
      </c>
      <c r="L93" s="160" t="str">
        <f t="shared" si="4"/>
        <v>Y</v>
      </c>
      <c r="M93" s="160">
        <f>IF(ISNA(VLOOKUP(A93,InCGAS,1,FALSE)),"na",VLOOKUP(A93,InCGAS,9,FALSE))</f>
        <v>0</v>
      </c>
      <c r="N93">
        <f>+J93-M93</f>
        <v>0</v>
      </c>
      <c r="O93" s="149"/>
      <c r="P93" s="149"/>
    </row>
    <row r="94" spans="1:16" x14ac:dyDescent="0.2">
      <c r="A94">
        <v>713258</v>
      </c>
      <c r="B94" t="s">
        <v>2014</v>
      </c>
      <c r="C94" t="s">
        <v>1885</v>
      </c>
      <c r="D94">
        <v>20011031</v>
      </c>
      <c r="E94">
        <v>20011128</v>
      </c>
      <c r="F94" t="s">
        <v>1719</v>
      </c>
      <c r="G94" t="s">
        <v>1719</v>
      </c>
      <c r="H94" t="s">
        <v>1578</v>
      </c>
      <c r="I94">
        <v>0</v>
      </c>
      <c r="J94">
        <f t="shared" si="5"/>
        <v>0</v>
      </c>
      <c r="L94" s="160" t="str">
        <f t="shared" ref="L94:L163" si="8">IF(ISNA(VLOOKUP(A94,InCGAS,1,FALSE)),"--", "Y")</f>
        <v>Y</v>
      </c>
      <c r="M94" s="160">
        <f t="shared" si="6"/>
        <v>0</v>
      </c>
      <c r="N94">
        <f t="shared" si="7"/>
        <v>0</v>
      </c>
      <c r="O94" s="149"/>
      <c r="P94" s="149"/>
    </row>
    <row r="95" spans="1:16" x14ac:dyDescent="0.2">
      <c r="A95">
        <v>713762</v>
      </c>
      <c r="B95" t="s">
        <v>2015</v>
      </c>
      <c r="C95" t="s">
        <v>1426</v>
      </c>
      <c r="D95">
        <v>20011030</v>
      </c>
      <c r="E95">
        <v>20011205</v>
      </c>
      <c r="F95" t="s">
        <v>1719</v>
      </c>
      <c r="G95" t="s">
        <v>1718</v>
      </c>
      <c r="H95" t="s">
        <v>1578</v>
      </c>
      <c r="I95">
        <v>0</v>
      </c>
      <c r="J95">
        <f t="shared" si="5"/>
        <v>0</v>
      </c>
      <c r="L95" s="160" t="str">
        <f t="shared" si="8"/>
        <v>Y</v>
      </c>
      <c r="M95" s="160">
        <f t="shared" si="6"/>
        <v>0</v>
      </c>
      <c r="N95">
        <f t="shared" si="7"/>
        <v>0</v>
      </c>
      <c r="O95" s="149"/>
      <c r="P95" s="149"/>
    </row>
    <row r="96" spans="1:16" x14ac:dyDescent="0.2">
      <c r="A96">
        <v>716232</v>
      </c>
      <c r="B96" t="s">
        <v>2016</v>
      </c>
      <c r="C96" t="s">
        <v>813</v>
      </c>
      <c r="D96">
        <v>20011030</v>
      </c>
      <c r="E96">
        <v>20011205</v>
      </c>
      <c r="F96" t="s">
        <v>1719</v>
      </c>
      <c r="G96" t="s">
        <v>1718</v>
      </c>
      <c r="H96" t="s">
        <v>1578</v>
      </c>
      <c r="I96">
        <v>0</v>
      </c>
      <c r="J96">
        <f t="shared" si="5"/>
        <v>0</v>
      </c>
      <c r="L96" s="160" t="str">
        <f t="shared" si="8"/>
        <v>Y</v>
      </c>
      <c r="M96" s="160">
        <f t="shared" si="6"/>
        <v>0</v>
      </c>
      <c r="N96">
        <f t="shared" si="7"/>
        <v>0</v>
      </c>
      <c r="O96" s="149"/>
      <c r="P96" s="149"/>
    </row>
    <row r="97" spans="1:16" x14ac:dyDescent="0.2">
      <c r="A97">
        <v>716747</v>
      </c>
      <c r="B97" t="s">
        <v>2020</v>
      </c>
      <c r="C97" t="s">
        <v>2248</v>
      </c>
      <c r="D97">
        <v>20011030</v>
      </c>
      <c r="E97">
        <v>20011130</v>
      </c>
      <c r="F97" t="s">
        <v>1719</v>
      </c>
      <c r="G97" t="s">
        <v>1719</v>
      </c>
      <c r="H97" t="s">
        <v>1578</v>
      </c>
      <c r="I97">
        <v>0</v>
      </c>
      <c r="J97">
        <f t="shared" si="5"/>
        <v>0</v>
      </c>
      <c r="L97" s="160" t="str">
        <f t="shared" si="8"/>
        <v>Y</v>
      </c>
      <c r="M97" s="160">
        <f t="shared" si="6"/>
        <v>0</v>
      </c>
      <c r="N97">
        <f t="shared" si="7"/>
        <v>0</v>
      </c>
      <c r="O97" s="149"/>
      <c r="P97" s="149"/>
    </row>
    <row r="98" spans="1:16" x14ac:dyDescent="0.2">
      <c r="A98">
        <v>717037</v>
      </c>
      <c r="B98" t="s">
        <v>2021</v>
      </c>
      <c r="C98" t="s">
        <v>1426</v>
      </c>
      <c r="D98">
        <v>20011102</v>
      </c>
      <c r="E98">
        <v>20011130</v>
      </c>
      <c r="F98" t="s">
        <v>1719</v>
      </c>
      <c r="G98" t="s">
        <v>1719</v>
      </c>
      <c r="H98" t="s">
        <v>1578</v>
      </c>
      <c r="I98">
        <v>0</v>
      </c>
      <c r="J98">
        <f t="shared" si="5"/>
        <v>0</v>
      </c>
      <c r="L98" s="160" t="str">
        <f t="shared" si="8"/>
        <v>Y</v>
      </c>
      <c r="M98" s="160">
        <f t="shared" si="6"/>
        <v>0</v>
      </c>
      <c r="N98">
        <f t="shared" si="7"/>
        <v>0</v>
      </c>
      <c r="O98" s="149"/>
      <c r="P98" s="149"/>
    </row>
    <row r="99" spans="1:16" x14ac:dyDescent="0.2">
      <c r="A99">
        <v>717177</v>
      </c>
      <c r="B99" t="s">
        <v>2022</v>
      </c>
      <c r="C99" t="s">
        <v>1426</v>
      </c>
      <c r="D99">
        <v>20011030</v>
      </c>
      <c r="E99">
        <v>20011205</v>
      </c>
      <c r="F99" t="s">
        <v>1719</v>
      </c>
      <c r="G99" t="s">
        <v>1718</v>
      </c>
      <c r="H99" t="s">
        <v>1578</v>
      </c>
      <c r="I99">
        <v>0</v>
      </c>
      <c r="J99">
        <f t="shared" si="5"/>
        <v>0</v>
      </c>
      <c r="L99" s="160" t="str">
        <f t="shared" si="8"/>
        <v>Y</v>
      </c>
      <c r="M99" s="160">
        <f t="shared" si="6"/>
        <v>0</v>
      </c>
      <c r="N99">
        <f t="shared" si="7"/>
        <v>0</v>
      </c>
      <c r="O99" s="149"/>
      <c r="P99" s="149"/>
    </row>
    <row r="100" spans="1:16" x14ac:dyDescent="0.2">
      <c r="A100">
        <v>717296</v>
      </c>
      <c r="B100" t="s">
        <v>1583</v>
      </c>
      <c r="C100" t="s">
        <v>2272</v>
      </c>
      <c r="D100">
        <v>20011101</v>
      </c>
      <c r="E100">
        <v>20011201</v>
      </c>
      <c r="F100" t="s">
        <v>1719</v>
      </c>
      <c r="G100" t="s">
        <v>1719</v>
      </c>
      <c r="H100" t="s">
        <v>1578</v>
      </c>
      <c r="I100">
        <v>0</v>
      </c>
      <c r="J100">
        <f t="shared" si="5"/>
        <v>0</v>
      </c>
      <c r="K100" s="493"/>
      <c r="L100" s="160" t="str">
        <f t="shared" si="8"/>
        <v>Y</v>
      </c>
      <c r="M100" s="160">
        <f t="shared" si="6"/>
        <v>0</v>
      </c>
      <c r="N100">
        <f t="shared" si="7"/>
        <v>0</v>
      </c>
      <c r="O100" s="149"/>
      <c r="P100" s="149"/>
    </row>
    <row r="101" spans="1:16" x14ac:dyDescent="0.2">
      <c r="A101">
        <v>717858</v>
      </c>
      <c r="B101" t="s">
        <v>2023</v>
      </c>
      <c r="C101" t="s">
        <v>813</v>
      </c>
      <c r="D101">
        <v>20011030</v>
      </c>
      <c r="E101">
        <v>20011130</v>
      </c>
      <c r="F101" t="s">
        <v>1719</v>
      </c>
      <c r="G101" t="s">
        <v>1719</v>
      </c>
      <c r="H101" t="s">
        <v>1578</v>
      </c>
      <c r="I101">
        <v>0</v>
      </c>
      <c r="J101">
        <f t="shared" si="5"/>
        <v>0</v>
      </c>
      <c r="L101" s="160" t="str">
        <f t="shared" si="8"/>
        <v>Y</v>
      </c>
      <c r="M101" s="160">
        <f t="shared" si="6"/>
        <v>0</v>
      </c>
      <c r="N101">
        <f t="shared" si="7"/>
        <v>0</v>
      </c>
      <c r="O101" s="149"/>
      <c r="P101" s="149"/>
    </row>
    <row r="102" spans="1:16" x14ac:dyDescent="0.2">
      <c r="A102">
        <v>717940</v>
      </c>
      <c r="B102" t="s">
        <v>1248</v>
      </c>
      <c r="C102" t="s">
        <v>1584</v>
      </c>
      <c r="D102">
        <v>20011029</v>
      </c>
      <c r="E102">
        <v>20011130</v>
      </c>
      <c r="F102" t="s">
        <v>1719</v>
      </c>
      <c r="G102" t="s">
        <v>1719</v>
      </c>
      <c r="H102" t="s">
        <v>1578</v>
      </c>
      <c r="I102">
        <v>0</v>
      </c>
      <c r="J102">
        <f t="shared" si="5"/>
        <v>0</v>
      </c>
      <c r="L102" s="160" t="str">
        <f t="shared" si="8"/>
        <v>Y</v>
      </c>
      <c r="M102" s="160">
        <f t="shared" si="6"/>
        <v>0</v>
      </c>
      <c r="N102">
        <f t="shared" si="7"/>
        <v>0</v>
      </c>
      <c r="O102" s="149"/>
      <c r="P102" s="149"/>
    </row>
    <row r="103" spans="1:16" x14ac:dyDescent="0.2">
      <c r="A103">
        <v>718209</v>
      </c>
      <c r="B103" t="s">
        <v>2024</v>
      </c>
      <c r="C103" t="s">
        <v>1154</v>
      </c>
      <c r="D103">
        <v>20011029</v>
      </c>
      <c r="E103">
        <v>20011127</v>
      </c>
      <c r="F103" t="s">
        <v>1719</v>
      </c>
      <c r="G103" t="s">
        <v>1719</v>
      </c>
      <c r="H103" t="s">
        <v>1578</v>
      </c>
      <c r="I103">
        <v>0</v>
      </c>
      <c r="J103">
        <f t="shared" si="5"/>
        <v>0</v>
      </c>
      <c r="L103" s="160" t="str">
        <f>IF(ISNA(VLOOKUP(A103,InCGAS,1,FALSE)),"--", "Y")</f>
        <v>Y</v>
      </c>
      <c r="M103" s="160">
        <f>IF(ISNA(VLOOKUP(A103,InCGAS,1,FALSE)),"na",VLOOKUP(A103,InCGAS,9,FALSE))</f>
        <v>0</v>
      </c>
      <c r="N103">
        <f>+J103-M103</f>
        <v>0</v>
      </c>
      <c r="O103" s="149"/>
      <c r="P103" s="149"/>
    </row>
    <row r="104" spans="1:16" x14ac:dyDescent="0.2">
      <c r="A104">
        <v>718417</v>
      </c>
      <c r="B104" t="s">
        <v>2025</v>
      </c>
      <c r="C104" t="s">
        <v>2250</v>
      </c>
      <c r="D104">
        <v>20011029</v>
      </c>
      <c r="E104">
        <v>20011126</v>
      </c>
      <c r="F104" t="s">
        <v>1719</v>
      </c>
      <c r="G104" t="s">
        <v>1719</v>
      </c>
      <c r="H104" t="s">
        <v>1578</v>
      </c>
      <c r="I104">
        <v>0</v>
      </c>
      <c r="J104">
        <f t="shared" si="5"/>
        <v>0</v>
      </c>
      <c r="L104" s="160" t="str">
        <f t="shared" si="8"/>
        <v>Y</v>
      </c>
      <c r="M104" s="160">
        <f t="shared" si="6"/>
        <v>0</v>
      </c>
      <c r="N104">
        <f t="shared" si="7"/>
        <v>0</v>
      </c>
      <c r="O104" s="149"/>
      <c r="P104" s="149"/>
    </row>
    <row r="105" spans="1:16" x14ac:dyDescent="0.2">
      <c r="A105">
        <v>719181</v>
      </c>
      <c r="B105" t="s">
        <v>2026</v>
      </c>
      <c r="C105" t="s">
        <v>2251</v>
      </c>
      <c r="D105">
        <v>20011029</v>
      </c>
      <c r="E105">
        <v>20011130</v>
      </c>
      <c r="F105" t="s">
        <v>1719</v>
      </c>
      <c r="G105" t="s">
        <v>1719</v>
      </c>
      <c r="H105" t="s">
        <v>1578</v>
      </c>
      <c r="I105">
        <v>0</v>
      </c>
      <c r="J105">
        <f t="shared" si="5"/>
        <v>162</v>
      </c>
      <c r="L105" s="160" t="str">
        <f t="shared" si="8"/>
        <v>Y</v>
      </c>
      <c r="M105" s="160">
        <f t="shared" si="6"/>
        <v>162</v>
      </c>
      <c r="N105">
        <f t="shared" si="7"/>
        <v>0</v>
      </c>
      <c r="O105" s="149"/>
      <c r="P105" s="149"/>
    </row>
    <row r="106" spans="1:16" x14ac:dyDescent="0.2">
      <c r="A106">
        <v>719272</v>
      </c>
      <c r="B106" t="s">
        <v>1249</v>
      </c>
      <c r="C106" t="s">
        <v>813</v>
      </c>
      <c r="D106">
        <v>20011030</v>
      </c>
      <c r="E106">
        <v>20011205</v>
      </c>
      <c r="F106" t="s">
        <v>1719</v>
      </c>
      <c r="G106" t="s">
        <v>1718</v>
      </c>
      <c r="H106" t="s">
        <v>1578</v>
      </c>
      <c r="I106">
        <v>0</v>
      </c>
      <c r="J106">
        <f t="shared" si="5"/>
        <v>0</v>
      </c>
      <c r="L106" s="160" t="str">
        <f t="shared" si="8"/>
        <v>Y</v>
      </c>
      <c r="M106" s="160">
        <f t="shared" si="6"/>
        <v>0</v>
      </c>
      <c r="N106">
        <f t="shared" si="7"/>
        <v>0</v>
      </c>
      <c r="O106" s="149"/>
      <c r="P106" s="149"/>
    </row>
    <row r="107" spans="1:16" x14ac:dyDescent="0.2">
      <c r="A107">
        <v>719480</v>
      </c>
      <c r="B107" t="s">
        <v>2027</v>
      </c>
      <c r="C107" t="s">
        <v>1426</v>
      </c>
      <c r="D107">
        <v>20011030</v>
      </c>
      <c r="E107">
        <v>20011129</v>
      </c>
      <c r="F107" t="s">
        <v>1719</v>
      </c>
      <c r="G107" t="s">
        <v>1719</v>
      </c>
      <c r="H107" t="s">
        <v>1578</v>
      </c>
      <c r="I107">
        <v>0</v>
      </c>
      <c r="J107">
        <f t="shared" si="5"/>
        <v>0</v>
      </c>
      <c r="L107" s="160" t="str">
        <f t="shared" si="8"/>
        <v>Y</v>
      </c>
      <c r="M107" s="160">
        <f t="shared" si="6"/>
        <v>0</v>
      </c>
      <c r="N107">
        <f t="shared" si="7"/>
        <v>0</v>
      </c>
      <c r="O107" s="149"/>
      <c r="P107" s="149"/>
    </row>
    <row r="108" spans="1:16" x14ac:dyDescent="0.2">
      <c r="A108">
        <v>719487</v>
      </c>
      <c r="B108" t="s">
        <v>1464</v>
      </c>
      <c r="C108" t="s">
        <v>813</v>
      </c>
      <c r="D108">
        <v>20011031</v>
      </c>
      <c r="E108">
        <v>20011130</v>
      </c>
      <c r="F108" t="s">
        <v>1719</v>
      </c>
      <c r="G108" t="s">
        <v>1719</v>
      </c>
      <c r="H108" t="s">
        <v>1578</v>
      </c>
      <c r="I108">
        <v>0</v>
      </c>
      <c r="J108">
        <f t="shared" si="5"/>
        <v>0</v>
      </c>
      <c r="L108" s="160" t="str">
        <f t="shared" si="8"/>
        <v>Y</v>
      </c>
      <c r="M108" s="160">
        <f t="shared" si="6"/>
        <v>0</v>
      </c>
      <c r="N108">
        <f t="shared" si="7"/>
        <v>0</v>
      </c>
      <c r="O108" s="149"/>
      <c r="P108" s="149"/>
    </row>
    <row r="109" spans="1:16" x14ac:dyDescent="0.2">
      <c r="A109">
        <v>719495</v>
      </c>
      <c r="B109" t="s">
        <v>2028</v>
      </c>
      <c r="C109" t="s">
        <v>2249</v>
      </c>
      <c r="D109">
        <v>20011030</v>
      </c>
      <c r="E109">
        <v>20011128</v>
      </c>
      <c r="F109" t="s">
        <v>1719</v>
      </c>
      <c r="G109" t="s">
        <v>1718</v>
      </c>
      <c r="H109" t="s">
        <v>1578</v>
      </c>
      <c r="I109">
        <v>0</v>
      </c>
      <c r="J109">
        <f t="shared" si="5"/>
        <v>0</v>
      </c>
      <c r="L109" s="160" t="str">
        <f t="shared" si="8"/>
        <v>Y</v>
      </c>
      <c r="M109" s="160">
        <f t="shared" si="6"/>
        <v>0</v>
      </c>
      <c r="N109">
        <f t="shared" si="7"/>
        <v>0</v>
      </c>
      <c r="O109" s="149"/>
      <c r="P109" s="149"/>
    </row>
    <row r="110" spans="1:16" x14ac:dyDescent="0.2">
      <c r="A110">
        <v>720011</v>
      </c>
      <c r="B110" t="s">
        <v>2029</v>
      </c>
      <c r="C110" t="s">
        <v>1426</v>
      </c>
      <c r="D110">
        <v>20011029</v>
      </c>
      <c r="E110">
        <v>20011126</v>
      </c>
      <c r="F110" t="s">
        <v>1719</v>
      </c>
      <c r="G110" t="s">
        <v>1719</v>
      </c>
      <c r="H110" t="s">
        <v>1578</v>
      </c>
      <c r="I110">
        <v>0</v>
      </c>
      <c r="J110">
        <f t="shared" si="5"/>
        <v>0</v>
      </c>
      <c r="L110" s="160" t="str">
        <f t="shared" si="8"/>
        <v>Y</v>
      </c>
      <c r="M110" s="160">
        <f t="shared" si="6"/>
        <v>0</v>
      </c>
      <c r="N110">
        <f t="shared" si="7"/>
        <v>0</v>
      </c>
      <c r="O110" s="149"/>
      <c r="P110" s="149"/>
    </row>
    <row r="111" spans="1:16" x14ac:dyDescent="0.2">
      <c r="A111">
        <v>720170</v>
      </c>
      <c r="B111" t="s">
        <v>1623</v>
      </c>
      <c r="C111" t="s">
        <v>1426</v>
      </c>
      <c r="D111">
        <v>20010828</v>
      </c>
      <c r="E111">
        <v>20011129</v>
      </c>
      <c r="F111" t="s">
        <v>1719</v>
      </c>
      <c r="G111" t="s">
        <v>1719</v>
      </c>
      <c r="H111" t="s">
        <v>1578</v>
      </c>
      <c r="I111">
        <v>0</v>
      </c>
      <c r="J111">
        <f t="shared" si="5"/>
        <v>0</v>
      </c>
      <c r="L111" s="160" t="str">
        <f t="shared" si="8"/>
        <v>Y</v>
      </c>
      <c r="M111" s="160">
        <f t="shared" si="6"/>
        <v>0</v>
      </c>
      <c r="N111">
        <f t="shared" si="7"/>
        <v>0</v>
      </c>
      <c r="O111" s="149"/>
      <c r="P111" s="149"/>
    </row>
    <row r="112" spans="1:16" x14ac:dyDescent="0.2">
      <c r="A112">
        <v>720251</v>
      </c>
      <c r="B112" t="s">
        <v>2030</v>
      </c>
      <c r="C112" t="s">
        <v>1426</v>
      </c>
      <c r="D112">
        <v>20011030</v>
      </c>
      <c r="E112">
        <v>20011205</v>
      </c>
      <c r="F112" t="s">
        <v>1719</v>
      </c>
      <c r="G112" t="s">
        <v>1718</v>
      </c>
      <c r="H112" t="s">
        <v>1578</v>
      </c>
      <c r="I112">
        <v>0</v>
      </c>
      <c r="J112">
        <f t="shared" si="5"/>
        <v>0</v>
      </c>
      <c r="L112" s="160" t="str">
        <f t="shared" si="8"/>
        <v>Y</v>
      </c>
      <c r="M112" s="160">
        <f t="shared" si="6"/>
        <v>0</v>
      </c>
      <c r="N112">
        <f t="shared" si="7"/>
        <v>0</v>
      </c>
      <c r="O112" s="149"/>
      <c r="P112" s="149"/>
    </row>
    <row r="113" spans="1:16" x14ac:dyDescent="0.2">
      <c r="A113">
        <v>720846</v>
      </c>
      <c r="B113" t="s">
        <v>2031</v>
      </c>
      <c r="C113" t="s">
        <v>1419</v>
      </c>
      <c r="D113">
        <v>20011101</v>
      </c>
      <c r="E113">
        <v>20011205</v>
      </c>
      <c r="F113" t="s">
        <v>1719</v>
      </c>
      <c r="G113" t="s">
        <v>1719</v>
      </c>
      <c r="H113" t="s">
        <v>1578</v>
      </c>
      <c r="I113">
        <v>0</v>
      </c>
      <c r="J113">
        <f t="shared" si="5"/>
        <v>0</v>
      </c>
      <c r="L113" s="160" t="str">
        <f t="shared" si="8"/>
        <v>Y</v>
      </c>
      <c r="M113" s="160">
        <f t="shared" si="6"/>
        <v>0</v>
      </c>
      <c r="N113">
        <f t="shared" si="7"/>
        <v>0</v>
      </c>
      <c r="O113" s="149"/>
      <c r="P113" s="149"/>
    </row>
    <row r="114" spans="1:16" x14ac:dyDescent="0.2">
      <c r="A114">
        <v>721053</v>
      </c>
      <c r="B114" t="s">
        <v>209</v>
      </c>
      <c r="C114" t="s">
        <v>813</v>
      </c>
      <c r="D114">
        <v>20011030</v>
      </c>
      <c r="E114">
        <v>20011130</v>
      </c>
      <c r="F114" t="s">
        <v>1719</v>
      </c>
      <c r="G114" t="s">
        <v>1719</v>
      </c>
      <c r="H114" t="s">
        <v>1578</v>
      </c>
      <c r="I114">
        <v>0</v>
      </c>
      <c r="J114">
        <f t="shared" si="5"/>
        <v>0</v>
      </c>
      <c r="L114" s="160" t="str">
        <f t="shared" si="8"/>
        <v>Y</v>
      </c>
      <c r="M114" s="160">
        <f t="shared" si="6"/>
        <v>0</v>
      </c>
      <c r="N114">
        <f t="shared" si="7"/>
        <v>0</v>
      </c>
      <c r="O114" s="149"/>
      <c r="P114" s="149"/>
    </row>
    <row r="115" spans="1:16" x14ac:dyDescent="0.2">
      <c r="A115">
        <v>721071</v>
      </c>
      <c r="B115" t="s">
        <v>1250</v>
      </c>
      <c r="C115" t="s">
        <v>1259</v>
      </c>
      <c r="D115">
        <v>20010831</v>
      </c>
      <c r="E115">
        <v>20011130</v>
      </c>
      <c r="F115" t="s">
        <v>1719</v>
      </c>
      <c r="G115" t="s">
        <v>1719</v>
      </c>
      <c r="H115" t="s">
        <v>1578</v>
      </c>
      <c r="I115">
        <v>0</v>
      </c>
      <c r="J115">
        <f t="shared" si="5"/>
        <v>0</v>
      </c>
      <c r="L115" s="160" t="str">
        <f t="shared" si="8"/>
        <v>Y</v>
      </c>
      <c r="M115" s="160">
        <f t="shared" si="6"/>
        <v>0</v>
      </c>
      <c r="N115">
        <f t="shared" si="7"/>
        <v>0</v>
      </c>
      <c r="O115" s="149"/>
      <c r="P115" s="149"/>
    </row>
    <row r="116" spans="1:16" x14ac:dyDescent="0.2">
      <c r="A116">
        <v>721824</v>
      </c>
      <c r="B116" t="s">
        <v>1251</v>
      </c>
      <c r="C116" t="s">
        <v>1890</v>
      </c>
      <c r="D116">
        <v>20011120</v>
      </c>
      <c r="E116">
        <v>20011129</v>
      </c>
      <c r="F116" t="s">
        <v>1719</v>
      </c>
      <c r="G116" t="s">
        <v>1719</v>
      </c>
      <c r="H116" t="s">
        <v>1578</v>
      </c>
      <c r="I116">
        <v>0</v>
      </c>
      <c r="J116">
        <f t="shared" si="5"/>
        <v>0</v>
      </c>
      <c r="L116" s="160" t="str">
        <f t="shared" si="8"/>
        <v>Y</v>
      </c>
      <c r="M116" s="160">
        <f t="shared" si="6"/>
        <v>0</v>
      </c>
      <c r="N116">
        <f t="shared" si="7"/>
        <v>0</v>
      </c>
      <c r="O116" s="149"/>
      <c r="P116" s="149"/>
    </row>
    <row r="117" spans="1:16" x14ac:dyDescent="0.2">
      <c r="A117">
        <v>721826</v>
      </c>
      <c r="B117" t="s">
        <v>1252</v>
      </c>
      <c r="C117" t="s">
        <v>1890</v>
      </c>
      <c r="D117">
        <v>20011029</v>
      </c>
      <c r="E117">
        <v>20011129</v>
      </c>
      <c r="F117" t="s">
        <v>1719</v>
      </c>
      <c r="G117" t="s">
        <v>1719</v>
      </c>
      <c r="H117" t="s">
        <v>1578</v>
      </c>
      <c r="I117">
        <v>0</v>
      </c>
      <c r="J117">
        <f t="shared" si="5"/>
        <v>0</v>
      </c>
      <c r="L117" s="160" t="str">
        <f t="shared" si="8"/>
        <v>Y</v>
      </c>
      <c r="M117" s="160">
        <f t="shared" si="6"/>
        <v>0</v>
      </c>
      <c r="N117">
        <f t="shared" si="7"/>
        <v>0</v>
      </c>
      <c r="O117" s="149"/>
      <c r="P117" s="149"/>
    </row>
    <row r="118" spans="1:16" x14ac:dyDescent="0.2">
      <c r="A118">
        <v>721827</v>
      </c>
      <c r="B118" t="s">
        <v>1253</v>
      </c>
      <c r="C118" t="s">
        <v>1890</v>
      </c>
      <c r="D118">
        <v>20011029</v>
      </c>
      <c r="E118">
        <v>20011129</v>
      </c>
      <c r="F118" t="s">
        <v>1719</v>
      </c>
      <c r="G118" t="s">
        <v>1719</v>
      </c>
      <c r="H118" t="s">
        <v>1578</v>
      </c>
      <c r="I118">
        <v>0</v>
      </c>
      <c r="J118">
        <f t="shared" si="5"/>
        <v>0</v>
      </c>
      <c r="K118" s="493"/>
      <c r="L118" s="160" t="str">
        <f t="shared" si="8"/>
        <v>Y</v>
      </c>
      <c r="M118" s="160">
        <f t="shared" si="6"/>
        <v>0</v>
      </c>
      <c r="N118">
        <f t="shared" si="7"/>
        <v>0</v>
      </c>
      <c r="O118" s="149"/>
      <c r="P118" s="149"/>
    </row>
    <row r="119" spans="1:16" x14ac:dyDescent="0.2">
      <c r="A119">
        <v>721905</v>
      </c>
      <c r="B119" t="s">
        <v>2032</v>
      </c>
      <c r="C119" t="s">
        <v>2252</v>
      </c>
      <c r="D119">
        <v>20011029</v>
      </c>
      <c r="E119">
        <v>20011129</v>
      </c>
      <c r="F119" t="s">
        <v>1719</v>
      </c>
      <c r="G119" t="s">
        <v>1718</v>
      </c>
      <c r="H119" t="s">
        <v>1578</v>
      </c>
      <c r="I119">
        <v>0</v>
      </c>
      <c r="J119">
        <f t="shared" si="5"/>
        <v>0</v>
      </c>
      <c r="L119" s="160" t="str">
        <f>IF(ISNA(VLOOKUP(A119,InCGAS,1,FALSE)),"--", "Y")</f>
        <v>Y</v>
      </c>
      <c r="M119" s="160">
        <f t="shared" si="6"/>
        <v>0</v>
      </c>
      <c r="N119">
        <f t="shared" si="7"/>
        <v>0</v>
      </c>
      <c r="O119" s="149"/>
      <c r="P119" s="149"/>
    </row>
    <row r="120" spans="1:16" x14ac:dyDescent="0.2">
      <c r="A120">
        <v>722099</v>
      </c>
      <c r="B120" t="s">
        <v>2033</v>
      </c>
      <c r="C120" t="s">
        <v>2253</v>
      </c>
      <c r="D120">
        <v>20011030</v>
      </c>
      <c r="E120">
        <v>20011205</v>
      </c>
      <c r="F120" t="s">
        <v>1719</v>
      </c>
      <c r="G120" t="s">
        <v>1718</v>
      </c>
      <c r="H120" t="s">
        <v>1578</v>
      </c>
      <c r="I120">
        <v>0</v>
      </c>
      <c r="J120">
        <f t="shared" si="5"/>
        <v>48</v>
      </c>
      <c r="L120" s="160" t="str">
        <f>IF(ISNA(VLOOKUP(A120,InCGAS,1,FALSE)),"--", "Y")</f>
        <v>Y</v>
      </c>
      <c r="M120" s="160">
        <f t="shared" si="6"/>
        <v>48</v>
      </c>
      <c r="N120">
        <f t="shared" si="7"/>
        <v>0</v>
      </c>
      <c r="O120" s="149"/>
      <c r="P120" s="149"/>
    </row>
    <row r="121" spans="1:16" x14ac:dyDescent="0.2">
      <c r="A121">
        <v>722242</v>
      </c>
      <c r="B121" t="s">
        <v>2034</v>
      </c>
      <c r="C121" t="s">
        <v>1892</v>
      </c>
      <c r="D121">
        <v>20011030</v>
      </c>
      <c r="E121">
        <v>20011130</v>
      </c>
      <c r="F121" t="s">
        <v>1719</v>
      </c>
      <c r="G121" t="s">
        <v>1719</v>
      </c>
      <c r="H121" t="s">
        <v>1578</v>
      </c>
      <c r="I121">
        <v>0</v>
      </c>
      <c r="J121">
        <f t="shared" si="5"/>
        <v>0</v>
      </c>
      <c r="L121" s="160" t="str">
        <f t="shared" si="8"/>
        <v>Y</v>
      </c>
      <c r="M121" s="160">
        <f t="shared" si="6"/>
        <v>0</v>
      </c>
      <c r="N121">
        <f t="shared" si="7"/>
        <v>0</v>
      </c>
      <c r="O121" s="149"/>
      <c r="P121" s="149"/>
    </row>
    <row r="122" spans="1:16" x14ac:dyDescent="0.2">
      <c r="A122">
        <v>722425</v>
      </c>
      <c r="B122" t="s">
        <v>1254</v>
      </c>
      <c r="C122" t="s">
        <v>1890</v>
      </c>
      <c r="D122">
        <v>20011029</v>
      </c>
      <c r="E122">
        <v>20011204</v>
      </c>
      <c r="F122" t="s">
        <v>1719</v>
      </c>
      <c r="G122" t="s">
        <v>1719</v>
      </c>
      <c r="H122" t="s">
        <v>1578</v>
      </c>
      <c r="I122">
        <v>0</v>
      </c>
      <c r="J122">
        <f t="shared" si="5"/>
        <v>0</v>
      </c>
      <c r="L122" s="160" t="str">
        <f t="shared" si="8"/>
        <v>Y</v>
      </c>
      <c r="M122" s="160">
        <f t="shared" si="6"/>
        <v>0</v>
      </c>
      <c r="N122">
        <f t="shared" si="7"/>
        <v>0</v>
      </c>
      <c r="O122" s="149"/>
      <c r="P122" s="149"/>
    </row>
    <row r="123" spans="1:16" x14ac:dyDescent="0.2">
      <c r="A123">
        <v>722821</v>
      </c>
      <c r="B123" t="s">
        <v>2035</v>
      </c>
      <c r="C123" t="s">
        <v>2254</v>
      </c>
      <c r="D123">
        <v>20011101</v>
      </c>
      <c r="E123">
        <v>20011129</v>
      </c>
      <c r="F123" t="s">
        <v>1719</v>
      </c>
      <c r="G123" t="s">
        <v>1719</v>
      </c>
      <c r="H123" t="s">
        <v>1578</v>
      </c>
      <c r="I123">
        <v>0</v>
      </c>
      <c r="J123">
        <f t="shared" si="5"/>
        <v>0</v>
      </c>
      <c r="L123" s="160" t="str">
        <f t="shared" si="8"/>
        <v>Y</v>
      </c>
      <c r="M123" s="160">
        <f t="shared" si="6"/>
        <v>0</v>
      </c>
      <c r="N123">
        <f t="shared" si="7"/>
        <v>0</v>
      </c>
      <c r="O123" s="149"/>
      <c r="P123" s="149"/>
    </row>
    <row r="124" spans="1:16" x14ac:dyDescent="0.2">
      <c r="A124">
        <v>722974</v>
      </c>
      <c r="B124" t="s">
        <v>2036</v>
      </c>
      <c r="C124" t="s">
        <v>2255</v>
      </c>
      <c r="D124">
        <v>20011030</v>
      </c>
      <c r="E124">
        <v>20011129</v>
      </c>
      <c r="F124" t="s">
        <v>1719</v>
      </c>
      <c r="G124" t="s">
        <v>1719</v>
      </c>
      <c r="H124" t="s">
        <v>1578</v>
      </c>
      <c r="I124">
        <v>0</v>
      </c>
      <c r="J124">
        <f t="shared" si="5"/>
        <v>0</v>
      </c>
      <c r="L124" s="160" t="str">
        <f t="shared" si="8"/>
        <v>Y</v>
      </c>
      <c r="M124" s="160">
        <f t="shared" si="6"/>
        <v>0</v>
      </c>
      <c r="N124">
        <f t="shared" si="7"/>
        <v>0</v>
      </c>
      <c r="O124" s="149"/>
      <c r="P124" s="149"/>
    </row>
    <row r="125" spans="1:16" x14ac:dyDescent="0.2">
      <c r="A125">
        <v>723017</v>
      </c>
      <c r="B125" t="s">
        <v>2037</v>
      </c>
      <c r="C125" t="s">
        <v>2256</v>
      </c>
      <c r="D125">
        <v>20011029</v>
      </c>
      <c r="E125">
        <v>20011126</v>
      </c>
      <c r="F125" t="s">
        <v>1719</v>
      </c>
      <c r="G125" t="s">
        <v>1719</v>
      </c>
      <c r="H125" t="s">
        <v>1578</v>
      </c>
      <c r="I125">
        <v>0</v>
      </c>
      <c r="J125">
        <f t="shared" si="5"/>
        <v>0</v>
      </c>
      <c r="L125" s="160" t="str">
        <f t="shared" si="8"/>
        <v>Y</v>
      </c>
      <c r="M125" s="160">
        <f t="shared" si="6"/>
        <v>0</v>
      </c>
      <c r="N125">
        <f t="shared" si="7"/>
        <v>0</v>
      </c>
      <c r="O125" s="149"/>
      <c r="P125" s="149"/>
    </row>
    <row r="126" spans="1:16" x14ac:dyDescent="0.2">
      <c r="A126">
        <v>723305</v>
      </c>
      <c r="B126" t="s">
        <v>2038</v>
      </c>
      <c r="C126" t="s">
        <v>1887</v>
      </c>
      <c r="D126">
        <v>20011101</v>
      </c>
      <c r="E126">
        <v>20011129</v>
      </c>
      <c r="F126" t="s">
        <v>1719</v>
      </c>
      <c r="G126" t="s">
        <v>1719</v>
      </c>
      <c r="H126" t="s">
        <v>1578</v>
      </c>
      <c r="I126">
        <v>0</v>
      </c>
      <c r="J126">
        <f t="shared" si="5"/>
        <v>0</v>
      </c>
      <c r="L126" s="160" t="str">
        <f t="shared" si="8"/>
        <v>Y</v>
      </c>
      <c r="M126" s="160">
        <f t="shared" si="6"/>
        <v>0</v>
      </c>
      <c r="N126">
        <f t="shared" si="7"/>
        <v>0</v>
      </c>
      <c r="O126" s="149"/>
      <c r="P126" s="149"/>
    </row>
    <row r="127" spans="1:16" x14ac:dyDescent="0.2">
      <c r="A127">
        <v>723440</v>
      </c>
      <c r="B127" t="s">
        <v>2039</v>
      </c>
      <c r="C127" t="s">
        <v>1426</v>
      </c>
      <c r="D127">
        <v>20011030</v>
      </c>
      <c r="E127">
        <v>20011205</v>
      </c>
      <c r="F127" t="s">
        <v>1719</v>
      </c>
      <c r="G127" t="s">
        <v>1718</v>
      </c>
      <c r="H127" t="s">
        <v>1578</v>
      </c>
      <c r="I127">
        <v>0</v>
      </c>
      <c r="J127">
        <f t="shared" si="5"/>
        <v>0</v>
      </c>
      <c r="L127" s="160" t="str">
        <f t="shared" si="8"/>
        <v>Y</v>
      </c>
      <c r="M127" s="160">
        <f t="shared" si="6"/>
        <v>0</v>
      </c>
      <c r="N127">
        <f t="shared" si="7"/>
        <v>0</v>
      </c>
      <c r="O127" s="149"/>
      <c r="P127" s="149"/>
    </row>
    <row r="128" spans="1:16" x14ac:dyDescent="0.2">
      <c r="A128">
        <v>723517</v>
      </c>
      <c r="B128" t="s">
        <v>2040</v>
      </c>
      <c r="C128" t="s">
        <v>2257</v>
      </c>
      <c r="D128">
        <v>20011029</v>
      </c>
      <c r="E128">
        <v>20011130</v>
      </c>
      <c r="F128" t="s">
        <v>1719</v>
      </c>
      <c r="G128" t="s">
        <v>1718</v>
      </c>
      <c r="H128" t="s">
        <v>1578</v>
      </c>
      <c r="I128">
        <v>0</v>
      </c>
      <c r="J128">
        <f t="shared" si="5"/>
        <v>567</v>
      </c>
      <c r="L128" s="160" t="str">
        <f t="shared" si="8"/>
        <v>Y</v>
      </c>
      <c r="M128" s="160">
        <f t="shared" si="6"/>
        <v>567</v>
      </c>
      <c r="N128">
        <f t="shared" si="7"/>
        <v>0</v>
      </c>
      <c r="O128" s="149"/>
      <c r="P128" s="149"/>
    </row>
    <row r="129" spans="1:16" x14ac:dyDescent="0.2">
      <c r="A129">
        <v>723668</v>
      </c>
      <c r="B129" t="s">
        <v>2043</v>
      </c>
      <c r="C129" t="s">
        <v>2258</v>
      </c>
      <c r="D129">
        <v>20011030</v>
      </c>
      <c r="E129">
        <v>20011205</v>
      </c>
      <c r="F129" t="s">
        <v>1719</v>
      </c>
      <c r="G129" t="s">
        <v>1718</v>
      </c>
      <c r="H129" t="s">
        <v>1578</v>
      </c>
      <c r="I129">
        <v>0</v>
      </c>
      <c r="J129">
        <f t="shared" si="5"/>
        <v>0</v>
      </c>
      <c r="L129" s="160" t="str">
        <f t="shared" si="8"/>
        <v>Y</v>
      </c>
      <c r="M129" s="160">
        <f t="shared" si="6"/>
        <v>0</v>
      </c>
      <c r="N129">
        <f t="shared" si="7"/>
        <v>0</v>
      </c>
      <c r="O129" s="149"/>
      <c r="P129" s="149"/>
    </row>
    <row r="130" spans="1:16" x14ac:dyDescent="0.2">
      <c r="A130">
        <v>724802</v>
      </c>
      <c r="B130" t="s">
        <v>2044</v>
      </c>
      <c r="C130" t="s">
        <v>1900</v>
      </c>
      <c r="D130">
        <v>20011029</v>
      </c>
      <c r="E130">
        <v>20011129</v>
      </c>
      <c r="F130" t="s">
        <v>1719</v>
      </c>
      <c r="G130" t="s">
        <v>1718</v>
      </c>
      <c r="H130" t="s">
        <v>1578</v>
      </c>
      <c r="I130">
        <v>0</v>
      </c>
      <c r="J130">
        <f t="shared" si="5"/>
        <v>106</v>
      </c>
      <c r="L130" s="160" t="str">
        <f>IF(ISNA(VLOOKUP(A130,InCGAS,1,FALSE)),"--", "Y")</f>
        <v>Y</v>
      </c>
      <c r="M130" s="160">
        <f>IF(ISNA(VLOOKUP(A130,InCGAS,1,FALSE)),"na",VLOOKUP(A130,InCGAS,9,FALSE))</f>
        <v>106</v>
      </c>
      <c r="N130">
        <f>+J130-M130</f>
        <v>0</v>
      </c>
      <c r="O130" s="149"/>
      <c r="P130" s="149"/>
    </row>
    <row r="131" spans="1:16" x14ac:dyDescent="0.2">
      <c r="A131">
        <v>725900</v>
      </c>
      <c r="B131" t="s">
        <v>2045</v>
      </c>
      <c r="C131" t="s">
        <v>1887</v>
      </c>
      <c r="D131">
        <v>20011102</v>
      </c>
      <c r="E131">
        <v>20011129</v>
      </c>
      <c r="F131" t="s">
        <v>1719</v>
      </c>
      <c r="G131" t="s">
        <v>1719</v>
      </c>
      <c r="H131" t="s">
        <v>1578</v>
      </c>
      <c r="I131">
        <v>0</v>
      </c>
      <c r="J131">
        <f t="shared" si="5"/>
        <v>0</v>
      </c>
      <c r="L131" s="160" t="str">
        <f t="shared" si="8"/>
        <v>Y</v>
      </c>
      <c r="M131" s="160">
        <f t="shared" si="6"/>
        <v>0</v>
      </c>
      <c r="N131">
        <f t="shared" si="7"/>
        <v>0</v>
      </c>
      <c r="O131" s="149"/>
      <c r="P131" s="149"/>
    </row>
    <row r="132" spans="1:16" x14ac:dyDescent="0.2">
      <c r="A132">
        <v>727018</v>
      </c>
      <c r="B132" t="s">
        <v>2046</v>
      </c>
      <c r="C132" t="s">
        <v>1901</v>
      </c>
      <c r="D132">
        <v>20011101</v>
      </c>
      <c r="E132">
        <v>20011128</v>
      </c>
      <c r="F132" t="s">
        <v>1719</v>
      </c>
      <c r="G132" t="s">
        <v>1719</v>
      </c>
      <c r="H132" t="s">
        <v>1578</v>
      </c>
      <c r="I132">
        <v>0</v>
      </c>
      <c r="J132">
        <f t="shared" si="5"/>
        <v>0</v>
      </c>
      <c r="L132" s="160" t="str">
        <f t="shared" si="8"/>
        <v>Y</v>
      </c>
      <c r="M132" s="160">
        <f t="shared" si="6"/>
        <v>0</v>
      </c>
      <c r="N132">
        <f t="shared" si="7"/>
        <v>0</v>
      </c>
      <c r="O132" s="149"/>
      <c r="P132" s="149"/>
    </row>
    <row r="133" spans="1:16" x14ac:dyDescent="0.2">
      <c r="A133">
        <v>729044</v>
      </c>
      <c r="B133" t="s">
        <v>2047</v>
      </c>
      <c r="C133" t="s">
        <v>2259</v>
      </c>
      <c r="D133">
        <v>20011102</v>
      </c>
      <c r="E133">
        <v>20011205</v>
      </c>
      <c r="F133" t="s">
        <v>1719</v>
      </c>
      <c r="G133" t="s">
        <v>1719</v>
      </c>
      <c r="H133" t="s">
        <v>1578</v>
      </c>
      <c r="I133">
        <v>0</v>
      </c>
      <c r="J133">
        <f t="shared" ref="J133:J196" si="9">IF(ISNA(VLOOKUP(A133,cgasx,5,FALSE)),0,(VLOOKUP(A133,cgasx,5,FALSE)))</f>
        <v>0</v>
      </c>
      <c r="L133" s="160" t="str">
        <f t="shared" si="8"/>
        <v>Y</v>
      </c>
      <c r="M133" s="160">
        <f t="shared" si="6"/>
        <v>0</v>
      </c>
      <c r="N133">
        <f t="shared" si="7"/>
        <v>0</v>
      </c>
      <c r="O133" s="149"/>
      <c r="P133" s="149"/>
    </row>
    <row r="134" spans="1:16" x14ac:dyDescent="0.2">
      <c r="A134">
        <v>729331</v>
      </c>
      <c r="B134" t="s">
        <v>2048</v>
      </c>
      <c r="C134" t="s">
        <v>1887</v>
      </c>
      <c r="D134">
        <v>20011030</v>
      </c>
      <c r="E134">
        <v>20011205</v>
      </c>
      <c r="F134" t="s">
        <v>1719</v>
      </c>
      <c r="G134" t="s">
        <v>1718</v>
      </c>
      <c r="H134" t="s">
        <v>1578</v>
      </c>
      <c r="I134">
        <v>0</v>
      </c>
      <c r="J134">
        <f t="shared" si="9"/>
        <v>0</v>
      </c>
      <c r="L134" s="160" t="str">
        <f t="shared" si="8"/>
        <v>Y</v>
      </c>
      <c r="M134" s="160">
        <f t="shared" ref="M134:M192" si="10">IF(ISNA(VLOOKUP(A134,InCGAS,1,FALSE)),"na",VLOOKUP(A134,InCGAS,9,FALSE))</f>
        <v>0</v>
      </c>
      <c r="N134">
        <f t="shared" ref="N134:N192" si="11">+J134-M134</f>
        <v>0</v>
      </c>
      <c r="O134" s="149"/>
      <c r="P134" s="149"/>
    </row>
    <row r="135" spans="1:16" x14ac:dyDescent="0.2">
      <c r="A135">
        <v>729582</v>
      </c>
      <c r="B135" t="s">
        <v>2049</v>
      </c>
      <c r="C135" t="s">
        <v>1902</v>
      </c>
      <c r="D135">
        <v>20011030</v>
      </c>
      <c r="E135">
        <v>20011130</v>
      </c>
      <c r="F135" t="s">
        <v>1719</v>
      </c>
      <c r="G135" t="s">
        <v>1719</v>
      </c>
      <c r="H135" t="s">
        <v>1578</v>
      </c>
      <c r="I135">
        <v>0</v>
      </c>
      <c r="J135">
        <f t="shared" si="9"/>
        <v>0</v>
      </c>
      <c r="L135" s="160" t="str">
        <f t="shared" si="8"/>
        <v>Y</v>
      </c>
      <c r="M135" s="160">
        <f t="shared" si="10"/>
        <v>0</v>
      </c>
      <c r="N135">
        <f t="shared" si="11"/>
        <v>0</v>
      </c>
      <c r="O135" s="149"/>
      <c r="P135" s="149"/>
    </row>
    <row r="136" spans="1:16" x14ac:dyDescent="0.2">
      <c r="A136">
        <v>730140</v>
      </c>
      <c r="B136" t="s">
        <v>2050</v>
      </c>
      <c r="C136" t="s">
        <v>1903</v>
      </c>
      <c r="D136">
        <v>20011029</v>
      </c>
      <c r="E136">
        <v>20011203</v>
      </c>
      <c r="F136" t="s">
        <v>1719</v>
      </c>
      <c r="G136" t="s">
        <v>1719</v>
      </c>
      <c r="H136" t="s">
        <v>1578</v>
      </c>
      <c r="I136">
        <v>0</v>
      </c>
      <c r="J136">
        <f t="shared" si="9"/>
        <v>0</v>
      </c>
      <c r="L136" s="160" t="str">
        <f>IF(ISNA(VLOOKUP(A136,InCGAS,1,FALSE)),"--", "Y")</f>
        <v>Y</v>
      </c>
      <c r="M136" s="160">
        <f>IF(ISNA(VLOOKUP(A136,InCGAS,1,FALSE)),"na",VLOOKUP(A136,InCGAS,9,FALSE))</f>
        <v>0</v>
      </c>
      <c r="N136">
        <f>+J136-M136</f>
        <v>0</v>
      </c>
      <c r="O136" s="149"/>
      <c r="P136" s="149"/>
    </row>
    <row r="137" spans="1:16" x14ac:dyDescent="0.2">
      <c r="A137">
        <v>730263</v>
      </c>
      <c r="B137" t="s">
        <v>1465</v>
      </c>
      <c r="C137" t="s">
        <v>1469</v>
      </c>
      <c r="D137">
        <v>20011101</v>
      </c>
      <c r="E137">
        <v>20011128</v>
      </c>
      <c r="F137" t="s">
        <v>1719</v>
      </c>
      <c r="G137" t="s">
        <v>1719</v>
      </c>
      <c r="H137" t="s">
        <v>1578</v>
      </c>
      <c r="I137">
        <v>0</v>
      </c>
      <c r="J137">
        <f t="shared" si="9"/>
        <v>0</v>
      </c>
      <c r="L137" s="160" t="str">
        <f t="shared" si="8"/>
        <v>Y</v>
      </c>
      <c r="M137" s="160">
        <f t="shared" si="10"/>
        <v>0</v>
      </c>
      <c r="N137">
        <f t="shared" si="11"/>
        <v>0</v>
      </c>
      <c r="O137" s="149"/>
      <c r="P137" s="149"/>
    </row>
    <row r="138" spans="1:16" x14ac:dyDescent="0.2">
      <c r="A138">
        <v>730935</v>
      </c>
      <c r="B138" t="s">
        <v>2051</v>
      </c>
      <c r="C138" t="s">
        <v>2260</v>
      </c>
      <c r="D138">
        <v>20011029</v>
      </c>
      <c r="E138">
        <v>20011129</v>
      </c>
      <c r="F138" t="s">
        <v>1719</v>
      </c>
      <c r="G138" t="s">
        <v>1719</v>
      </c>
      <c r="H138" t="s">
        <v>1578</v>
      </c>
      <c r="I138">
        <v>0</v>
      </c>
      <c r="J138">
        <f t="shared" si="9"/>
        <v>0</v>
      </c>
      <c r="L138" s="160" t="str">
        <f t="shared" si="8"/>
        <v>Y</v>
      </c>
      <c r="M138" s="160">
        <f t="shared" si="10"/>
        <v>0</v>
      </c>
      <c r="N138">
        <f t="shared" si="11"/>
        <v>0</v>
      </c>
      <c r="O138" s="149"/>
      <c r="P138" s="149"/>
    </row>
    <row r="139" spans="1:16" x14ac:dyDescent="0.2">
      <c r="A139">
        <v>731275</v>
      </c>
      <c r="B139" t="s">
        <v>2052</v>
      </c>
      <c r="C139" t="s">
        <v>1905</v>
      </c>
      <c r="D139">
        <v>20011101</v>
      </c>
      <c r="E139">
        <v>20011205</v>
      </c>
      <c r="F139" t="s">
        <v>1719</v>
      </c>
      <c r="G139" t="s">
        <v>1719</v>
      </c>
      <c r="H139" t="s">
        <v>1578</v>
      </c>
      <c r="I139">
        <v>0</v>
      </c>
      <c r="J139">
        <f t="shared" si="9"/>
        <v>449</v>
      </c>
      <c r="L139" s="160" t="str">
        <f t="shared" si="8"/>
        <v>Y</v>
      </c>
      <c r="M139" s="160">
        <f t="shared" si="10"/>
        <v>449</v>
      </c>
      <c r="N139">
        <f t="shared" si="11"/>
        <v>0</v>
      </c>
      <c r="O139" s="149"/>
      <c r="P139" s="149"/>
    </row>
    <row r="140" spans="1:16" x14ac:dyDescent="0.2">
      <c r="A140">
        <v>731882</v>
      </c>
      <c r="B140" t="s">
        <v>2053</v>
      </c>
      <c r="C140" t="s">
        <v>2261</v>
      </c>
      <c r="D140">
        <v>20011031</v>
      </c>
      <c r="E140">
        <v>20011129</v>
      </c>
      <c r="F140" t="s">
        <v>1719</v>
      </c>
      <c r="G140" t="s">
        <v>1719</v>
      </c>
      <c r="H140" t="s">
        <v>1578</v>
      </c>
      <c r="I140">
        <v>0</v>
      </c>
      <c r="J140">
        <f t="shared" si="9"/>
        <v>0</v>
      </c>
      <c r="L140" s="160" t="str">
        <f t="shared" si="8"/>
        <v>Y</v>
      </c>
      <c r="M140" s="160">
        <f t="shared" si="10"/>
        <v>0</v>
      </c>
      <c r="N140">
        <f t="shared" si="11"/>
        <v>0</v>
      </c>
      <c r="O140" s="149"/>
      <c r="P140" s="149"/>
    </row>
    <row r="141" spans="1:16" x14ac:dyDescent="0.2">
      <c r="A141">
        <v>732038</v>
      </c>
      <c r="B141" t="s">
        <v>2054</v>
      </c>
      <c r="C141" t="s">
        <v>2262</v>
      </c>
      <c r="D141">
        <v>20011030</v>
      </c>
      <c r="E141">
        <v>20011128</v>
      </c>
      <c r="F141" t="s">
        <v>1719</v>
      </c>
      <c r="G141" t="s">
        <v>1719</v>
      </c>
      <c r="H141" t="s">
        <v>1578</v>
      </c>
      <c r="I141">
        <v>0</v>
      </c>
      <c r="J141">
        <f t="shared" si="9"/>
        <v>0</v>
      </c>
      <c r="L141" s="160" t="str">
        <f t="shared" si="8"/>
        <v>Y</v>
      </c>
      <c r="M141" s="160">
        <f t="shared" si="10"/>
        <v>0</v>
      </c>
      <c r="N141">
        <f t="shared" si="11"/>
        <v>0</v>
      </c>
      <c r="O141" s="149"/>
      <c r="P141" s="149"/>
    </row>
    <row r="142" spans="1:16" x14ac:dyDescent="0.2">
      <c r="A142">
        <v>732041</v>
      </c>
      <c r="B142" t="s">
        <v>1255</v>
      </c>
      <c r="C142" t="s">
        <v>1050</v>
      </c>
      <c r="D142">
        <v>20011031</v>
      </c>
      <c r="E142">
        <v>20011129</v>
      </c>
      <c r="F142" t="s">
        <v>1719</v>
      </c>
      <c r="G142" t="s">
        <v>1719</v>
      </c>
      <c r="H142" t="s">
        <v>1578</v>
      </c>
      <c r="I142">
        <v>0</v>
      </c>
      <c r="J142">
        <f t="shared" si="9"/>
        <v>0</v>
      </c>
      <c r="L142" s="160" t="str">
        <f t="shared" si="8"/>
        <v>Y</v>
      </c>
      <c r="M142" s="160">
        <f t="shared" si="10"/>
        <v>0</v>
      </c>
      <c r="N142">
        <f t="shared" si="11"/>
        <v>0</v>
      </c>
      <c r="O142" s="149"/>
      <c r="P142" s="149"/>
    </row>
    <row r="143" spans="1:16" x14ac:dyDescent="0.2">
      <c r="A143">
        <v>732142</v>
      </c>
      <c r="B143" t="s">
        <v>2055</v>
      </c>
      <c r="C143" t="s">
        <v>1902</v>
      </c>
      <c r="D143">
        <v>20011029</v>
      </c>
      <c r="E143">
        <v>20011129</v>
      </c>
      <c r="F143" t="s">
        <v>1719</v>
      </c>
      <c r="G143" t="s">
        <v>1719</v>
      </c>
      <c r="H143" t="s">
        <v>1578</v>
      </c>
      <c r="I143">
        <v>0</v>
      </c>
      <c r="J143">
        <f t="shared" si="9"/>
        <v>0</v>
      </c>
      <c r="L143" s="160" t="str">
        <f t="shared" si="8"/>
        <v>Y</v>
      </c>
      <c r="M143" s="160">
        <f t="shared" si="10"/>
        <v>0</v>
      </c>
      <c r="N143">
        <f t="shared" si="11"/>
        <v>0</v>
      </c>
      <c r="O143" s="149"/>
      <c r="P143" s="149"/>
    </row>
    <row r="144" spans="1:16" x14ac:dyDescent="0.2">
      <c r="A144">
        <v>733109</v>
      </c>
      <c r="B144" t="s">
        <v>2056</v>
      </c>
      <c r="C144" t="s">
        <v>1426</v>
      </c>
      <c r="D144">
        <v>20011029</v>
      </c>
      <c r="E144">
        <v>20011126</v>
      </c>
      <c r="F144" t="s">
        <v>1719</v>
      </c>
      <c r="G144" t="s">
        <v>1719</v>
      </c>
      <c r="H144" t="s">
        <v>1578</v>
      </c>
      <c r="I144">
        <v>0</v>
      </c>
      <c r="J144">
        <f t="shared" si="9"/>
        <v>0</v>
      </c>
      <c r="L144" s="160" t="str">
        <f t="shared" si="8"/>
        <v>Y</v>
      </c>
      <c r="M144" s="160">
        <f t="shared" si="10"/>
        <v>0</v>
      </c>
      <c r="N144">
        <f t="shared" si="11"/>
        <v>0</v>
      </c>
      <c r="O144" s="149"/>
      <c r="P144" s="149"/>
    </row>
    <row r="145" spans="1:16" x14ac:dyDescent="0.2">
      <c r="A145">
        <v>733159</v>
      </c>
      <c r="B145" t="s">
        <v>1466</v>
      </c>
      <c r="C145" t="s">
        <v>1469</v>
      </c>
      <c r="D145">
        <v>20011101</v>
      </c>
      <c r="E145">
        <v>20011128</v>
      </c>
      <c r="F145" t="s">
        <v>1719</v>
      </c>
      <c r="G145" t="s">
        <v>1719</v>
      </c>
      <c r="H145" t="s">
        <v>1578</v>
      </c>
      <c r="I145">
        <v>0</v>
      </c>
      <c r="J145">
        <f t="shared" si="9"/>
        <v>0</v>
      </c>
      <c r="L145" s="160" t="str">
        <f t="shared" si="8"/>
        <v>Y</v>
      </c>
      <c r="M145" s="160">
        <f t="shared" si="10"/>
        <v>0</v>
      </c>
      <c r="N145">
        <f t="shared" si="11"/>
        <v>0</v>
      </c>
      <c r="O145" s="149"/>
      <c r="P145" s="149"/>
    </row>
    <row r="146" spans="1:16" x14ac:dyDescent="0.2">
      <c r="A146">
        <v>733442</v>
      </c>
      <c r="B146" t="s">
        <v>2057</v>
      </c>
      <c r="C146" t="s">
        <v>2263</v>
      </c>
      <c r="D146">
        <v>20011101</v>
      </c>
      <c r="E146">
        <v>20011129</v>
      </c>
      <c r="F146" t="s">
        <v>1719</v>
      </c>
      <c r="G146" t="s">
        <v>1719</v>
      </c>
      <c r="H146" t="s">
        <v>1578</v>
      </c>
      <c r="I146">
        <v>0</v>
      </c>
      <c r="J146">
        <f t="shared" si="9"/>
        <v>0</v>
      </c>
      <c r="L146" s="160" t="str">
        <f t="shared" si="8"/>
        <v>Y</v>
      </c>
      <c r="M146" s="160">
        <f t="shared" si="10"/>
        <v>0</v>
      </c>
      <c r="N146">
        <f t="shared" si="11"/>
        <v>0</v>
      </c>
      <c r="O146" s="149"/>
      <c r="P146" s="149"/>
    </row>
    <row r="147" spans="1:16" x14ac:dyDescent="0.2">
      <c r="A147">
        <v>733453</v>
      </c>
      <c r="B147" t="s">
        <v>2058</v>
      </c>
      <c r="C147" t="s">
        <v>2266</v>
      </c>
      <c r="D147">
        <v>20011029</v>
      </c>
      <c r="E147">
        <v>20011127</v>
      </c>
      <c r="F147" t="s">
        <v>1719</v>
      </c>
      <c r="G147" t="s">
        <v>1719</v>
      </c>
      <c r="H147" t="s">
        <v>1578</v>
      </c>
      <c r="I147">
        <v>0</v>
      </c>
      <c r="J147">
        <f t="shared" si="9"/>
        <v>0</v>
      </c>
      <c r="K147" s="493"/>
      <c r="L147" s="160" t="str">
        <f t="shared" si="8"/>
        <v>Y</v>
      </c>
      <c r="M147" s="160">
        <f t="shared" si="10"/>
        <v>0</v>
      </c>
      <c r="N147">
        <f t="shared" si="11"/>
        <v>0</v>
      </c>
      <c r="O147" s="149"/>
      <c r="P147" s="149"/>
    </row>
    <row r="148" spans="1:16" x14ac:dyDescent="0.2">
      <c r="A148">
        <v>733522</v>
      </c>
      <c r="B148" t="s">
        <v>2059</v>
      </c>
      <c r="C148" t="s">
        <v>2263</v>
      </c>
      <c r="D148">
        <v>20011130</v>
      </c>
      <c r="E148">
        <v>20011201</v>
      </c>
      <c r="F148" t="s">
        <v>1719</v>
      </c>
      <c r="G148" t="s">
        <v>1719</v>
      </c>
      <c r="H148" t="s">
        <v>1578</v>
      </c>
      <c r="I148">
        <v>0</v>
      </c>
      <c r="J148">
        <f t="shared" si="9"/>
        <v>0</v>
      </c>
      <c r="L148" s="160" t="str">
        <f t="shared" si="8"/>
        <v>Y</v>
      </c>
      <c r="M148" s="160">
        <f t="shared" si="10"/>
        <v>0</v>
      </c>
      <c r="N148">
        <f t="shared" si="11"/>
        <v>0</v>
      </c>
      <c r="O148" s="149"/>
      <c r="P148" s="149"/>
    </row>
    <row r="149" spans="1:16" x14ac:dyDescent="0.2">
      <c r="A149">
        <v>733704</v>
      </c>
      <c r="B149" t="s">
        <v>2060</v>
      </c>
      <c r="C149" t="s">
        <v>2267</v>
      </c>
      <c r="D149">
        <v>20011030</v>
      </c>
      <c r="E149">
        <v>20011128</v>
      </c>
      <c r="F149" t="s">
        <v>1719</v>
      </c>
      <c r="G149" t="s">
        <v>1719</v>
      </c>
      <c r="H149" t="s">
        <v>1578</v>
      </c>
      <c r="I149">
        <v>0</v>
      </c>
      <c r="J149">
        <f t="shared" si="9"/>
        <v>0</v>
      </c>
      <c r="L149" s="160" t="str">
        <f t="shared" si="8"/>
        <v>Y</v>
      </c>
      <c r="M149" s="160">
        <f t="shared" si="10"/>
        <v>0</v>
      </c>
      <c r="N149">
        <f t="shared" si="11"/>
        <v>0</v>
      </c>
      <c r="O149" s="149"/>
      <c r="P149" s="149"/>
    </row>
    <row r="150" spans="1:16" x14ac:dyDescent="0.2">
      <c r="A150">
        <v>733836</v>
      </c>
      <c r="B150" t="s">
        <v>2061</v>
      </c>
      <c r="C150" t="s">
        <v>1426</v>
      </c>
      <c r="D150">
        <v>20011030</v>
      </c>
      <c r="E150">
        <v>20011130</v>
      </c>
      <c r="F150" t="s">
        <v>1719</v>
      </c>
      <c r="G150" t="s">
        <v>1719</v>
      </c>
      <c r="H150" t="s">
        <v>1578</v>
      </c>
      <c r="I150">
        <v>0</v>
      </c>
      <c r="J150">
        <f t="shared" si="9"/>
        <v>0</v>
      </c>
      <c r="L150" s="160" t="str">
        <f>IF(ISNA(VLOOKUP(A150,InCGAS,1,FALSE)),"--", "Y")</f>
        <v>Y</v>
      </c>
      <c r="M150" s="160">
        <f t="shared" si="10"/>
        <v>0</v>
      </c>
      <c r="N150">
        <f t="shared" si="11"/>
        <v>0</v>
      </c>
      <c r="O150" s="149"/>
      <c r="P150" s="149"/>
    </row>
    <row r="151" spans="1:16" x14ac:dyDescent="0.2">
      <c r="A151">
        <v>734173</v>
      </c>
      <c r="B151" t="s">
        <v>1470</v>
      </c>
      <c r="C151" t="s">
        <v>2268</v>
      </c>
      <c r="D151">
        <v>20011029</v>
      </c>
      <c r="E151">
        <v>20011129</v>
      </c>
      <c r="F151" t="s">
        <v>1719</v>
      </c>
      <c r="G151" t="s">
        <v>1719</v>
      </c>
      <c r="H151" t="s">
        <v>1578</v>
      </c>
      <c r="I151">
        <v>0</v>
      </c>
      <c r="J151">
        <f t="shared" si="9"/>
        <v>0</v>
      </c>
      <c r="L151" s="160" t="str">
        <f t="shared" si="8"/>
        <v>Y</v>
      </c>
      <c r="M151" s="160">
        <f t="shared" si="10"/>
        <v>0</v>
      </c>
      <c r="N151">
        <f t="shared" si="11"/>
        <v>0</v>
      </c>
      <c r="O151" s="149"/>
      <c r="P151" s="149"/>
    </row>
    <row r="152" spans="1:16" x14ac:dyDescent="0.2">
      <c r="A152">
        <v>734209</v>
      </c>
      <c r="B152" t="s">
        <v>2083</v>
      </c>
      <c r="C152" t="s">
        <v>2269</v>
      </c>
      <c r="D152">
        <v>20011030</v>
      </c>
      <c r="E152">
        <v>20011128</v>
      </c>
      <c r="F152" t="s">
        <v>1719</v>
      </c>
      <c r="G152" t="s">
        <v>1719</v>
      </c>
      <c r="H152" t="s">
        <v>1578</v>
      </c>
      <c r="I152">
        <v>0</v>
      </c>
      <c r="J152">
        <f t="shared" si="9"/>
        <v>0</v>
      </c>
      <c r="L152" s="160" t="str">
        <f t="shared" si="8"/>
        <v>Y</v>
      </c>
      <c r="M152" s="160">
        <f t="shared" si="10"/>
        <v>0</v>
      </c>
      <c r="N152">
        <f t="shared" si="11"/>
        <v>0</v>
      </c>
      <c r="O152" s="149"/>
      <c r="P152" s="149"/>
    </row>
    <row r="153" spans="1:16" x14ac:dyDescent="0.2">
      <c r="A153">
        <v>734289</v>
      </c>
      <c r="B153" t="s">
        <v>2110</v>
      </c>
      <c r="C153" t="s">
        <v>2270</v>
      </c>
      <c r="D153">
        <v>20011030</v>
      </c>
      <c r="E153">
        <v>20011204</v>
      </c>
      <c r="F153" t="s">
        <v>1719</v>
      </c>
      <c r="G153" t="s">
        <v>1719</v>
      </c>
      <c r="H153" t="s">
        <v>1578</v>
      </c>
      <c r="I153">
        <v>0</v>
      </c>
      <c r="J153">
        <f t="shared" si="9"/>
        <v>0</v>
      </c>
      <c r="L153" s="160" t="str">
        <f t="shared" si="8"/>
        <v>Y</v>
      </c>
      <c r="M153" s="160">
        <f t="shared" si="10"/>
        <v>0</v>
      </c>
      <c r="N153">
        <f t="shared" si="11"/>
        <v>0</v>
      </c>
      <c r="O153" s="149"/>
      <c r="P153" s="149"/>
    </row>
    <row r="154" spans="1:16" x14ac:dyDescent="0.2">
      <c r="A154">
        <v>734403</v>
      </c>
      <c r="B154" t="s">
        <v>2111</v>
      </c>
      <c r="C154" t="s">
        <v>2249</v>
      </c>
      <c r="D154">
        <v>20011029</v>
      </c>
      <c r="E154">
        <v>20011127</v>
      </c>
      <c r="F154" t="s">
        <v>1719</v>
      </c>
      <c r="G154" t="s">
        <v>1719</v>
      </c>
      <c r="H154" t="s">
        <v>1578</v>
      </c>
      <c r="I154">
        <v>0</v>
      </c>
      <c r="J154">
        <f t="shared" si="9"/>
        <v>0</v>
      </c>
      <c r="L154" s="160" t="str">
        <f t="shared" si="8"/>
        <v>Y</v>
      </c>
      <c r="M154" s="160">
        <f t="shared" si="10"/>
        <v>0</v>
      </c>
      <c r="N154">
        <f t="shared" si="11"/>
        <v>0</v>
      </c>
      <c r="O154" s="149"/>
      <c r="P154" s="149"/>
    </row>
    <row r="155" spans="1:16" x14ac:dyDescent="0.2">
      <c r="A155">
        <v>734492</v>
      </c>
      <c r="B155" t="s">
        <v>2112</v>
      </c>
      <c r="C155" t="s">
        <v>1903</v>
      </c>
      <c r="D155">
        <v>20011027</v>
      </c>
      <c r="E155">
        <v>20011128</v>
      </c>
      <c r="F155" t="s">
        <v>1719</v>
      </c>
      <c r="G155" t="s">
        <v>1719</v>
      </c>
      <c r="H155" t="s">
        <v>1578</v>
      </c>
      <c r="I155">
        <v>0</v>
      </c>
      <c r="J155">
        <f t="shared" si="9"/>
        <v>0</v>
      </c>
      <c r="L155" s="160" t="str">
        <f>IF(ISNA(VLOOKUP(A155,InCGAS,1,FALSE)),"--", "Y")</f>
        <v>Y</v>
      </c>
      <c r="M155" s="160">
        <f t="shared" si="10"/>
        <v>0</v>
      </c>
      <c r="N155">
        <f t="shared" si="11"/>
        <v>0</v>
      </c>
      <c r="O155" s="149"/>
      <c r="P155" s="149"/>
    </row>
    <row r="156" spans="1:16" x14ac:dyDescent="0.2">
      <c r="A156">
        <v>734614</v>
      </c>
      <c r="B156" t="s">
        <v>2113</v>
      </c>
      <c r="C156" t="s">
        <v>2263</v>
      </c>
      <c r="D156">
        <v>20011030</v>
      </c>
      <c r="E156">
        <v>20011128</v>
      </c>
      <c r="F156" t="s">
        <v>1719</v>
      </c>
      <c r="G156" t="s">
        <v>1719</v>
      </c>
      <c r="H156" t="s">
        <v>1578</v>
      </c>
      <c r="I156">
        <v>0</v>
      </c>
      <c r="J156">
        <f t="shared" si="9"/>
        <v>0</v>
      </c>
      <c r="L156" s="160" t="str">
        <f t="shared" si="8"/>
        <v>Y</v>
      </c>
      <c r="M156" s="160">
        <f t="shared" si="10"/>
        <v>0</v>
      </c>
      <c r="N156">
        <f t="shared" si="11"/>
        <v>0</v>
      </c>
      <c r="O156" s="149"/>
      <c r="P156" s="149"/>
    </row>
    <row r="157" spans="1:16" x14ac:dyDescent="0.2">
      <c r="A157">
        <v>734699</v>
      </c>
      <c r="B157" t="s">
        <v>1052</v>
      </c>
      <c r="C157" t="s">
        <v>1896</v>
      </c>
      <c r="D157">
        <v>20011130</v>
      </c>
      <c r="E157">
        <v>20011201</v>
      </c>
      <c r="F157" t="s">
        <v>1719</v>
      </c>
      <c r="G157" t="s">
        <v>1719</v>
      </c>
      <c r="H157" t="s">
        <v>1578</v>
      </c>
      <c r="I157">
        <v>0</v>
      </c>
      <c r="J157">
        <f t="shared" si="9"/>
        <v>0</v>
      </c>
      <c r="L157" s="160" t="str">
        <f t="shared" si="8"/>
        <v>Y</v>
      </c>
      <c r="M157" s="160">
        <f t="shared" si="10"/>
        <v>0</v>
      </c>
      <c r="N157">
        <f t="shared" si="11"/>
        <v>0</v>
      </c>
      <c r="O157" s="149"/>
      <c r="P157" s="149"/>
    </row>
    <row r="158" spans="1:16" x14ac:dyDescent="0.2">
      <c r="A158">
        <v>734857</v>
      </c>
      <c r="B158" t="s">
        <v>2114</v>
      </c>
      <c r="C158" t="s">
        <v>2271</v>
      </c>
      <c r="D158">
        <v>20011030</v>
      </c>
      <c r="E158">
        <v>20011129</v>
      </c>
      <c r="F158" t="s">
        <v>1719</v>
      </c>
      <c r="G158" t="s">
        <v>1719</v>
      </c>
      <c r="H158" t="s">
        <v>1578</v>
      </c>
      <c r="I158">
        <v>0</v>
      </c>
      <c r="J158">
        <f t="shared" si="9"/>
        <v>0</v>
      </c>
      <c r="L158" s="160" t="str">
        <f t="shared" si="8"/>
        <v>Y</v>
      </c>
      <c r="M158" s="160">
        <f t="shared" si="10"/>
        <v>0</v>
      </c>
      <c r="N158">
        <f t="shared" si="11"/>
        <v>0</v>
      </c>
      <c r="O158" s="149"/>
      <c r="P158" s="149"/>
    </row>
    <row r="159" spans="1:16" x14ac:dyDescent="0.2">
      <c r="A159">
        <v>734918</v>
      </c>
      <c r="B159" t="s">
        <v>1837</v>
      </c>
      <c r="C159" t="s">
        <v>1837</v>
      </c>
      <c r="D159">
        <v>20011130</v>
      </c>
      <c r="E159">
        <v>20011201</v>
      </c>
      <c r="F159" t="s">
        <v>1719</v>
      </c>
      <c r="G159" t="s">
        <v>1719</v>
      </c>
      <c r="H159" t="s">
        <v>1578</v>
      </c>
      <c r="I159">
        <v>0</v>
      </c>
      <c r="J159">
        <f t="shared" si="9"/>
        <v>0</v>
      </c>
      <c r="L159" s="160" t="str">
        <f t="shared" si="8"/>
        <v>Y</v>
      </c>
      <c r="M159" s="160">
        <f t="shared" si="10"/>
        <v>0</v>
      </c>
      <c r="N159">
        <f t="shared" si="11"/>
        <v>0</v>
      </c>
      <c r="O159" s="149"/>
      <c r="P159" s="149"/>
    </row>
    <row r="160" spans="1:16" x14ac:dyDescent="0.2">
      <c r="A160">
        <v>734994</v>
      </c>
      <c r="B160" t="s">
        <v>2115</v>
      </c>
      <c r="C160" t="s">
        <v>2267</v>
      </c>
      <c r="D160">
        <v>20011130</v>
      </c>
      <c r="E160">
        <v>20011201</v>
      </c>
      <c r="F160" t="s">
        <v>1719</v>
      </c>
      <c r="G160" t="s">
        <v>1719</v>
      </c>
      <c r="H160" t="s">
        <v>1578</v>
      </c>
      <c r="I160">
        <v>0</v>
      </c>
      <c r="J160">
        <f t="shared" si="9"/>
        <v>0</v>
      </c>
      <c r="L160" s="160" t="str">
        <f>IF(ISNA(VLOOKUP(A160,InCGAS,1,FALSE)),"--", "Y")</f>
        <v>Y</v>
      </c>
      <c r="M160" s="160">
        <f t="shared" si="10"/>
        <v>0</v>
      </c>
      <c r="N160">
        <f t="shared" si="11"/>
        <v>0</v>
      </c>
      <c r="O160" s="149"/>
      <c r="P160" s="149"/>
    </row>
    <row r="161" spans="1:16" x14ac:dyDescent="0.2">
      <c r="A161">
        <v>735253</v>
      </c>
      <c r="B161" t="s">
        <v>2116</v>
      </c>
      <c r="C161" t="s">
        <v>2267</v>
      </c>
      <c r="D161">
        <v>20011130</v>
      </c>
      <c r="E161">
        <v>20011201</v>
      </c>
      <c r="F161" t="s">
        <v>1719</v>
      </c>
      <c r="G161" t="s">
        <v>1719</v>
      </c>
      <c r="H161" t="s">
        <v>1578</v>
      </c>
      <c r="I161">
        <v>0</v>
      </c>
      <c r="J161">
        <f t="shared" si="9"/>
        <v>0</v>
      </c>
      <c r="L161" s="160" t="str">
        <f t="shared" si="8"/>
        <v>Y</v>
      </c>
      <c r="M161" s="160">
        <f t="shared" si="10"/>
        <v>0</v>
      </c>
      <c r="N161">
        <f t="shared" si="11"/>
        <v>0</v>
      </c>
      <c r="O161" s="149"/>
      <c r="P161" s="149"/>
    </row>
    <row r="162" spans="1:16" x14ac:dyDescent="0.2">
      <c r="A162">
        <v>735273</v>
      </c>
      <c r="B162" t="s">
        <v>2117</v>
      </c>
      <c r="C162" t="s">
        <v>2272</v>
      </c>
      <c r="D162">
        <v>20011029</v>
      </c>
      <c r="E162">
        <v>20011126</v>
      </c>
      <c r="F162" t="s">
        <v>1719</v>
      </c>
      <c r="G162" t="s">
        <v>1719</v>
      </c>
      <c r="H162" t="s">
        <v>1578</v>
      </c>
      <c r="I162">
        <v>0</v>
      </c>
      <c r="J162">
        <f t="shared" si="9"/>
        <v>0</v>
      </c>
      <c r="L162" s="160" t="str">
        <f t="shared" si="8"/>
        <v>Y</v>
      </c>
      <c r="M162" s="160">
        <f t="shared" si="10"/>
        <v>0</v>
      </c>
      <c r="N162">
        <f t="shared" si="11"/>
        <v>0</v>
      </c>
      <c r="O162" s="149"/>
      <c r="P162" s="149"/>
    </row>
    <row r="163" spans="1:16" x14ac:dyDescent="0.2">
      <c r="A163">
        <v>735568</v>
      </c>
      <c r="B163" t="s">
        <v>2118</v>
      </c>
      <c r="C163" t="s">
        <v>2267</v>
      </c>
      <c r="D163">
        <v>20011130</v>
      </c>
      <c r="E163">
        <v>20011201</v>
      </c>
      <c r="F163" t="s">
        <v>1719</v>
      </c>
      <c r="G163" t="s">
        <v>1719</v>
      </c>
      <c r="H163" t="s">
        <v>1578</v>
      </c>
      <c r="I163">
        <v>0</v>
      </c>
      <c r="J163">
        <f t="shared" si="9"/>
        <v>0</v>
      </c>
      <c r="L163" s="160" t="str">
        <f t="shared" si="8"/>
        <v>Y</v>
      </c>
      <c r="M163" s="160">
        <f t="shared" si="10"/>
        <v>0</v>
      </c>
      <c r="N163">
        <f t="shared" si="11"/>
        <v>0</v>
      </c>
      <c r="O163" s="149"/>
      <c r="P163" s="149"/>
    </row>
    <row r="164" spans="1:16" x14ac:dyDescent="0.2">
      <c r="A164">
        <v>736552</v>
      </c>
      <c r="B164" t="s">
        <v>1256</v>
      </c>
      <c r="C164" t="s">
        <v>1470</v>
      </c>
      <c r="D164">
        <v>20011030</v>
      </c>
      <c r="E164">
        <v>20011204</v>
      </c>
      <c r="F164" t="s">
        <v>1719</v>
      </c>
      <c r="G164" t="s">
        <v>1719</v>
      </c>
      <c r="H164" t="s">
        <v>1578</v>
      </c>
      <c r="I164">
        <v>0</v>
      </c>
      <c r="J164">
        <f t="shared" si="9"/>
        <v>0</v>
      </c>
      <c r="L164" s="160" t="str">
        <f>IF(ISNA(VLOOKUP(A164,InCGAS,1,FALSE)),"--", "Y")</f>
        <v>Y</v>
      </c>
      <c r="M164" s="160">
        <f>IF(ISNA(VLOOKUP(A164,InCGAS,1,FALSE)),"na",VLOOKUP(A164,InCGAS,9,FALSE))</f>
        <v>0</v>
      </c>
      <c r="N164">
        <f>+J164-M164</f>
        <v>0</v>
      </c>
      <c r="O164" s="149"/>
      <c r="P164" s="149"/>
    </row>
    <row r="165" spans="1:16" x14ac:dyDescent="0.2">
      <c r="A165">
        <v>736634</v>
      </c>
      <c r="B165" t="s">
        <v>1257</v>
      </c>
      <c r="C165" t="s">
        <v>1470</v>
      </c>
      <c r="D165">
        <v>20011030</v>
      </c>
      <c r="E165">
        <v>20011129</v>
      </c>
      <c r="F165" t="s">
        <v>1719</v>
      </c>
      <c r="G165" t="s">
        <v>1719</v>
      </c>
      <c r="H165" t="s">
        <v>1578</v>
      </c>
      <c r="I165">
        <v>0</v>
      </c>
      <c r="J165">
        <f t="shared" si="9"/>
        <v>0</v>
      </c>
      <c r="L165" s="160" t="str">
        <f t="shared" ref="L165:L204" si="12">IF(ISNA(VLOOKUP(A165,InCGAS,1,FALSE)),"--", "Y")</f>
        <v>Y</v>
      </c>
      <c r="M165" s="160">
        <f t="shared" si="10"/>
        <v>0</v>
      </c>
      <c r="N165">
        <f t="shared" si="11"/>
        <v>0</v>
      </c>
      <c r="O165" s="149"/>
      <c r="P165" s="149"/>
    </row>
    <row r="166" spans="1:16" x14ac:dyDescent="0.2">
      <c r="A166">
        <v>736922</v>
      </c>
      <c r="B166" t="s">
        <v>1467</v>
      </c>
      <c r="C166" t="s">
        <v>2267</v>
      </c>
      <c r="D166">
        <v>20011130</v>
      </c>
      <c r="E166">
        <v>20011201</v>
      </c>
      <c r="F166" t="s">
        <v>1719</v>
      </c>
      <c r="G166" t="s">
        <v>1719</v>
      </c>
      <c r="H166" t="s">
        <v>1578</v>
      </c>
      <c r="I166">
        <v>0</v>
      </c>
      <c r="J166">
        <f t="shared" si="9"/>
        <v>0</v>
      </c>
      <c r="L166" s="160" t="str">
        <f t="shared" si="12"/>
        <v>Y</v>
      </c>
      <c r="M166" s="160">
        <f t="shared" si="10"/>
        <v>0</v>
      </c>
      <c r="N166">
        <f t="shared" si="11"/>
        <v>0</v>
      </c>
      <c r="O166" s="149"/>
      <c r="P166" s="149"/>
    </row>
    <row r="167" spans="1:16" x14ac:dyDescent="0.2">
      <c r="A167">
        <v>800140</v>
      </c>
      <c r="B167" t="s">
        <v>1151</v>
      </c>
      <c r="C167" t="s">
        <v>1155</v>
      </c>
      <c r="D167">
        <v>20011128</v>
      </c>
      <c r="E167">
        <v>20011201</v>
      </c>
      <c r="F167" t="s">
        <v>2279</v>
      </c>
      <c r="G167" t="s">
        <v>1719</v>
      </c>
      <c r="H167" t="s">
        <v>1578</v>
      </c>
      <c r="I167">
        <v>0</v>
      </c>
      <c r="J167">
        <f t="shared" si="9"/>
        <v>0</v>
      </c>
      <c r="L167" s="160" t="str">
        <f t="shared" si="12"/>
        <v>Y</v>
      </c>
      <c r="M167" s="160">
        <f t="shared" si="10"/>
        <v>0</v>
      </c>
      <c r="N167">
        <f t="shared" si="11"/>
        <v>0</v>
      </c>
      <c r="O167" s="149"/>
      <c r="P167" s="149"/>
    </row>
    <row r="168" spans="1:16" x14ac:dyDescent="0.2">
      <c r="A168">
        <v>800229</v>
      </c>
      <c r="B168" t="s">
        <v>2119</v>
      </c>
      <c r="C168" t="s">
        <v>1745</v>
      </c>
      <c r="D168">
        <v>20011030</v>
      </c>
      <c r="E168">
        <v>20011129</v>
      </c>
      <c r="F168" t="s">
        <v>2279</v>
      </c>
      <c r="G168" t="s">
        <v>1718</v>
      </c>
      <c r="H168" t="s">
        <v>1578</v>
      </c>
      <c r="I168">
        <v>0</v>
      </c>
      <c r="J168">
        <f t="shared" si="9"/>
        <v>0</v>
      </c>
      <c r="K168" s="493"/>
      <c r="L168" s="160" t="str">
        <f t="shared" si="12"/>
        <v>Y</v>
      </c>
      <c r="M168" s="160">
        <f t="shared" si="10"/>
        <v>0</v>
      </c>
      <c r="N168">
        <f t="shared" si="11"/>
        <v>0</v>
      </c>
      <c r="O168" s="149"/>
      <c r="P168" s="149"/>
    </row>
    <row r="169" spans="1:16" x14ac:dyDescent="0.2">
      <c r="A169">
        <v>801354</v>
      </c>
      <c r="B169" t="s">
        <v>2120</v>
      </c>
      <c r="C169" t="s">
        <v>1745</v>
      </c>
      <c r="D169">
        <v>20011029</v>
      </c>
      <c r="E169">
        <v>20011128</v>
      </c>
      <c r="F169" t="s">
        <v>2279</v>
      </c>
      <c r="G169" t="s">
        <v>1719</v>
      </c>
      <c r="H169" t="s">
        <v>1578</v>
      </c>
      <c r="I169">
        <v>0</v>
      </c>
      <c r="J169">
        <f t="shared" si="9"/>
        <v>0</v>
      </c>
      <c r="L169" s="160" t="str">
        <f t="shared" si="12"/>
        <v>Y</v>
      </c>
      <c r="M169" s="160">
        <f t="shared" si="10"/>
        <v>0</v>
      </c>
      <c r="N169">
        <f t="shared" si="11"/>
        <v>0</v>
      </c>
      <c r="O169" s="149"/>
      <c r="P169" s="149"/>
    </row>
    <row r="170" spans="1:16" x14ac:dyDescent="0.2">
      <c r="A170">
        <v>801978</v>
      </c>
      <c r="B170" t="s">
        <v>2121</v>
      </c>
      <c r="C170" t="s">
        <v>1745</v>
      </c>
      <c r="D170">
        <v>20011030</v>
      </c>
      <c r="E170">
        <v>20011129</v>
      </c>
      <c r="F170" t="s">
        <v>1719</v>
      </c>
      <c r="G170" t="s">
        <v>1718</v>
      </c>
      <c r="H170" t="s">
        <v>1578</v>
      </c>
      <c r="I170">
        <v>0</v>
      </c>
      <c r="J170">
        <f t="shared" si="9"/>
        <v>0</v>
      </c>
      <c r="K170" s="493"/>
      <c r="L170" s="160" t="str">
        <f t="shared" si="12"/>
        <v>Y</v>
      </c>
      <c r="M170" s="160">
        <f t="shared" si="10"/>
        <v>0</v>
      </c>
      <c r="N170">
        <f t="shared" si="11"/>
        <v>0</v>
      </c>
      <c r="O170" s="149"/>
      <c r="P170" s="149"/>
    </row>
    <row r="171" spans="1:16" x14ac:dyDescent="0.2">
      <c r="A171">
        <v>801980</v>
      </c>
      <c r="B171" t="s">
        <v>2122</v>
      </c>
      <c r="C171" t="s">
        <v>2273</v>
      </c>
      <c r="D171">
        <v>20011031</v>
      </c>
      <c r="E171">
        <v>20011130</v>
      </c>
      <c r="F171" t="s">
        <v>1719</v>
      </c>
      <c r="G171" t="s">
        <v>1718</v>
      </c>
      <c r="H171" t="s">
        <v>1578</v>
      </c>
      <c r="I171">
        <v>0</v>
      </c>
      <c r="J171">
        <f t="shared" si="9"/>
        <v>0</v>
      </c>
      <c r="K171" s="493"/>
      <c r="L171" s="160" t="str">
        <f t="shared" si="12"/>
        <v>Y</v>
      </c>
      <c r="M171" s="160">
        <f t="shared" si="10"/>
        <v>0</v>
      </c>
      <c r="N171">
        <f t="shared" si="11"/>
        <v>0</v>
      </c>
      <c r="O171" s="149"/>
      <c r="P171" s="149"/>
    </row>
    <row r="172" spans="1:16" x14ac:dyDescent="0.2">
      <c r="A172">
        <v>802049</v>
      </c>
      <c r="B172" t="s">
        <v>2123</v>
      </c>
      <c r="C172" t="s">
        <v>2274</v>
      </c>
      <c r="D172">
        <v>20011030</v>
      </c>
      <c r="E172">
        <v>20011128</v>
      </c>
      <c r="F172" t="s">
        <v>2279</v>
      </c>
      <c r="G172" t="s">
        <v>1719</v>
      </c>
      <c r="H172" t="s">
        <v>1578</v>
      </c>
      <c r="I172">
        <v>0</v>
      </c>
      <c r="J172">
        <f t="shared" si="9"/>
        <v>0</v>
      </c>
      <c r="L172" s="160" t="str">
        <f t="shared" si="12"/>
        <v>Y</v>
      </c>
      <c r="M172" s="160">
        <f t="shared" si="10"/>
        <v>0</v>
      </c>
      <c r="N172">
        <f t="shared" si="11"/>
        <v>0</v>
      </c>
      <c r="O172" s="149"/>
      <c r="P172" s="149"/>
    </row>
    <row r="173" spans="1:16" x14ac:dyDescent="0.2">
      <c r="A173">
        <v>802477</v>
      </c>
      <c r="B173" t="s">
        <v>2124</v>
      </c>
      <c r="C173" t="s">
        <v>1746</v>
      </c>
      <c r="D173">
        <v>20011031</v>
      </c>
      <c r="E173">
        <v>20011128</v>
      </c>
      <c r="F173" t="s">
        <v>2279</v>
      </c>
      <c r="G173" t="s">
        <v>1719</v>
      </c>
      <c r="H173" t="s">
        <v>1578</v>
      </c>
      <c r="I173">
        <v>0</v>
      </c>
      <c r="J173">
        <f t="shared" si="9"/>
        <v>0</v>
      </c>
      <c r="L173" s="160" t="str">
        <f t="shared" si="12"/>
        <v>Y</v>
      </c>
      <c r="M173" s="160">
        <f t="shared" si="10"/>
        <v>0</v>
      </c>
      <c r="N173">
        <f t="shared" si="11"/>
        <v>0</v>
      </c>
      <c r="O173" s="149"/>
      <c r="P173" s="149"/>
    </row>
    <row r="174" spans="1:16" x14ac:dyDescent="0.2">
      <c r="A174">
        <v>802938</v>
      </c>
      <c r="B174" t="s">
        <v>2125</v>
      </c>
      <c r="C174" t="s">
        <v>1720</v>
      </c>
      <c r="D174">
        <v>20011030</v>
      </c>
      <c r="E174">
        <v>20011127</v>
      </c>
      <c r="F174" t="s">
        <v>2279</v>
      </c>
      <c r="G174" t="s">
        <v>1718</v>
      </c>
      <c r="H174" t="s">
        <v>1578</v>
      </c>
      <c r="I174">
        <v>0</v>
      </c>
      <c r="J174">
        <f t="shared" si="9"/>
        <v>0</v>
      </c>
      <c r="L174" s="160" t="str">
        <f t="shared" si="12"/>
        <v>Y</v>
      </c>
      <c r="M174" s="160">
        <f t="shared" si="10"/>
        <v>0</v>
      </c>
      <c r="N174">
        <f t="shared" si="11"/>
        <v>0</v>
      </c>
      <c r="O174" s="149"/>
      <c r="P174" s="149"/>
    </row>
    <row r="175" spans="1:16" x14ac:dyDescent="0.2">
      <c r="A175">
        <v>806321</v>
      </c>
      <c r="B175" t="s">
        <v>1422</v>
      </c>
      <c r="C175" t="s">
        <v>2275</v>
      </c>
      <c r="D175">
        <v>20011030</v>
      </c>
      <c r="E175">
        <v>20011129</v>
      </c>
      <c r="F175" t="s">
        <v>2279</v>
      </c>
      <c r="G175" t="s">
        <v>1718</v>
      </c>
      <c r="H175" t="s">
        <v>1578</v>
      </c>
      <c r="I175">
        <v>0</v>
      </c>
      <c r="J175">
        <f t="shared" si="9"/>
        <v>0</v>
      </c>
      <c r="L175" s="160" t="str">
        <f t="shared" si="12"/>
        <v>Y</v>
      </c>
      <c r="M175" s="160">
        <f t="shared" si="10"/>
        <v>0</v>
      </c>
      <c r="N175">
        <f t="shared" si="11"/>
        <v>0</v>
      </c>
      <c r="O175" s="149"/>
      <c r="P175" s="149"/>
    </row>
    <row r="176" spans="1:16" x14ac:dyDescent="0.2">
      <c r="A176">
        <v>819179</v>
      </c>
      <c r="B176" t="s">
        <v>1053</v>
      </c>
      <c r="C176" t="s">
        <v>2240</v>
      </c>
      <c r="D176">
        <v>20011030</v>
      </c>
      <c r="E176">
        <v>20011128</v>
      </c>
      <c r="F176" t="s">
        <v>2279</v>
      </c>
      <c r="G176" t="s">
        <v>1719</v>
      </c>
      <c r="H176" t="s">
        <v>1578</v>
      </c>
      <c r="I176">
        <v>0</v>
      </c>
      <c r="J176">
        <f t="shared" si="9"/>
        <v>0</v>
      </c>
      <c r="L176" s="160" t="str">
        <f t="shared" si="12"/>
        <v>Y</v>
      </c>
      <c r="M176" s="160">
        <f t="shared" si="10"/>
        <v>0</v>
      </c>
      <c r="N176">
        <f t="shared" si="11"/>
        <v>0</v>
      </c>
      <c r="O176" s="149"/>
      <c r="P176" s="149"/>
    </row>
    <row r="177" spans="1:16" x14ac:dyDescent="0.2">
      <c r="A177">
        <v>821590</v>
      </c>
      <c r="B177" t="s">
        <v>2126</v>
      </c>
      <c r="C177" t="s">
        <v>1748</v>
      </c>
      <c r="D177">
        <v>20011102</v>
      </c>
      <c r="E177">
        <v>20011204</v>
      </c>
      <c r="F177" t="s">
        <v>2279</v>
      </c>
      <c r="G177" t="s">
        <v>1719</v>
      </c>
      <c r="H177" t="s">
        <v>1578</v>
      </c>
      <c r="I177">
        <v>0</v>
      </c>
      <c r="J177">
        <f t="shared" si="9"/>
        <v>0</v>
      </c>
      <c r="L177" s="160" t="str">
        <f t="shared" si="12"/>
        <v>Y</v>
      </c>
      <c r="M177" s="160">
        <f t="shared" si="10"/>
        <v>0</v>
      </c>
      <c r="N177">
        <f t="shared" si="11"/>
        <v>0</v>
      </c>
      <c r="O177" s="149"/>
      <c r="P177" s="149"/>
    </row>
    <row r="178" spans="1:16" x14ac:dyDescent="0.2">
      <c r="A178">
        <v>824442</v>
      </c>
      <c r="B178" t="s">
        <v>206</v>
      </c>
      <c r="C178" t="s">
        <v>1914</v>
      </c>
      <c r="D178">
        <v>20011130</v>
      </c>
      <c r="E178">
        <v>20011201</v>
      </c>
      <c r="F178" t="s">
        <v>1719</v>
      </c>
      <c r="G178" t="s">
        <v>1719</v>
      </c>
      <c r="H178" t="s">
        <v>1578</v>
      </c>
      <c r="I178">
        <v>0</v>
      </c>
      <c r="J178">
        <f t="shared" si="9"/>
        <v>10316</v>
      </c>
      <c r="L178" s="160" t="str">
        <f t="shared" si="12"/>
        <v>Y</v>
      </c>
      <c r="M178" s="160">
        <f t="shared" si="10"/>
        <v>10316</v>
      </c>
      <c r="N178">
        <f t="shared" si="11"/>
        <v>0</v>
      </c>
      <c r="O178" s="149"/>
      <c r="P178" s="149"/>
    </row>
    <row r="179" spans="1:16" x14ac:dyDescent="0.2">
      <c r="A179">
        <v>824766</v>
      </c>
      <c r="B179" t="s">
        <v>1152</v>
      </c>
      <c r="C179" t="s">
        <v>83</v>
      </c>
      <c r="D179">
        <v>20011102</v>
      </c>
      <c r="E179">
        <v>20011204</v>
      </c>
      <c r="F179" t="s">
        <v>2279</v>
      </c>
      <c r="G179" t="s">
        <v>1719</v>
      </c>
      <c r="H179" t="s">
        <v>1578</v>
      </c>
      <c r="I179">
        <v>0</v>
      </c>
      <c r="J179">
        <f t="shared" si="9"/>
        <v>0</v>
      </c>
      <c r="L179" s="160" t="str">
        <f t="shared" si="12"/>
        <v>Y</v>
      </c>
      <c r="M179" s="160">
        <f t="shared" si="10"/>
        <v>0</v>
      </c>
      <c r="N179">
        <f t="shared" si="11"/>
        <v>0</v>
      </c>
      <c r="O179" s="149"/>
      <c r="P179" s="149"/>
    </row>
    <row r="180" spans="1:16" x14ac:dyDescent="0.2">
      <c r="A180">
        <v>825005</v>
      </c>
      <c r="B180" t="s">
        <v>2203</v>
      </c>
      <c r="C180" t="s">
        <v>623</v>
      </c>
      <c r="D180">
        <v>20011102</v>
      </c>
      <c r="E180">
        <v>20011204</v>
      </c>
      <c r="F180" t="s">
        <v>2279</v>
      </c>
      <c r="G180" t="s">
        <v>1719</v>
      </c>
      <c r="H180" t="s">
        <v>1578</v>
      </c>
      <c r="I180">
        <v>0</v>
      </c>
      <c r="J180">
        <f t="shared" si="9"/>
        <v>0</v>
      </c>
      <c r="L180" s="160" t="str">
        <f t="shared" si="12"/>
        <v>Y</v>
      </c>
      <c r="M180" s="160">
        <f t="shared" si="10"/>
        <v>0</v>
      </c>
      <c r="N180">
        <f t="shared" si="11"/>
        <v>0</v>
      </c>
      <c r="O180" s="149"/>
      <c r="P180" s="149"/>
    </row>
    <row r="181" spans="1:16" x14ac:dyDescent="0.2">
      <c r="A181">
        <v>827009</v>
      </c>
      <c r="B181" t="s">
        <v>207</v>
      </c>
      <c r="C181" t="s">
        <v>1914</v>
      </c>
      <c r="D181">
        <v>20011130</v>
      </c>
      <c r="E181">
        <v>20011201</v>
      </c>
      <c r="F181" t="s">
        <v>1719</v>
      </c>
      <c r="G181" t="s">
        <v>1719</v>
      </c>
      <c r="H181" t="s">
        <v>1586</v>
      </c>
      <c r="I181">
        <v>0</v>
      </c>
      <c r="J181">
        <f t="shared" si="9"/>
        <v>3720</v>
      </c>
      <c r="L181" s="160" t="str">
        <f t="shared" si="12"/>
        <v>Y</v>
      </c>
      <c r="M181" s="160">
        <f t="shared" si="10"/>
        <v>3720</v>
      </c>
      <c r="N181">
        <f t="shared" si="11"/>
        <v>0</v>
      </c>
      <c r="O181" s="149"/>
      <c r="P181" s="149"/>
    </row>
    <row r="182" spans="1:16" x14ac:dyDescent="0.2">
      <c r="A182">
        <v>827548</v>
      </c>
      <c r="B182" t="s">
        <v>2204</v>
      </c>
      <c r="C182" t="s">
        <v>2276</v>
      </c>
      <c r="D182">
        <v>20011029</v>
      </c>
      <c r="E182">
        <v>20011127</v>
      </c>
      <c r="F182" t="s">
        <v>2279</v>
      </c>
      <c r="G182" t="s">
        <v>1719</v>
      </c>
      <c r="H182" t="s">
        <v>1578</v>
      </c>
      <c r="I182">
        <v>0</v>
      </c>
      <c r="J182">
        <f t="shared" si="9"/>
        <v>0</v>
      </c>
      <c r="L182" s="160" t="str">
        <f t="shared" si="12"/>
        <v>Y</v>
      </c>
      <c r="M182" s="160">
        <f t="shared" si="10"/>
        <v>0</v>
      </c>
      <c r="N182">
        <f t="shared" si="11"/>
        <v>0</v>
      </c>
      <c r="O182" s="149"/>
      <c r="P182" s="149"/>
    </row>
    <row r="183" spans="1:16" x14ac:dyDescent="0.2">
      <c r="A183">
        <v>828516</v>
      </c>
      <c r="B183" t="s">
        <v>2205</v>
      </c>
      <c r="C183" t="s">
        <v>1748</v>
      </c>
      <c r="D183">
        <v>20011102</v>
      </c>
      <c r="E183">
        <v>20011204</v>
      </c>
      <c r="F183" t="s">
        <v>2279</v>
      </c>
      <c r="G183" t="s">
        <v>1719</v>
      </c>
      <c r="H183" t="s">
        <v>1578</v>
      </c>
      <c r="I183">
        <v>0</v>
      </c>
      <c r="J183">
        <f t="shared" si="9"/>
        <v>0</v>
      </c>
      <c r="L183" s="160" t="str">
        <f t="shared" si="12"/>
        <v>Y</v>
      </c>
      <c r="M183" s="160">
        <f t="shared" si="10"/>
        <v>0</v>
      </c>
      <c r="N183">
        <f t="shared" si="11"/>
        <v>0</v>
      </c>
      <c r="O183" s="149"/>
      <c r="P183" s="149"/>
    </row>
    <row r="184" spans="1:16" x14ac:dyDescent="0.2">
      <c r="A184">
        <v>829390</v>
      </c>
      <c r="B184" t="s">
        <v>2206</v>
      </c>
      <c r="C184" t="s">
        <v>2277</v>
      </c>
      <c r="D184">
        <v>20011101</v>
      </c>
      <c r="E184">
        <v>20011129</v>
      </c>
      <c r="F184" t="s">
        <v>2279</v>
      </c>
      <c r="G184" t="s">
        <v>1719</v>
      </c>
      <c r="H184" t="s">
        <v>1578</v>
      </c>
      <c r="I184">
        <v>0</v>
      </c>
      <c r="J184">
        <f t="shared" si="9"/>
        <v>0</v>
      </c>
      <c r="L184" s="160" t="str">
        <f t="shared" si="12"/>
        <v>Y</v>
      </c>
      <c r="M184" s="160">
        <f t="shared" si="10"/>
        <v>0</v>
      </c>
      <c r="N184">
        <f t="shared" si="11"/>
        <v>0</v>
      </c>
      <c r="O184" s="149"/>
      <c r="P184" s="149"/>
    </row>
    <row r="185" spans="1:16" x14ac:dyDescent="0.2">
      <c r="A185">
        <v>833198</v>
      </c>
      <c r="B185" t="s">
        <v>2207</v>
      </c>
      <c r="C185" t="s">
        <v>1749</v>
      </c>
      <c r="D185">
        <v>20011029</v>
      </c>
      <c r="E185">
        <v>20011129</v>
      </c>
      <c r="F185" t="s">
        <v>2279</v>
      </c>
      <c r="G185" t="s">
        <v>1719</v>
      </c>
      <c r="H185" t="s">
        <v>1578</v>
      </c>
      <c r="I185">
        <v>0</v>
      </c>
      <c r="J185">
        <f t="shared" si="9"/>
        <v>177</v>
      </c>
      <c r="L185" s="160" t="str">
        <f t="shared" si="12"/>
        <v>Y</v>
      </c>
      <c r="M185" s="160">
        <f t="shared" si="10"/>
        <v>177</v>
      </c>
      <c r="N185">
        <f t="shared" si="11"/>
        <v>0</v>
      </c>
      <c r="O185" s="149"/>
      <c r="P185" s="149"/>
    </row>
    <row r="186" spans="1:16" x14ac:dyDescent="0.2">
      <c r="A186">
        <v>833482</v>
      </c>
      <c r="B186" t="s">
        <v>2209</v>
      </c>
      <c r="C186" t="s">
        <v>1916</v>
      </c>
      <c r="D186">
        <v>20011102</v>
      </c>
      <c r="E186">
        <v>20011201</v>
      </c>
      <c r="F186" t="s">
        <v>2279</v>
      </c>
      <c r="G186" t="s">
        <v>1719</v>
      </c>
      <c r="H186" t="s">
        <v>1578</v>
      </c>
      <c r="I186">
        <v>0</v>
      </c>
      <c r="J186">
        <f t="shared" si="9"/>
        <v>0</v>
      </c>
      <c r="L186" s="160" t="str">
        <f t="shared" si="12"/>
        <v>Y</v>
      </c>
      <c r="M186" s="160">
        <f t="shared" si="10"/>
        <v>0</v>
      </c>
      <c r="N186">
        <f t="shared" si="11"/>
        <v>0</v>
      </c>
      <c r="O186" s="149"/>
      <c r="P186" s="149"/>
    </row>
    <row r="187" spans="1:16" x14ac:dyDescent="0.2">
      <c r="A187">
        <v>833486</v>
      </c>
      <c r="B187" t="s">
        <v>2210</v>
      </c>
      <c r="C187" t="s">
        <v>1916</v>
      </c>
      <c r="D187">
        <v>20011029</v>
      </c>
      <c r="E187">
        <v>20011127</v>
      </c>
      <c r="F187" t="s">
        <v>2279</v>
      </c>
      <c r="G187" t="s">
        <v>1719</v>
      </c>
      <c r="H187" t="s">
        <v>1578</v>
      </c>
      <c r="I187">
        <v>0</v>
      </c>
      <c r="J187">
        <f t="shared" si="9"/>
        <v>0</v>
      </c>
      <c r="L187" s="160" t="str">
        <f t="shared" si="12"/>
        <v>Y</v>
      </c>
      <c r="M187" s="160">
        <f t="shared" si="10"/>
        <v>0</v>
      </c>
      <c r="N187">
        <f t="shared" si="11"/>
        <v>0</v>
      </c>
      <c r="O187" s="149"/>
      <c r="P187" s="149"/>
    </row>
    <row r="188" spans="1:16" x14ac:dyDescent="0.2">
      <c r="A188">
        <v>833556</v>
      </c>
      <c r="B188" t="s">
        <v>2211</v>
      </c>
      <c r="C188" t="s">
        <v>1750</v>
      </c>
      <c r="D188">
        <v>20011031</v>
      </c>
      <c r="E188">
        <v>20011129</v>
      </c>
      <c r="F188" t="s">
        <v>2279</v>
      </c>
      <c r="G188" t="s">
        <v>1719</v>
      </c>
      <c r="H188" t="s">
        <v>1578</v>
      </c>
      <c r="I188">
        <v>0</v>
      </c>
      <c r="J188">
        <f t="shared" si="9"/>
        <v>0</v>
      </c>
      <c r="L188" s="160" t="str">
        <f t="shared" si="12"/>
        <v>Y</v>
      </c>
      <c r="M188" s="160">
        <f t="shared" si="10"/>
        <v>0</v>
      </c>
      <c r="N188">
        <f t="shared" si="11"/>
        <v>0</v>
      </c>
      <c r="O188" s="149"/>
      <c r="P188" s="149"/>
    </row>
    <row r="189" spans="1:16" x14ac:dyDescent="0.2">
      <c r="A189">
        <v>834263</v>
      </c>
      <c r="B189" t="s">
        <v>2212</v>
      </c>
      <c r="C189" t="s">
        <v>1752</v>
      </c>
      <c r="D189">
        <v>20011030</v>
      </c>
      <c r="E189">
        <v>20011204</v>
      </c>
      <c r="F189" t="s">
        <v>2279</v>
      </c>
      <c r="G189" t="s">
        <v>1719</v>
      </c>
      <c r="H189" t="s">
        <v>1578</v>
      </c>
      <c r="I189">
        <v>0</v>
      </c>
      <c r="J189">
        <f t="shared" si="9"/>
        <v>0</v>
      </c>
      <c r="L189" s="160" t="str">
        <f t="shared" si="12"/>
        <v>Y</v>
      </c>
      <c r="M189" s="160">
        <f t="shared" si="10"/>
        <v>0</v>
      </c>
      <c r="N189">
        <f t="shared" si="11"/>
        <v>0</v>
      </c>
      <c r="O189" s="149"/>
      <c r="P189" s="149"/>
    </row>
    <row r="190" spans="1:16" s="149" customFormat="1" x14ac:dyDescent="0.2">
      <c r="A190">
        <v>834333</v>
      </c>
      <c r="B190" t="s">
        <v>2213</v>
      </c>
      <c r="C190" t="s">
        <v>1917</v>
      </c>
      <c r="D190">
        <v>20011030</v>
      </c>
      <c r="E190">
        <v>20011128</v>
      </c>
      <c r="F190" t="s">
        <v>2279</v>
      </c>
      <c r="G190" t="s">
        <v>1719</v>
      </c>
      <c r="H190" t="s">
        <v>1578</v>
      </c>
      <c r="I190">
        <v>0</v>
      </c>
      <c r="J190">
        <f t="shared" si="9"/>
        <v>0</v>
      </c>
      <c r="L190" s="160" t="str">
        <f t="shared" si="12"/>
        <v>Y</v>
      </c>
      <c r="M190" s="160">
        <f t="shared" si="10"/>
        <v>0</v>
      </c>
      <c r="N190" s="149">
        <f t="shared" si="11"/>
        <v>0</v>
      </c>
    </row>
    <row r="191" spans="1:16" x14ac:dyDescent="0.2">
      <c r="A191">
        <v>834596</v>
      </c>
      <c r="B191" t="s">
        <v>2214</v>
      </c>
      <c r="C191" t="s">
        <v>1753</v>
      </c>
      <c r="D191">
        <v>20011030</v>
      </c>
      <c r="E191">
        <v>20011128</v>
      </c>
      <c r="F191" t="s">
        <v>2279</v>
      </c>
      <c r="G191" t="s">
        <v>1719</v>
      </c>
      <c r="H191" t="s">
        <v>1578</v>
      </c>
      <c r="I191">
        <v>0</v>
      </c>
      <c r="J191">
        <f t="shared" si="9"/>
        <v>0</v>
      </c>
      <c r="L191" s="160" t="str">
        <f t="shared" si="12"/>
        <v>Y</v>
      </c>
      <c r="M191" s="160">
        <f t="shared" si="10"/>
        <v>0</v>
      </c>
      <c r="N191">
        <f t="shared" si="11"/>
        <v>0</v>
      </c>
      <c r="O191" s="149"/>
      <c r="P191" s="149"/>
    </row>
    <row r="192" spans="1:16" x14ac:dyDescent="0.2">
      <c r="A192">
        <v>834662</v>
      </c>
      <c r="B192" t="s">
        <v>2215</v>
      </c>
      <c r="C192" t="s">
        <v>2224</v>
      </c>
      <c r="D192">
        <v>20011029</v>
      </c>
      <c r="E192">
        <v>20011127</v>
      </c>
      <c r="F192" t="s">
        <v>2279</v>
      </c>
      <c r="G192" t="s">
        <v>1719</v>
      </c>
      <c r="H192" t="s">
        <v>1578</v>
      </c>
      <c r="I192">
        <v>0</v>
      </c>
      <c r="J192">
        <f t="shared" si="9"/>
        <v>0</v>
      </c>
      <c r="L192" s="160" t="str">
        <f t="shared" si="12"/>
        <v>Y</v>
      </c>
      <c r="M192" s="160">
        <f t="shared" si="10"/>
        <v>0</v>
      </c>
      <c r="N192">
        <f t="shared" si="11"/>
        <v>0</v>
      </c>
      <c r="O192" s="149"/>
      <c r="P192" s="149"/>
    </row>
    <row r="193" spans="1:16" x14ac:dyDescent="0.2">
      <c r="A193">
        <v>834809</v>
      </c>
      <c r="B193" t="s">
        <v>2218</v>
      </c>
      <c r="C193" t="s">
        <v>1753</v>
      </c>
      <c r="D193">
        <v>20011030</v>
      </c>
      <c r="E193">
        <v>20011128</v>
      </c>
      <c r="F193" t="s">
        <v>2279</v>
      </c>
      <c r="G193" t="s">
        <v>1719</v>
      </c>
      <c r="H193" t="s">
        <v>1578</v>
      </c>
      <c r="I193">
        <v>0</v>
      </c>
      <c r="J193">
        <f t="shared" si="9"/>
        <v>0</v>
      </c>
      <c r="L193" s="160" t="str">
        <f t="shared" si="12"/>
        <v>Y</v>
      </c>
      <c r="M193" s="160">
        <f t="shared" ref="M193:M205" si="13">IF(ISNA(VLOOKUP(A193,InCGAS,1,FALSE)),"na",VLOOKUP(A193,InCGAS,9,FALSE))</f>
        <v>0</v>
      </c>
      <c r="N193">
        <f t="shared" ref="N193:N205" si="14">+J193-M193</f>
        <v>0</v>
      </c>
      <c r="O193" s="149"/>
      <c r="P193" s="149"/>
    </row>
    <row r="194" spans="1:16" x14ac:dyDescent="0.2">
      <c r="A194">
        <v>835035</v>
      </c>
      <c r="B194" t="s">
        <v>2219</v>
      </c>
      <c r="C194" t="s">
        <v>1753</v>
      </c>
      <c r="D194">
        <v>20011029</v>
      </c>
      <c r="E194">
        <v>20011127</v>
      </c>
      <c r="F194" t="s">
        <v>2279</v>
      </c>
      <c r="G194" t="s">
        <v>1719</v>
      </c>
      <c r="H194" t="s">
        <v>1578</v>
      </c>
      <c r="I194">
        <v>0</v>
      </c>
      <c r="J194">
        <f t="shared" si="9"/>
        <v>0</v>
      </c>
      <c r="L194" s="160" t="str">
        <f t="shared" si="12"/>
        <v>Y</v>
      </c>
      <c r="M194" s="160">
        <f t="shared" si="13"/>
        <v>0</v>
      </c>
      <c r="N194">
        <f t="shared" si="14"/>
        <v>0</v>
      </c>
      <c r="O194" s="149"/>
      <c r="P194" s="149"/>
    </row>
    <row r="195" spans="1:16" x14ac:dyDescent="0.2">
      <c r="A195">
        <v>835043</v>
      </c>
      <c r="B195" t="s">
        <v>2220</v>
      </c>
      <c r="C195" t="s">
        <v>1918</v>
      </c>
      <c r="D195">
        <v>20011105</v>
      </c>
      <c r="E195">
        <v>20011205</v>
      </c>
      <c r="F195" t="s">
        <v>2279</v>
      </c>
      <c r="G195" t="s">
        <v>1719</v>
      </c>
      <c r="H195" t="s">
        <v>1578</v>
      </c>
      <c r="I195">
        <v>0</v>
      </c>
      <c r="J195">
        <f t="shared" si="9"/>
        <v>0</v>
      </c>
      <c r="L195" s="160" t="str">
        <f t="shared" si="12"/>
        <v>Y</v>
      </c>
      <c r="M195" s="160">
        <f t="shared" si="13"/>
        <v>0</v>
      </c>
      <c r="N195">
        <f t="shared" si="14"/>
        <v>0</v>
      </c>
      <c r="O195" s="149"/>
      <c r="P195" s="149"/>
    </row>
    <row r="196" spans="1:16" x14ac:dyDescent="0.2">
      <c r="A196">
        <v>835064</v>
      </c>
      <c r="B196" t="s">
        <v>2221</v>
      </c>
      <c r="C196" t="s">
        <v>1919</v>
      </c>
      <c r="D196">
        <v>20011030</v>
      </c>
      <c r="E196">
        <v>20011128</v>
      </c>
      <c r="F196" t="s">
        <v>2279</v>
      </c>
      <c r="G196" t="s">
        <v>1719</v>
      </c>
      <c r="H196" t="s">
        <v>1578</v>
      </c>
      <c r="I196">
        <v>0</v>
      </c>
      <c r="J196">
        <f t="shared" si="9"/>
        <v>0</v>
      </c>
      <c r="L196" s="160" t="str">
        <f t="shared" si="12"/>
        <v>Y</v>
      </c>
      <c r="M196" s="160">
        <f t="shared" si="13"/>
        <v>0</v>
      </c>
      <c r="N196">
        <f t="shared" si="14"/>
        <v>0</v>
      </c>
      <c r="O196" s="149"/>
      <c r="P196" s="149"/>
    </row>
    <row r="197" spans="1:16" x14ac:dyDescent="0.2">
      <c r="A197">
        <v>835068</v>
      </c>
      <c r="B197" t="s">
        <v>2222</v>
      </c>
      <c r="C197" t="s">
        <v>1920</v>
      </c>
      <c r="D197">
        <v>20011030</v>
      </c>
      <c r="E197">
        <v>20011129</v>
      </c>
      <c r="F197" t="s">
        <v>2279</v>
      </c>
      <c r="G197" t="s">
        <v>1719</v>
      </c>
      <c r="H197" t="s">
        <v>1578</v>
      </c>
      <c r="I197">
        <v>0</v>
      </c>
      <c r="J197">
        <f t="shared" ref="J197:J205" si="15">IF(ISNA(VLOOKUP(A197,cgasx,5,FALSE)),0,(VLOOKUP(A197,cgasx,5,FALSE)))</f>
        <v>0</v>
      </c>
      <c r="L197" s="160" t="str">
        <f t="shared" si="12"/>
        <v>Y</v>
      </c>
      <c r="M197" s="160">
        <f t="shared" si="13"/>
        <v>0</v>
      </c>
      <c r="N197">
        <f t="shared" si="14"/>
        <v>0</v>
      </c>
      <c r="O197" s="149"/>
      <c r="P197" s="149"/>
    </row>
    <row r="198" spans="1:16" x14ac:dyDescent="0.2">
      <c r="A198">
        <v>835124</v>
      </c>
      <c r="B198" t="s">
        <v>2223</v>
      </c>
      <c r="C198" t="s">
        <v>2278</v>
      </c>
      <c r="D198">
        <v>20011105</v>
      </c>
      <c r="E198">
        <v>20011205</v>
      </c>
      <c r="F198" t="s">
        <v>2279</v>
      </c>
      <c r="G198" t="s">
        <v>1719</v>
      </c>
      <c r="H198" t="s">
        <v>1578</v>
      </c>
      <c r="I198">
        <v>0</v>
      </c>
      <c r="J198">
        <f t="shared" si="15"/>
        <v>0</v>
      </c>
      <c r="L198" s="160" t="str">
        <f t="shared" si="12"/>
        <v>Y</v>
      </c>
      <c r="M198" s="160">
        <f t="shared" si="13"/>
        <v>0</v>
      </c>
      <c r="N198">
        <f t="shared" si="14"/>
        <v>0</v>
      </c>
      <c r="O198" s="149"/>
      <c r="P198" s="149"/>
    </row>
    <row r="199" spans="1:16" x14ac:dyDescent="0.2">
      <c r="A199">
        <v>835567</v>
      </c>
      <c r="B199" t="s">
        <v>2224</v>
      </c>
      <c r="C199" t="s">
        <v>2224</v>
      </c>
      <c r="D199">
        <v>20011029</v>
      </c>
      <c r="E199">
        <v>20011127</v>
      </c>
      <c r="F199" t="s">
        <v>2279</v>
      </c>
      <c r="G199" t="s">
        <v>1719</v>
      </c>
      <c r="H199" t="s">
        <v>1578</v>
      </c>
      <c r="I199">
        <v>0</v>
      </c>
      <c r="J199">
        <f t="shared" si="15"/>
        <v>0</v>
      </c>
      <c r="L199" s="160" t="str">
        <f t="shared" si="12"/>
        <v>Y</v>
      </c>
      <c r="M199" s="160">
        <f t="shared" si="13"/>
        <v>0</v>
      </c>
      <c r="N199">
        <f t="shared" si="14"/>
        <v>0</v>
      </c>
      <c r="O199" s="149"/>
      <c r="P199" s="149"/>
    </row>
    <row r="200" spans="1:16" x14ac:dyDescent="0.2">
      <c r="A200">
        <v>835656</v>
      </c>
      <c r="B200" t="s">
        <v>2225</v>
      </c>
      <c r="C200" t="s">
        <v>1920</v>
      </c>
      <c r="D200">
        <v>20011030</v>
      </c>
      <c r="E200">
        <v>20011129</v>
      </c>
      <c r="F200" t="s">
        <v>2279</v>
      </c>
      <c r="G200" t="s">
        <v>1719</v>
      </c>
      <c r="H200" t="s">
        <v>1578</v>
      </c>
      <c r="I200">
        <v>0</v>
      </c>
      <c r="J200">
        <f t="shared" si="15"/>
        <v>0</v>
      </c>
      <c r="L200" s="160" t="str">
        <f t="shared" si="12"/>
        <v>Y</v>
      </c>
      <c r="M200" s="160">
        <f t="shared" si="13"/>
        <v>0</v>
      </c>
      <c r="N200">
        <f t="shared" si="14"/>
        <v>0</v>
      </c>
      <c r="O200" s="149"/>
      <c r="P200" s="149"/>
    </row>
    <row r="201" spans="1:16" x14ac:dyDescent="0.2">
      <c r="A201">
        <v>835712</v>
      </c>
      <c r="B201" t="s">
        <v>2226</v>
      </c>
      <c r="C201" t="s">
        <v>1921</v>
      </c>
      <c r="D201">
        <v>20011105</v>
      </c>
      <c r="E201">
        <v>20011204</v>
      </c>
      <c r="F201" t="s">
        <v>2279</v>
      </c>
      <c r="G201" t="s">
        <v>1719</v>
      </c>
      <c r="H201" t="s">
        <v>1578</v>
      </c>
      <c r="I201">
        <v>0</v>
      </c>
      <c r="J201">
        <f t="shared" si="15"/>
        <v>0</v>
      </c>
      <c r="L201" s="160" t="str">
        <f t="shared" si="12"/>
        <v>Y</v>
      </c>
      <c r="M201" s="160">
        <f t="shared" si="13"/>
        <v>0</v>
      </c>
      <c r="N201">
        <f t="shared" si="14"/>
        <v>0</v>
      </c>
      <c r="O201" s="149"/>
      <c r="P201" s="149"/>
    </row>
    <row r="202" spans="1:16" s="149" customFormat="1" x14ac:dyDescent="0.2">
      <c r="A202">
        <v>835717</v>
      </c>
      <c r="B202" t="s">
        <v>2227</v>
      </c>
      <c r="C202" t="s">
        <v>2224</v>
      </c>
      <c r="D202">
        <v>20011029</v>
      </c>
      <c r="E202">
        <v>20011127</v>
      </c>
      <c r="F202" t="s">
        <v>2279</v>
      </c>
      <c r="G202" t="s">
        <v>1719</v>
      </c>
      <c r="H202" t="s">
        <v>1578</v>
      </c>
      <c r="I202">
        <v>0</v>
      </c>
      <c r="J202">
        <f t="shared" si="15"/>
        <v>0</v>
      </c>
      <c r="L202" s="160" t="str">
        <f t="shared" si="12"/>
        <v>Y</v>
      </c>
      <c r="M202" s="160">
        <f t="shared" si="13"/>
        <v>0</v>
      </c>
      <c r="N202" s="149">
        <f t="shared" si="14"/>
        <v>0</v>
      </c>
    </row>
    <row r="203" spans="1:16" x14ac:dyDescent="0.2">
      <c r="A203">
        <v>835802</v>
      </c>
      <c r="B203" t="s">
        <v>2228</v>
      </c>
      <c r="C203" t="s">
        <v>1919</v>
      </c>
      <c r="D203">
        <v>20011101</v>
      </c>
      <c r="E203">
        <v>20011203</v>
      </c>
      <c r="F203" t="s">
        <v>2279</v>
      </c>
      <c r="G203" t="s">
        <v>1719</v>
      </c>
      <c r="H203" t="s">
        <v>1578</v>
      </c>
      <c r="I203">
        <v>0</v>
      </c>
      <c r="J203">
        <f t="shared" si="15"/>
        <v>0</v>
      </c>
      <c r="L203" s="160" t="str">
        <f t="shared" si="12"/>
        <v>Y</v>
      </c>
      <c r="M203" s="160">
        <f t="shared" si="13"/>
        <v>0</v>
      </c>
      <c r="N203">
        <f t="shared" si="14"/>
        <v>0</v>
      </c>
      <c r="O203" s="149"/>
      <c r="P203" s="149"/>
    </row>
    <row r="204" spans="1:16" x14ac:dyDescent="0.2">
      <c r="A204">
        <v>835864</v>
      </c>
      <c r="B204" t="s">
        <v>2229</v>
      </c>
      <c r="C204" t="s">
        <v>1922</v>
      </c>
      <c r="D204">
        <v>20011130</v>
      </c>
      <c r="E204">
        <v>20011201</v>
      </c>
      <c r="F204" t="s">
        <v>2279</v>
      </c>
      <c r="G204" t="s">
        <v>1719</v>
      </c>
      <c r="H204" t="s">
        <v>1578</v>
      </c>
      <c r="I204">
        <v>0</v>
      </c>
      <c r="J204">
        <f t="shared" si="15"/>
        <v>0</v>
      </c>
      <c r="L204" s="160" t="str">
        <f t="shared" si="12"/>
        <v>Y</v>
      </c>
      <c r="M204" s="160">
        <f t="shared" si="13"/>
        <v>0</v>
      </c>
      <c r="N204">
        <f t="shared" si="14"/>
        <v>0</v>
      </c>
      <c r="O204" s="149"/>
      <c r="P204" s="149"/>
    </row>
    <row r="205" spans="1:16" x14ac:dyDescent="0.2">
      <c r="A205">
        <v>836633</v>
      </c>
      <c r="B205" t="s">
        <v>254</v>
      </c>
      <c r="C205" t="s">
        <v>1753</v>
      </c>
      <c r="D205">
        <v>20011105</v>
      </c>
      <c r="E205">
        <v>20011205</v>
      </c>
      <c r="F205" t="s">
        <v>2279</v>
      </c>
      <c r="G205" t="s">
        <v>1719</v>
      </c>
      <c r="H205" t="s">
        <v>1578</v>
      </c>
      <c r="I205">
        <v>0</v>
      </c>
      <c r="J205">
        <f t="shared" si="15"/>
        <v>0</v>
      </c>
      <c r="L205" s="160" t="str">
        <f>IF(ISNA(VLOOKUP(A205,InCGAS,1,FALSE)),"--", "Y")</f>
        <v>Y</v>
      </c>
      <c r="M205" s="160">
        <f t="shared" si="13"/>
        <v>0</v>
      </c>
      <c r="N205">
        <f t="shared" si="14"/>
        <v>0</v>
      </c>
      <c r="O205" s="149"/>
      <c r="P205" s="149"/>
    </row>
    <row r="206" spans="1:16" x14ac:dyDescent="0.2">
      <c r="A206"/>
      <c r="B206"/>
      <c r="C206"/>
      <c r="D206"/>
      <c r="E206"/>
      <c r="F206"/>
      <c r="G206"/>
      <c r="H206"/>
      <c r="I206"/>
      <c r="J206">
        <f>SUM(J4:J205)</f>
        <v>18425</v>
      </c>
      <c r="M206">
        <f>SUM(M4:M205)</f>
        <v>18425</v>
      </c>
      <c r="N206">
        <f>SUM(N4:N205)</f>
        <v>0</v>
      </c>
    </row>
    <row r="207" spans="1:16" x14ac:dyDescent="0.2">
      <c r="A207"/>
      <c r="B207"/>
      <c r="C207"/>
      <c r="D207"/>
      <c r="E207"/>
      <c r="F207"/>
      <c r="G207"/>
      <c r="H207"/>
      <c r="I207"/>
    </row>
    <row r="208" spans="1:16" x14ac:dyDescent="0.2">
      <c r="A208"/>
      <c r="B208"/>
      <c r="C208"/>
      <c r="D208"/>
      <c r="E208"/>
      <c r="F208"/>
      <c r="G208"/>
      <c r="H208"/>
      <c r="I208"/>
    </row>
    <row r="209" spans="1:9" x14ac:dyDescent="0.2">
      <c r="A209"/>
      <c r="B209"/>
      <c r="C209"/>
      <c r="D209"/>
      <c r="E209"/>
      <c r="F209"/>
      <c r="G209"/>
      <c r="H209"/>
      <c r="I209"/>
    </row>
    <row r="210" spans="1:9" x14ac:dyDescent="0.2">
      <c r="A210"/>
      <c r="B210"/>
      <c r="C210"/>
      <c r="D210"/>
      <c r="E210"/>
      <c r="F210"/>
      <c r="G210"/>
      <c r="H210"/>
      <c r="I210"/>
    </row>
    <row r="211" spans="1:9" x14ac:dyDescent="0.2">
      <c r="A211"/>
      <c r="B211"/>
      <c r="C211"/>
      <c r="D211"/>
      <c r="E211"/>
      <c r="F211"/>
      <c r="G211"/>
      <c r="H211"/>
      <c r="I211"/>
    </row>
    <row r="212" spans="1:9" x14ac:dyDescent="0.2">
      <c r="A212"/>
      <c r="B212"/>
      <c r="C212"/>
      <c r="D212"/>
      <c r="E212"/>
      <c r="F212"/>
      <c r="G212"/>
      <c r="H212"/>
      <c r="I212"/>
    </row>
    <row r="213" spans="1:9" x14ac:dyDescent="0.2">
      <c r="A213"/>
      <c r="B213"/>
      <c r="C213"/>
      <c r="D213"/>
      <c r="E213"/>
      <c r="F213"/>
      <c r="G213"/>
      <c r="H213"/>
      <c r="I213"/>
    </row>
    <row r="214" spans="1:9" x14ac:dyDescent="0.2">
      <c r="A214"/>
      <c r="B214"/>
      <c r="C214"/>
      <c r="D214"/>
      <c r="E214"/>
      <c r="F214"/>
      <c r="G214"/>
      <c r="H214"/>
      <c r="I214"/>
    </row>
  </sheetData>
  <phoneticPr fontId="0" type="noConversion"/>
  <pageMargins left="0" right="0" top="0.5" bottom="0.5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F613"/>
  <sheetViews>
    <sheetView tabSelected="1" zoomScale="85" workbookViewId="0">
      <pane ySplit="6" topLeftCell="A98" activePane="bottomLeft" state="frozen"/>
      <selection pane="bottomLeft" activeCell="R106" sqref="R106:R107"/>
    </sheetView>
  </sheetViews>
  <sheetFormatPr defaultColWidth="11" defaultRowHeight="15" customHeight="1" x14ac:dyDescent="0.15"/>
  <cols>
    <col min="1" max="1" width="8.85546875" style="69" customWidth="1"/>
    <col min="2" max="2" width="8.140625" style="639" customWidth="1"/>
    <col min="3" max="3" width="15.85546875" style="31" customWidth="1"/>
    <col min="4" max="4" width="6.85546875" style="70" customWidth="1"/>
    <col min="5" max="5" width="8.42578125" style="70" customWidth="1"/>
    <col min="6" max="6" width="2.7109375" style="69" customWidth="1"/>
    <col min="7" max="7" width="12.140625" style="69" customWidth="1"/>
    <col min="8" max="8" width="7.7109375" style="31" bestFit="1" customWidth="1"/>
    <col min="9" max="9" width="7.85546875" style="31" customWidth="1"/>
    <col min="10" max="10" width="9.5703125" style="104" bestFit="1" customWidth="1"/>
    <col min="11" max="11" width="4.28515625" style="104" customWidth="1"/>
    <col min="12" max="12" width="5.28515625" style="109" bestFit="1" customWidth="1"/>
    <col min="13" max="13" width="5.42578125" style="109" bestFit="1" customWidth="1"/>
    <col min="14" max="14" width="8.28515625" style="104" bestFit="1" customWidth="1"/>
    <col min="15" max="15" width="11.85546875" style="30" hidden="1" customWidth="1"/>
    <col min="16" max="16" width="7.140625" style="168" customWidth="1"/>
    <col min="17" max="17" width="12.140625" style="168" bestFit="1" customWidth="1"/>
    <col min="18" max="18" width="12.140625" style="210" bestFit="1" customWidth="1"/>
    <col min="19" max="19" width="10.42578125" style="31" bestFit="1" customWidth="1"/>
    <col min="20" max="20" width="12.140625" style="31" bestFit="1" customWidth="1"/>
    <col min="21" max="21" width="11" style="31"/>
    <col min="22" max="16384" width="11" style="30"/>
  </cols>
  <sheetData>
    <row r="1" spans="1:32" s="123" customFormat="1" ht="15" customHeight="1" x14ac:dyDescent="0.2">
      <c r="A1" s="119" t="s">
        <v>1473</v>
      </c>
      <c r="B1" s="633"/>
      <c r="C1" s="121"/>
      <c r="D1" s="122"/>
      <c r="E1" s="122"/>
      <c r="F1" s="120"/>
      <c r="G1" s="120"/>
      <c r="H1" s="121"/>
      <c r="I1" s="121"/>
      <c r="J1" s="126"/>
      <c r="K1" s="126"/>
      <c r="L1" s="127"/>
      <c r="M1" s="127"/>
      <c r="N1" s="126"/>
      <c r="O1" s="121"/>
      <c r="P1" s="161"/>
      <c r="Q1" s="161"/>
      <c r="R1" s="161"/>
      <c r="S1" s="121"/>
      <c r="T1" s="121"/>
      <c r="U1" s="121"/>
    </row>
    <row r="2" spans="1:32" s="123" customFormat="1" ht="15" customHeight="1" x14ac:dyDescent="0.2">
      <c r="A2" s="119" t="s">
        <v>1458</v>
      </c>
      <c r="B2" s="633"/>
      <c r="C2" s="121"/>
      <c r="D2" s="122"/>
      <c r="E2" s="122"/>
      <c r="F2" s="120"/>
      <c r="G2" s="120"/>
      <c r="H2" s="121"/>
      <c r="I2" s="121"/>
      <c r="J2" s="126"/>
      <c r="K2" s="126"/>
      <c r="L2" s="127"/>
      <c r="M2" s="127"/>
      <c r="N2" s="126"/>
      <c r="O2" s="121"/>
      <c r="P2" s="161"/>
      <c r="Q2" s="161"/>
      <c r="R2" s="161"/>
      <c r="S2" s="121"/>
      <c r="T2" s="121"/>
      <c r="U2" s="121"/>
    </row>
    <row r="3" spans="1:32" ht="15" customHeight="1" thickBot="1" x14ac:dyDescent="0.25">
      <c r="A3" s="24" t="s">
        <v>1402</v>
      </c>
      <c r="B3" s="24"/>
      <c r="C3" s="25"/>
      <c r="D3" s="26"/>
      <c r="E3" s="26"/>
      <c r="F3" s="27"/>
      <c r="G3" s="28"/>
      <c r="H3" s="29"/>
      <c r="I3" s="29"/>
      <c r="J3" s="36"/>
      <c r="K3" s="214"/>
      <c r="L3" s="105"/>
      <c r="M3" s="105" t="s">
        <v>1403</v>
      </c>
      <c r="N3" s="99" t="s">
        <v>1403</v>
      </c>
      <c r="O3" s="29" t="s">
        <v>1403</v>
      </c>
      <c r="P3" s="162"/>
      <c r="Q3" s="162" t="s">
        <v>1403</v>
      </c>
      <c r="R3" s="162" t="s">
        <v>1403</v>
      </c>
      <c r="S3" s="162" t="s">
        <v>1403</v>
      </c>
      <c r="T3" s="162" t="s">
        <v>1403</v>
      </c>
    </row>
    <row r="4" spans="1:32" ht="15" customHeight="1" x14ac:dyDescent="0.2">
      <c r="A4" s="32">
        <f ca="1">NOW()</f>
        <v>41885.600139467591</v>
      </c>
      <c r="B4" s="468" t="s">
        <v>1687</v>
      </c>
      <c r="C4" s="124"/>
      <c r="D4" s="124"/>
      <c r="E4" s="124"/>
      <c r="F4" s="124"/>
      <c r="G4" s="28"/>
      <c r="H4" s="29"/>
      <c r="I4" s="29" t="s">
        <v>1404</v>
      </c>
      <c r="J4" s="946">
        <v>2.11</v>
      </c>
      <c r="K4" s="118"/>
      <c r="L4" s="105" t="s">
        <v>1405</v>
      </c>
      <c r="M4" s="105" t="s">
        <v>1405</v>
      </c>
      <c r="N4" s="99" t="s">
        <v>1406</v>
      </c>
      <c r="O4" s="29" t="s">
        <v>1405</v>
      </c>
      <c r="P4" s="162"/>
      <c r="Q4" s="162" t="s">
        <v>1509</v>
      </c>
      <c r="R4" s="162" t="s">
        <v>1509</v>
      </c>
      <c r="S4" s="162" t="s">
        <v>172</v>
      </c>
      <c r="T4" s="162" t="s">
        <v>1509</v>
      </c>
      <c r="U4"/>
      <c r="V4"/>
      <c r="W4"/>
      <c r="X4"/>
      <c r="Y4"/>
      <c r="Z4"/>
      <c r="AA4"/>
      <c r="AB4"/>
      <c r="AC4"/>
      <c r="AD4"/>
      <c r="AE4"/>
      <c r="AF4"/>
    </row>
    <row r="5" spans="1:32" ht="15" customHeight="1" x14ac:dyDescent="0.2">
      <c r="A5" s="34"/>
      <c r="B5" s="634"/>
      <c r="C5" s="25"/>
      <c r="D5" s="26"/>
      <c r="E5" s="26"/>
      <c r="F5" s="27"/>
      <c r="G5" s="33"/>
      <c r="H5" s="29"/>
      <c r="I5" s="29" t="s">
        <v>1428</v>
      </c>
      <c r="J5" s="946">
        <v>2.14</v>
      </c>
      <c r="K5" s="118"/>
      <c r="L5" s="105" t="s">
        <v>1407</v>
      </c>
      <c r="M5" s="105" t="s">
        <v>1408</v>
      </c>
      <c r="N5" s="110" t="s">
        <v>1409</v>
      </c>
      <c r="O5" s="35" t="s">
        <v>1410</v>
      </c>
      <c r="P5" s="460" t="s">
        <v>2309</v>
      </c>
      <c r="Q5" s="163" t="s">
        <v>1510</v>
      </c>
      <c r="R5" s="163" t="s">
        <v>1510</v>
      </c>
      <c r="S5" s="163" t="s">
        <v>616</v>
      </c>
      <c r="T5" s="163" t="s">
        <v>1510</v>
      </c>
      <c r="U5"/>
      <c r="V5"/>
      <c r="W5"/>
      <c r="X5"/>
      <c r="Y5"/>
      <c r="Z5"/>
      <c r="AA5"/>
      <c r="AB5"/>
      <c r="AC5"/>
      <c r="AD5"/>
      <c r="AE5"/>
      <c r="AF5"/>
    </row>
    <row r="6" spans="1:32" s="37" customFormat="1" ht="14.25" customHeight="1" x14ac:dyDescent="0.2">
      <c r="A6" s="128" t="s">
        <v>1411</v>
      </c>
      <c r="B6" s="635" t="s">
        <v>1412</v>
      </c>
      <c r="C6" s="129" t="s">
        <v>1413</v>
      </c>
      <c r="D6" s="130" t="s">
        <v>1414</v>
      </c>
      <c r="E6" s="129" t="s">
        <v>1430</v>
      </c>
      <c r="F6" s="129" t="s">
        <v>1415</v>
      </c>
      <c r="G6" s="129" t="s">
        <v>1406</v>
      </c>
      <c r="H6" s="131" t="s">
        <v>1416</v>
      </c>
      <c r="I6" s="131" t="s">
        <v>1417</v>
      </c>
      <c r="J6" s="192">
        <v>37258</v>
      </c>
      <c r="K6" s="192"/>
      <c r="L6" s="132"/>
      <c r="M6" s="132"/>
      <c r="N6" s="193"/>
      <c r="O6" s="132"/>
      <c r="P6" s="460" t="s">
        <v>2310</v>
      </c>
      <c r="Q6" s="460"/>
      <c r="R6" s="460" t="s">
        <v>2308</v>
      </c>
      <c r="S6" s="163" t="s">
        <v>1510</v>
      </c>
      <c r="T6" s="460" t="s">
        <v>173</v>
      </c>
      <c r="U6"/>
      <c r="V6"/>
      <c r="W6"/>
      <c r="X6"/>
      <c r="Y6"/>
      <c r="Z6"/>
      <c r="AA6"/>
      <c r="AB6"/>
      <c r="AC6"/>
      <c r="AD6"/>
      <c r="AE6"/>
      <c r="AF6"/>
    </row>
    <row r="7" spans="1:32" s="42" customFormat="1" ht="15" customHeight="1" x14ac:dyDescent="0.2">
      <c r="A7" s="285">
        <v>719053</v>
      </c>
      <c r="B7" s="143" t="str">
        <f t="shared" ref="B7:B182" si="0">IF(ISNA(VLOOKUP(A7,cgas9910,3,FALSE)),"na",VLOOKUP(A7,cgas9910,3,FALSE))</f>
        <v>na</v>
      </c>
      <c r="C7" s="286" t="s">
        <v>257</v>
      </c>
      <c r="D7" s="286"/>
      <c r="E7" s="38">
        <v>61053</v>
      </c>
      <c r="F7" s="285" t="s">
        <v>258</v>
      </c>
      <c r="G7" s="285" t="s">
        <v>259</v>
      </c>
      <c r="H7" s="17" t="str">
        <f t="shared" ref="H7:H36" si="1">IF(ISNA(VLOOKUP(A7,cgas9910,9,FALSE)),"na",VLOOKUP(A7,cgas9910,9,FALSE))</f>
        <v>na</v>
      </c>
      <c r="I7" s="17">
        <f t="shared" ref="I7:I36" si="2">IF(ISNA(VLOOKUP(A7,cgas9910,10,FALSE)),0,(VLOOKUP(A7,cgas9910,10,FALSE)))</f>
        <v>0</v>
      </c>
      <c r="J7" s="287">
        <f>$J$5-0.08</f>
        <v>2.06</v>
      </c>
      <c r="K7" s="17">
        <f t="shared" ref="K7:K36" si="3">IF(ISNA(VLOOKUP(A7,cgas9910,7,FALSE)),0,(VLOOKUP(A7,cgas9910,7,FALSE)))</f>
        <v>0</v>
      </c>
      <c r="L7" s="17">
        <f t="shared" ref="L7:L21" si="4">IF(K7="N",0,0.27)</f>
        <v>0.27</v>
      </c>
      <c r="M7" s="288">
        <v>0</v>
      </c>
      <c r="N7" s="117">
        <f t="shared" ref="N7:N36" si="5">J7-L7-M7</f>
        <v>1.79</v>
      </c>
      <c r="O7" s="289" t="e">
        <f t="shared" ref="O7:O36" si="6">+H7*0.001</f>
        <v>#VALUE!</v>
      </c>
      <c r="P7" s="211">
        <f t="shared" ref="P7:P71" si="7">IF(AND(A7&gt;700000,A7&lt;800000),+I7*0.001,0)</f>
        <v>0</v>
      </c>
      <c r="Q7" s="290">
        <f t="shared" ref="Q7:Q36" si="8">+N7*I7</f>
        <v>0</v>
      </c>
      <c r="R7" s="209">
        <f t="shared" ref="R7:R36" si="9">+(I7*N7)-P7</f>
        <v>0</v>
      </c>
      <c r="S7" s="41"/>
      <c r="T7" s="41"/>
      <c r="U7" s="108"/>
      <c r="V7" s="108"/>
      <c r="W7"/>
      <c r="X7"/>
      <c r="Y7"/>
      <c r="Z7"/>
      <c r="AA7"/>
      <c r="AB7"/>
      <c r="AC7"/>
      <c r="AD7"/>
      <c r="AE7"/>
      <c r="AF7"/>
    </row>
    <row r="8" spans="1:32" s="42" customFormat="1" ht="15" customHeight="1" x14ac:dyDescent="0.2">
      <c r="A8" s="285">
        <v>827548</v>
      </c>
      <c r="B8" s="143" t="str">
        <f t="shared" si="0"/>
        <v>ALLIANCE RESOUR</v>
      </c>
      <c r="C8" s="291" t="s">
        <v>260</v>
      </c>
      <c r="D8" s="291"/>
      <c r="E8" s="292" t="s">
        <v>261</v>
      </c>
      <c r="F8" s="285" t="s">
        <v>262</v>
      </c>
      <c r="G8" s="39" t="s">
        <v>1549</v>
      </c>
      <c r="H8" s="17">
        <f t="shared" si="1"/>
        <v>0</v>
      </c>
      <c r="I8" s="17">
        <f t="shared" si="2"/>
        <v>0</v>
      </c>
      <c r="J8" s="100">
        <f>$J$5-0.01</f>
        <v>2.1300000000000003</v>
      </c>
      <c r="K8" s="17" t="str">
        <f t="shared" si="3"/>
        <v>N</v>
      </c>
      <c r="L8" s="17">
        <f t="shared" si="4"/>
        <v>0</v>
      </c>
      <c r="M8" s="288">
        <v>0.03</v>
      </c>
      <c r="N8" s="117">
        <f t="shared" si="5"/>
        <v>2.1000000000000005</v>
      </c>
      <c r="O8" s="289">
        <f t="shared" si="6"/>
        <v>0</v>
      </c>
      <c r="P8" s="211">
        <f t="shared" si="7"/>
        <v>0</v>
      </c>
      <c r="Q8" s="290">
        <f t="shared" si="8"/>
        <v>0</v>
      </c>
      <c r="R8" s="209">
        <f t="shared" si="9"/>
        <v>0</v>
      </c>
      <c r="S8" s="48"/>
      <c r="T8" s="48"/>
      <c r="U8" s="108"/>
      <c r="V8" s="108"/>
      <c r="W8"/>
      <c r="X8"/>
      <c r="Y8"/>
      <c r="Z8"/>
      <c r="AA8"/>
      <c r="AB8"/>
      <c r="AC8"/>
      <c r="AD8"/>
      <c r="AE8"/>
      <c r="AF8"/>
    </row>
    <row r="9" spans="1:32" s="42" customFormat="1" ht="15" customHeight="1" x14ac:dyDescent="0.2">
      <c r="A9" s="224">
        <v>622471</v>
      </c>
      <c r="B9" s="143" t="str">
        <f t="shared" si="0"/>
        <v>ALPHA WELLS</v>
      </c>
      <c r="C9" s="6" t="s">
        <v>1867</v>
      </c>
      <c r="D9" s="38"/>
      <c r="E9" s="144">
        <v>141839</v>
      </c>
      <c r="F9" s="39"/>
      <c r="G9" s="578" t="s">
        <v>1427</v>
      </c>
      <c r="H9" s="17">
        <f t="shared" si="1"/>
        <v>0</v>
      </c>
      <c r="I9" s="17">
        <f t="shared" si="2"/>
        <v>424</v>
      </c>
      <c r="J9" s="100">
        <f>$J$5*0.98</f>
        <v>2.0972</v>
      </c>
      <c r="K9" s="17" t="str">
        <f t="shared" si="3"/>
        <v>I</v>
      </c>
      <c r="L9" s="17">
        <f t="shared" si="4"/>
        <v>0.27</v>
      </c>
      <c r="M9" s="106">
        <v>0</v>
      </c>
      <c r="N9" s="117">
        <f t="shared" si="5"/>
        <v>1.8271999999999999</v>
      </c>
      <c r="O9" s="40">
        <f t="shared" si="6"/>
        <v>0</v>
      </c>
      <c r="P9" s="211">
        <f t="shared" si="7"/>
        <v>0</v>
      </c>
      <c r="Q9" s="164">
        <f t="shared" si="8"/>
        <v>774.7328</v>
      </c>
      <c r="R9" s="209">
        <f t="shared" si="9"/>
        <v>774.7328</v>
      </c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s="42" customFormat="1" ht="15" customHeight="1" x14ac:dyDescent="0.2">
      <c r="A10" s="293">
        <v>620136</v>
      </c>
      <c r="B10" s="143" t="str">
        <f t="shared" si="0"/>
        <v>na</v>
      </c>
      <c r="C10" s="286" t="s">
        <v>263</v>
      </c>
      <c r="D10" s="294"/>
      <c r="E10" s="295">
        <v>3604</v>
      </c>
      <c r="F10" s="293" t="s">
        <v>264</v>
      </c>
      <c r="G10" s="293" t="s">
        <v>265</v>
      </c>
      <c r="H10" s="17" t="str">
        <f t="shared" si="1"/>
        <v>na</v>
      </c>
      <c r="I10" s="17">
        <f t="shared" si="2"/>
        <v>0</v>
      </c>
      <c r="J10" s="287">
        <f>$J$5-0.05</f>
        <v>2.0900000000000003</v>
      </c>
      <c r="K10" s="17">
        <f t="shared" si="3"/>
        <v>0</v>
      </c>
      <c r="L10" s="17">
        <f t="shared" si="4"/>
        <v>0.27</v>
      </c>
      <c r="M10" s="288">
        <v>0.06</v>
      </c>
      <c r="N10" s="117">
        <f t="shared" si="5"/>
        <v>1.7600000000000002</v>
      </c>
      <c r="O10" s="289" t="e">
        <f t="shared" si="6"/>
        <v>#VALUE!</v>
      </c>
      <c r="P10" s="211">
        <f t="shared" si="7"/>
        <v>0</v>
      </c>
      <c r="Q10" s="290">
        <f t="shared" si="8"/>
        <v>0</v>
      </c>
      <c r="R10" s="209">
        <f t="shared" si="9"/>
        <v>0</v>
      </c>
      <c r="S10" s="41"/>
      <c r="T10" s="41"/>
      <c r="U10" s="108"/>
      <c r="V10" s="108"/>
      <c r="W10"/>
      <c r="X10"/>
      <c r="Y10"/>
      <c r="Z10"/>
      <c r="AA10"/>
      <c r="AB10"/>
      <c r="AC10"/>
      <c r="AD10"/>
      <c r="AE10"/>
      <c r="AF10"/>
    </row>
    <row r="11" spans="1:32" s="42" customFormat="1" ht="15" customHeight="1" x14ac:dyDescent="0.2">
      <c r="A11" s="224">
        <v>633874</v>
      </c>
      <c r="B11" s="143" t="str">
        <f t="shared" si="0"/>
        <v>ARLINGTON EXPLO</v>
      </c>
      <c r="C11" s="6" t="s">
        <v>1881</v>
      </c>
      <c r="D11" s="43"/>
      <c r="E11" s="43">
        <v>164585</v>
      </c>
      <c r="F11" s="39"/>
      <c r="G11" s="578" t="s">
        <v>1421</v>
      </c>
      <c r="H11" s="17">
        <f t="shared" si="1"/>
        <v>0</v>
      </c>
      <c r="I11" s="17">
        <f t="shared" si="2"/>
        <v>0</v>
      </c>
      <c r="J11" s="100">
        <f>$J$5*0.97</f>
        <v>2.0758000000000001</v>
      </c>
      <c r="K11" s="17" t="str">
        <f t="shared" si="3"/>
        <v>N</v>
      </c>
      <c r="L11" s="17">
        <f t="shared" si="4"/>
        <v>0</v>
      </c>
      <c r="M11" s="106">
        <v>0</v>
      </c>
      <c r="N11" s="117">
        <f t="shared" si="5"/>
        <v>2.0758000000000001</v>
      </c>
      <c r="O11" s="40">
        <f t="shared" si="6"/>
        <v>0</v>
      </c>
      <c r="P11" s="211">
        <f t="shared" si="7"/>
        <v>0</v>
      </c>
      <c r="Q11" s="164">
        <f t="shared" si="8"/>
        <v>0</v>
      </c>
      <c r="R11" s="209">
        <f t="shared" si="9"/>
        <v>0</v>
      </c>
      <c r="S11"/>
      <c r="T11"/>
      <c r="U11" s="4"/>
      <c r="V11" s="4"/>
      <c r="W11"/>
      <c r="X11"/>
      <c r="Y11"/>
      <c r="Z11"/>
      <c r="AA11"/>
      <c r="AB11"/>
      <c r="AC11"/>
      <c r="AD11"/>
      <c r="AE11"/>
      <c r="AF11"/>
    </row>
    <row r="12" spans="1:32" s="42" customFormat="1" ht="15" customHeight="1" x14ac:dyDescent="0.2">
      <c r="A12" s="285">
        <v>719228</v>
      </c>
      <c r="B12" s="143" t="str">
        <f t="shared" si="0"/>
        <v>na</v>
      </c>
      <c r="C12" s="286" t="s">
        <v>266</v>
      </c>
      <c r="D12" s="286"/>
      <c r="E12" s="38" t="s">
        <v>267</v>
      </c>
      <c r="F12" s="285" t="s">
        <v>268</v>
      </c>
      <c r="G12" s="285" t="s">
        <v>269</v>
      </c>
      <c r="H12" s="17" t="str">
        <f t="shared" si="1"/>
        <v>na</v>
      </c>
      <c r="I12" s="17">
        <f t="shared" si="2"/>
        <v>0</v>
      </c>
      <c r="J12" s="287">
        <f>$J$5-0.03</f>
        <v>2.1100000000000003</v>
      </c>
      <c r="K12" s="17">
        <f t="shared" si="3"/>
        <v>0</v>
      </c>
      <c r="L12" s="17">
        <f t="shared" si="4"/>
        <v>0.27</v>
      </c>
      <c r="M12" s="288">
        <v>0</v>
      </c>
      <c r="N12" s="117">
        <f t="shared" si="5"/>
        <v>1.8400000000000003</v>
      </c>
      <c r="O12" s="289" t="e">
        <f t="shared" si="6"/>
        <v>#VALUE!</v>
      </c>
      <c r="P12" s="211">
        <f t="shared" si="7"/>
        <v>0</v>
      </c>
      <c r="Q12" s="290">
        <f t="shared" si="8"/>
        <v>0</v>
      </c>
      <c r="R12" s="209">
        <f t="shared" si="9"/>
        <v>0</v>
      </c>
      <c r="S12" s="41"/>
      <c r="T12" s="41"/>
      <c r="U12" s="108"/>
      <c r="V12" s="108"/>
      <c r="W12"/>
      <c r="X12"/>
      <c r="Y12"/>
      <c r="Z12"/>
      <c r="AA12"/>
      <c r="AB12"/>
      <c r="AC12"/>
      <c r="AD12"/>
      <c r="AE12"/>
      <c r="AF12"/>
    </row>
    <row r="13" spans="1:32" s="42" customFormat="1" ht="15" customHeight="1" x14ac:dyDescent="0.2">
      <c r="A13" s="9">
        <v>824766</v>
      </c>
      <c r="B13" s="143" t="str">
        <f t="shared" si="0"/>
        <v>AURORA SERVICES</v>
      </c>
      <c r="C13" s="6" t="s">
        <v>83</v>
      </c>
      <c r="D13" s="6" t="s">
        <v>1843</v>
      </c>
      <c r="E13" s="38">
        <v>141129</v>
      </c>
      <c r="F13" s="39"/>
      <c r="G13" s="39" t="s">
        <v>1424</v>
      </c>
      <c r="H13" s="17">
        <f t="shared" si="1"/>
        <v>0</v>
      </c>
      <c r="I13" s="17">
        <f t="shared" si="2"/>
        <v>0</v>
      </c>
      <c r="J13" s="100">
        <f>$J$5</f>
        <v>2.14</v>
      </c>
      <c r="K13" s="17" t="str">
        <f>IF(ISNA(VLOOKUP(A13,cgas9910,7,FALSE)),0,(VLOOKUP(A13,cgas9910,7,FALSE)))</f>
        <v>N</v>
      </c>
      <c r="L13" s="17">
        <f t="shared" si="4"/>
        <v>0</v>
      </c>
      <c r="M13" s="106">
        <v>0</v>
      </c>
      <c r="N13" s="117">
        <f>J13-L13-M13</f>
        <v>2.14</v>
      </c>
      <c r="O13" s="40">
        <f>+H13*0.001</f>
        <v>0</v>
      </c>
      <c r="P13" s="211">
        <f>IF(AND(A13&gt;700000,A13&lt;800000),+I13*0.001,0)</f>
        <v>0</v>
      </c>
      <c r="Q13" s="164">
        <f>+N13*I13</f>
        <v>0</v>
      </c>
      <c r="R13" s="219">
        <f>+(I13*N13)-P13</f>
        <v>0</v>
      </c>
      <c r="S13" s="41"/>
      <c r="T13" s="41"/>
      <c r="U13" s="41"/>
      <c r="V13" s="41"/>
      <c r="W13" s="198"/>
      <c r="X13" s="198"/>
    </row>
    <row r="14" spans="1:32" s="42" customFormat="1" ht="15" customHeight="1" x14ac:dyDescent="0.2">
      <c r="A14" s="285">
        <v>722766</v>
      </c>
      <c r="B14" s="143" t="str">
        <f t="shared" si="0"/>
        <v>na</v>
      </c>
      <c r="C14" s="286" t="s">
        <v>274</v>
      </c>
      <c r="D14" s="286"/>
      <c r="E14" s="38" t="s">
        <v>275</v>
      </c>
      <c r="F14" s="298" t="s">
        <v>276</v>
      </c>
      <c r="G14" s="285" t="s">
        <v>1418</v>
      </c>
      <c r="H14" s="17" t="str">
        <f t="shared" si="1"/>
        <v>na</v>
      </c>
      <c r="I14" s="17">
        <f t="shared" si="2"/>
        <v>0</v>
      </c>
      <c r="J14" s="287">
        <f>$J$5*0.98</f>
        <v>2.0972</v>
      </c>
      <c r="K14" s="17">
        <f t="shared" si="3"/>
        <v>0</v>
      </c>
      <c r="L14" s="17">
        <f t="shared" si="4"/>
        <v>0.27</v>
      </c>
      <c r="M14" s="288">
        <v>0</v>
      </c>
      <c r="N14" s="117">
        <f t="shared" si="5"/>
        <v>1.8271999999999999</v>
      </c>
      <c r="O14" s="289" t="e">
        <f t="shared" si="6"/>
        <v>#VALUE!</v>
      </c>
      <c r="P14" s="211">
        <f t="shared" si="7"/>
        <v>0</v>
      </c>
      <c r="Q14" s="290">
        <f t="shared" si="8"/>
        <v>0</v>
      </c>
      <c r="R14" s="209">
        <f t="shared" si="9"/>
        <v>0</v>
      </c>
      <c r="S14" s="41"/>
      <c r="T14" s="41"/>
      <c r="U14" s="108"/>
      <c r="V14" s="108"/>
      <c r="W14"/>
      <c r="X14"/>
      <c r="Y14"/>
      <c r="Z14"/>
      <c r="AA14"/>
      <c r="AB14"/>
      <c r="AC14"/>
      <c r="AD14"/>
      <c r="AE14"/>
      <c r="AF14"/>
    </row>
    <row r="15" spans="1:32" s="41" customFormat="1" ht="15" customHeight="1" x14ac:dyDescent="0.2">
      <c r="A15" s="224">
        <v>720700</v>
      </c>
      <c r="B15" s="143" t="str">
        <f t="shared" si="0"/>
        <v>na</v>
      </c>
      <c r="C15" s="6" t="s">
        <v>1419</v>
      </c>
      <c r="D15" s="38"/>
      <c r="E15" s="49"/>
      <c r="F15" s="39"/>
      <c r="G15" s="654" t="s">
        <v>291</v>
      </c>
      <c r="H15" s="17" t="str">
        <f t="shared" si="1"/>
        <v>na</v>
      </c>
      <c r="I15" s="17">
        <f t="shared" si="2"/>
        <v>0</v>
      </c>
      <c r="J15" s="537">
        <f>$J$5</f>
        <v>2.14</v>
      </c>
      <c r="K15" s="17">
        <f t="shared" si="3"/>
        <v>0</v>
      </c>
      <c r="L15" s="17">
        <f t="shared" si="4"/>
        <v>0.27</v>
      </c>
      <c r="M15" s="106">
        <v>0</v>
      </c>
      <c r="N15" s="117">
        <f t="shared" si="5"/>
        <v>1.87</v>
      </c>
      <c r="O15" s="40" t="e">
        <f t="shared" si="6"/>
        <v>#VALUE!</v>
      </c>
      <c r="P15" s="211">
        <f t="shared" si="7"/>
        <v>0</v>
      </c>
      <c r="Q15" s="164">
        <f t="shared" si="8"/>
        <v>0</v>
      </c>
      <c r="R15" s="209">
        <f t="shared" si="9"/>
        <v>0</v>
      </c>
      <c r="S15"/>
      <c r="T15"/>
      <c r="U15"/>
      <c r="V15"/>
    </row>
    <row r="16" spans="1:32" s="41" customFormat="1" ht="15" customHeight="1" x14ac:dyDescent="0.2">
      <c r="A16" s="285">
        <v>720846</v>
      </c>
      <c r="B16" s="143" t="str">
        <f t="shared" si="0"/>
        <v>BANDS CO</v>
      </c>
      <c r="C16" s="286" t="s">
        <v>1419</v>
      </c>
      <c r="D16" s="286"/>
      <c r="E16" s="38" t="s">
        <v>289</v>
      </c>
      <c r="F16" s="285" t="s">
        <v>290</v>
      </c>
      <c r="G16" s="654" t="s">
        <v>291</v>
      </c>
      <c r="H16" s="17">
        <f t="shared" si="1"/>
        <v>0</v>
      </c>
      <c r="I16" s="17">
        <f t="shared" si="2"/>
        <v>0</v>
      </c>
      <c r="J16" s="537">
        <f>$J$5</f>
        <v>2.14</v>
      </c>
      <c r="K16" s="17" t="str">
        <f t="shared" si="3"/>
        <v>N</v>
      </c>
      <c r="L16" s="17">
        <f t="shared" si="4"/>
        <v>0</v>
      </c>
      <c r="M16" s="288">
        <v>0</v>
      </c>
      <c r="N16" s="117">
        <f t="shared" si="5"/>
        <v>2.14</v>
      </c>
      <c r="O16" s="289">
        <f t="shared" si="6"/>
        <v>0</v>
      </c>
      <c r="P16" s="211">
        <f t="shared" si="7"/>
        <v>0</v>
      </c>
      <c r="Q16" s="290">
        <f t="shared" si="8"/>
        <v>0</v>
      </c>
      <c r="R16" s="209">
        <f t="shared" si="9"/>
        <v>0</v>
      </c>
      <c r="U16" s="108"/>
      <c r="V16" s="108"/>
    </row>
    <row r="17" spans="1:22" s="41" customFormat="1" ht="15" customHeight="1" x14ac:dyDescent="0.2">
      <c r="A17" s="285">
        <v>801980</v>
      </c>
      <c r="B17" s="143" t="str">
        <f t="shared" si="0"/>
        <v>GLOVER OILFIELD</v>
      </c>
      <c r="C17" s="286" t="s">
        <v>292</v>
      </c>
      <c r="D17" s="286"/>
      <c r="E17" s="38" t="s">
        <v>293</v>
      </c>
      <c r="F17" s="285" t="s">
        <v>294</v>
      </c>
      <c r="G17" s="285" t="s">
        <v>295</v>
      </c>
      <c r="H17" s="17">
        <f t="shared" si="1"/>
        <v>0</v>
      </c>
      <c r="I17" s="17">
        <f t="shared" si="2"/>
        <v>0</v>
      </c>
      <c r="J17" s="287">
        <f>$J$5-0.02</f>
        <v>2.12</v>
      </c>
      <c r="K17" s="17" t="str">
        <f t="shared" si="3"/>
        <v>I</v>
      </c>
      <c r="L17" s="17">
        <f t="shared" si="4"/>
        <v>0.27</v>
      </c>
      <c r="M17" s="288">
        <v>0</v>
      </c>
      <c r="N17" s="117">
        <f t="shared" si="5"/>
        <v>1.85</v>
      </c>
      <c r="O17" s="289">
        <f t="shared" si="6"/>
        <v>0</v>
      </c>
      <c r="P17" s="211">
        <f t="shared" si="7"/>
        <v>0</v>
      </c>
      <c r="Q17" s="290">
        <f t="shared" si="8"/>
        <v>0</v>
      </c>
      <c r="R17" s="209">
        <f t="shared" si="9"/>
        <v>0</v>
      </c>
      <c r="S17" s="47"/>
      <c r="T17" s="47"/>
      <c r="U17" s="108"/>
      <c r="V17" s="108"/>
    </row>
    <row r="18" spans="1:22" s="41" customFormat="1" ht="15" customHeight="1" x14ac:dyDescent="0.2">
      <c r="A18" s="224">
        <v>731275</v>
      </c>
      <c r="B18" s="143" t="str">
        <f t="shared" si="0"/>
        <v>BIJOE DEVELOPME</v>
      </c>
      <c r="C18" s="6" t="s">
        <v>1905</v>
      </c>
      <c r="D18" s="38"/>
      <c r="E18" s="38">
        <v>164591</v>
      </c>
      <c r="F18" s="39"/>
      <c r="G18" s="578" t="s">
        <v>1716</v>
      </c>
      <c r="H18" s="17">
        <f t="shared" si="1"/>
        <v>0</v>
      </c>
      <c r="I18" s="17">
        <f t="shared" si="2"/>
        <v>449</v>
      </c>
      <c r="J18" s="100">
        <f>$J$5-0.02</f>
        <v>2.12</v>
      </c>
      <c r="K18" s="17" t="str">
        <f t="shared" si="3"/>
        <v>N</v>
      </c>
      <c r="L18" s="17">
        <f t="shared" si="4"/>
        <v>0</v>
      </c>
      <c r="M18" s="106">
        <v>0</v>
      </c>
      <c r="N18" s="117">
        <f t="shared" si="5"/>
        <v>2.12</v>
      </c>
      <c r="O18" s="40">
        <f t="shared" si="6"/>
        <v>0</v>
      </c>
      <c r="P18" s="211">
        <f t="shared" si="7"/>
        <v>0.44900000000000001</v>
      </c>
      <c r="Q18" s="164">
        <f t="shared" si="8"/>
        <v>951.88</v>
      </c>
      <c r="R18" s="209">
        <f t="shared" si="9"/>
        <v>951.43100000000004</v>
      </c>
      <c r="S18"/>
      <c r="T18"/>
      <c r="U18" s="4"/>
      <c r="V18" s="4"/>
    </row>
    <row r="19" spans="1:22" s="41" customFormat="1" ht="15" customHeight="1" x14ac:dyDescent="0.2">
      <c r="A19" s="682">
        <v>721398</v>
      </c>
      <c r="B19" s="683" t="str">
        <f t="shared" si="0"/>
        <v>na</v>
      </c>
      <c r="C19" s="74" t="s">
        <v>1774</v>
      </c>
      <c r="D19" s="681" t="s">
        <v>462</v>
      </c>
      <c r="E19" s="674">
        <v>214213</v>
      </c>
      <c r="F19" s="275"/>
      <c r="G19" s="685" t="s">
        <v>1015</v>
      </c>
      <c r="H19" s="176" t="str">
        <f t="shared" si="1"/>
        <v>na</v>
      </c>
      <c r="I19" s="176">
        <f t="shared" si="2"/>
        <v>0</v>
      </c>
      <c r="J19" s="276" t="e">
        <f>+'Special Pricing'!G26</f>
        <v>#DIV/0!</v>
      </c>
      <c r="K19" s="176">
        <f t="shared" si="3"/>
        <v>0</v>
      </c>
      <c r="L19" s="176">
        <f t="shared" si="4"/>
        <v>0.27</v>
      </c>
      <c r="M19" s="675">
        <v>0</v>
      </c>
      <c r="N19" s="676" t="e">
        <f t="shared" si="5"/>
        <v>#DIV/0!</v>
      </c>
      <c r="O19" s="677" t="e">
        <f t="shared" si="6"/>
        <v>#VALUE!</v>
      </c>
      <c r="P19" s="678">
        <f t="shared" si="7"/>
        <v>0</v>
      </c>
      <c r="Q19" s="679" t="e">
        <f t="shared" si="8"/>
        <v>#DIV/0!</v>
      </c>
      <c r="R19" s="680" t="e">
        <f t="shared" si="9"/>
        <v>#DIV/0!</v>
      </c>
      <c r="S19"/>
      <c r="T19"/>
      <c r="U19" s="4"/>
      <c r="V19" s="4"/>
    </row>
    <row r="20" spans="1:22" s="41" customFormat="1" ht="15" customHeight="1" x14ac:dyDescent="0.2">
      <c r="A20" s="224">
        <v>730140</v>
      </c>
      <c r="B20" s="143" t="str">
        <f t="shared" si="0"/>
        <v>ORR PETROLEUM</v>
      </c>
      <c r="C20" s="931" t="s">
        <v>1686</v>
      </c>
      <c r="D20" s="186" t="s">
        <v>1903</v>
      </c>
      <c r="E20" s="8">
        <v>164619</v>
      </c>
      <c r="F20" s="39"/>
      <c r="G20" s="578" t="s">
        <v>1424</v>
      </c>
      <c r="H20" s="17">
        <f t="shared" si="1"/>
        <v>0</v>
      </c>
      <c r="I20" s="17">
        <f t="shared" si="2"/>
        <v>0</v>
      </c>
      <c r="J20" s="100">
        <f>$J$5</f>
        <v>2.14</v>
      </c>
      <c r="K20" s="17" t="str">
        <f t="shared" si="3"/>
        <v>N</v>
      </c>
      <c r="L20" s="17">
        <f t="shared" si="4"/>
        <v>0</v>
      </c>
      <c r="M20" s="106">
        <v>0</v>
      </c>
      <c r="N20" s="117">
        <f t="shared" si="5"/>
        <v>2.14</v>
      </c>
      <c r="O20" s="40">
        <f t="shared" si="6"/>
        <v>0</v>
      </c>
      <c r="P20" s="211">
        <f t="shared" si="7"/>
        <v>0</v>
      </c>
      <c r="Q20" s="164">
        <f t="shared" si="8"/>
        <v>0</v>
      </c>
      <c r="R20" s="209">
        <f t="shared" si="9"/>
        <v>0</v>
      </c>
      <c r="S20"/>
      <c r="T20"/>
      <c r="U20" s="4"/>
      <c r="V20" s="4"/>
    </row>
    <row r="21" spans="1:22" s="41" customFormat="1" ht="15" customHeight="1" x14ac:dyDescent="0.2">
      <c r="A21" s="224">
        <v>734492</v>
      </c>
      <c r="B21" s="143" t="str">
        <f t="shared" si="0"/>
        <v>ORR PETROLEUM</v>
      </c>
      <c r="C21" s="931" t="s">
        <v>1686</v>
      </c>
      <c r="D21" s="186" t="s">
        <v>1903</v>
      </c>
      <c r="E21" s="38">
        <v>164619</v>
      </c>
      <c r="F21" s="39"/>
      <c r="G21" s="578" t="s">
        <v>1424</v>
      </c>
      <c r="H21" s="17">
        <f t="shared" si="1"/>
        <v>0</v>
      </c>
      <c r="I21" s="17">
        <f t="shared" si="2"/>
        <v>0</v>
      </c>
      <c r="J21" s="100">
        <f>$J$5</f>
        <v>2.14</v>
      </c>
      <c r="K21" s="17" t="str">
        <f t="shared" si="3"/>
        <v>N</v>
      </c>
      <c r="L21" s="17">
        <f t="shared" si="4"/>
        <v>0</v>
      </c>
      <c r="M21" s="106">
        <v>0</v>
      </c>
      <c r="N21" s="117">
        <f t="shared" si="5"/>
        <v>2.14</v>
      </c>
      <c r="O21" s="40">
        <f t="shared" si="6"/>
        <v>0</v>
      </c>
      <c r="P21" s="211">
        <f t="shared" si="7"/>
        <v>0</v>
      </c>
      <c r="Q21" s="164">
        <f t="shared" si="8"/>
        <v>0</v>
      </c>
      <c r="R21" s="209">
        <f t="shared" si="9"/>
        <v>0</v>
      </c>
      <c r="S21"/>
      <c r="T21"/>
      <c r="U21" s="4"/>
      <c r="V21" s="4"/>
    </row>
    <row r="22" spans="1:22" s="41" customFormat="1" ht="15" customHeight="1" x14ac:dyDescent="0.2">
      <c r="A22" s="224">
        <v>623640</v>
      </c>
      <c r="B22" s="143" t="str">
        <f t="shared" si="0"/>
        <v>BONNETT'S PRODU</v>
      </c>
      <c r="C22" s="6" t="s">
        <v>1743</v>
      </c>
      <c r="D22" s="45" t="s">
        <v>1923</v>
      </c>
      <c r="E22" s="38">
        <v>142319</v>
      </c>
      <c r="F22" s="45"/>
      <c r="G22" s="39" t="s">
        <v>1427</v>
      </c>
      <c r="H22" s="17">
        <f t="shared" si="1"/>
        <v>0</v>
      </c>
      <c r="I22" s="17">
        <f t="shared" si="2"/>
        <v>0</v>
      </c>
      <c r="J22" s="100">
        <f>$J$5*0.98</f>
        <v>2.0972</v>
      </c>
      <c r="K22" s="17" t="str">
        <f t="shared" si="3"/>
        <v>N</v>
      </c>
      <c r="L22" s="17">
        <f t="shared" ref="L22:L28" si="10">IF(K22="N",0,0.27)</f>
        <v>0</v>
      </c>
      <c r="M22" s="106">
        <v>0.03</v>
      </c>
      <c r="N22" s="117">
        <f t="shared" si="5"/>
        <v>2.0672000000000001</v>
      </c>
      <c r="O22" s="40">
        <f t="shared" si="6"/>
        <v>0</v>
      </c>
      <c r="P22" s="211">
        <f t="shared" si="7"/>
        <v>0</v>
      </c>
      <c r="Q22" s="164">
        <f t="shared" si="8"/>
        <v>0</v>
      </c>
      <c r="R22" s="209">
        <f t="shared" si="9"/>
        <v>0</v>
      </c>
      <c r="S22"/>
      <c r="T22"/>
      <c r="U22"/>
      <c r="V22"/>
    </row>
    <row r="23" spans="1:22" s="41" customFormat="1" ht="15" customHeight="1" x14ac:dyDescent="0.2">
      <c r="A23" s="224">
        <v>602297</v>
      </c>
      <c r="B23" s="143" t="str">
        <f t="shared" si="0"/>
        <v>BORTZ CORPORATI</v>
      </c>
      <c r="C23" s="6" t="s">
        <v>1839</v>
      </c>
      <c r="D23" s="38"/>
      <c r="E23" s="38">
        <v>164641</v>
      </c>
      <c r="F23" s="39"/>
      <c r="G23" s="578" t="s">
        <v>1421</v>
      </c>
      <c r="H23" s="17">
        <f t="shared" si="1"/>
        <v>0</v>
      </c>
      <c r="I23" s="17">
        <f t="shared" si="2"/>
        <v>513</v>
      </c>
      <c r="J23" s="100">
        <f>$J$5*0.97</f>
        <v>2.0758000000000001</v>
      </c>
      <c r="K23" s="17" t="str">
        <f t="shared" si="3"/>
        <v>I</v>
      </c>
      <c r="L23" s="17">
        <f t="shared" si="10"/>
        <v>0.27</v>
      </c>
      <c r="M23" s="106">
        <v>0</v>
      </c>
      <c r="N23" s="117">
        <f t="shared" si="5"/>
        <v>1.8058000000000001</v>
      </c>
      <c r="O23" s="40">
        <f t="shared" si="6"/>
        <v>0</v>
      </c>
      <c r="P23" s="211">
        <f t="shared" si="7"/>
        <v>0</v>
      </c>
      <c r="Q23" s="164">
        <f t="shared" si="8"/>
        <v>926.37540000000001</v>
      </c>
      <c r="R23" s="209">
        <f t="shared" si="9"/>
        <v>926.37540000000001</v>
      </c>
    </row>
    <row r="24" spans="1:22" s="41" customFormat="1" ht="15" customHeight="1" x14ac:dyDescent="0.2">
      <c r="A24" s="224">
        <v>602303</v>
      </c>
      <c r="B24" s="143" t="str">
        <f t="shared" si="0"/>
        <v>BORTZ CORPORATI</v>
      </c>
      <c r="C24" s="6" t="s">
        <v>1839</v>
      </c>
      <c r="D24" s="38"/>
      <c r="E24" s="38">
        <v>164641</v>
      </c>
      <c r="F24" s="39"/>
      <c r="G24" s="578" t="s">
        <v>1421</v>
      </c>
      <c r="H24" s="17">
        <f t="shared" si="1"/>
        <v>0</v>
      </c>
      <c r="I24" s="17">
        <f t="shared" si="2"/>
        <v>0</v>
      </c>
      <c r="J24" s="100">
        <f>$J$5*0.97</f>
        <v>2.0758000000000001</v>
      </c>
      <c r="K24" s="17" t="str">
        <f t="shared" si="3"/>
        <v>I</v>
      </c>
      <c r="L24" s="17">
        <f t="shared" si="10"/>
        <v>0.27</v>
      </c>
      <c r="M24" s="106">
        <v>0</v>
      </c>
      <c r="N24" s="117">
        <f t="shared" si="5"/>
        <v>1.8058000000000001</v>
      </c>
      <c r="O24" s="40">
        <f t="shared" si="6"/>
        <v>0</v>
      </c>
      <c r="P24" s="211">
        <f t="shared" si="7"/>
        <v>0</v>
      </c>
      <c r="Q24" s="164">
        <f t="shared" si="8"/>
        <v>0</v>
      </c>
      <c r="R24" s="209">
        <f t="shared" si="9"/>
        <v>0</v>
      </c>
    </row>
    <row r="25" spans="1:22" s="41" customFormat="1" ht="15" customHeight="1" x14ac:dyDescent="0.2">
      <c r="A25" s="224">
        <v>602444</v>
      </c>
      <c r="B25" s="143" t="str">
        <f t="shared" si="0"/>
        <v>BORTZ CORPORATI</v>
      </c>
      <c r="C25" s="6" t="s">
        <v>1839</v>
      </c>
      <c r="D25" s="38"/>
      <c r="E25" s="38">
        <v>164641</v>
      </c>
      <c r="F25" s="39"/>
      <c r="G25" s="578" t="s">
        <v>1421</v>
      </c>
      <c r="H25" s="17">
        <f t="shared" si="1"/>
        <v>0</v>
      </c>
      <c r="I25" s="17">
        <f t="shared" si="2"/>
        <v>329</v>
      </c>
      <c r="J25" s="100">
        <f>$J$5*0.97</f>
        <v>2.0758000000000001</v>
      </c>
      <c r="K25" s="17" t="str">
        <f t="shared" si="3"/>
        <v>I</v>
      </c>
      <c r="L25" s="17">
        <f t="shared" si="10"/>
        <v>0.27</v>
      </c>
      <c r="M25" s="106">
        <v>0</v>
      </c>
      <c r="N25" s="117">
        <f t="shared" si="5"/>
        <v>1.8058000000000001</v>
      </c>
      <c r="O25" s="40">
        <f t="shared" si="6"/>
        <v>0</v>
      </c>
      <c r="P25" s="211">
        <f t="shared" si="7"/>
        <v>0</v>
      </c>
      <c r="Q25" s="164">
        <f t="shared" si="8"/>
        <v>594.10820000000001</v>
      </c>
      <c r="R25" s="209">
        <f t="shared" si="9"/>
        <v>594.10820000000001</v>
      </c>
    </row>
    <row r="26" spans="1:22" s="41" customFormat="1" ht="15" customHeight="1" x14ac:dyDescent="0.2">
      <c r="A26" s="224">
        <v>602310</v>
      </c>
      <c r="B26" s="143" t="str">
        <f t="shared" si="0"/>
        <v>na</v>
      </c>
      <c r="C26" s="6" t="s">
        <v>1831</v>
      </c>
      <c r="D26" s="272"/>
      <c r="E26" s="272">
        <v>268138</v>
      </c>
      <c r="F26" s="44"/>
      <c r="G26" s="44" t="s">
        <v>1924</v>
      </c>
      <c r="H26" s="17" t="str">
        <f t="shared" si="1"/>
        <v>na</v>
      </c>
      <c r="I26" s="17">
        <f t="shared" si="2"/>
        <v>0</v>
      </c>
      <c r="J26" s="276" t="e">
        <f>+'Special Pricing'!$G$38</f>
        <v>#DIV/0!</v>
      </c>
      <c r="K26" s="17">
        <f t="shared" si="3"/>
        <v>0</v>
      </c>
      <c r="L26" s="17">
        <f t="shared" si="10"/>
        <v>0.27</v>
      </c>
      <c r="M26" s="106">
        <v>0</v>
      </c>
      <c r="N26" s="117" t="e">
        <f t="shared" si="5"/>
        <v>#DIV/0!</v>
      </c>
      <c r="O26" s="40" t="e">
        <f t="shared" si="6"/>
        <v>#VALUE!</v>
      </c>
      <c r="P26" s="211">
        <f t="shared" si="7"/>
        <v>0</v>
      </c>
      <c r="Q26" s="164" t="e">
        <f t="shared" si="8"/>
        <v>#DIV/0!</v>
      </c>
      <c r="R26" s="209" t="e">
        <f t="shared" si="9"/>
        <v>#DIV/0!</v>
      </c>
    </row>
    <row r="27" spans="1:22" s="41" customFormat="1" ht="15" customHeight="1" x14ac:dyDescent="0.2">
      <c r="A27" s="224">
        <v>602312</v>
      </c>
      <c r="B27" s="143" t="str">
        <f t="shared" si="0"/>
        <v>na</v>
      </c>
      <c r="C27" s="6" t="s">
        <v>1831</v>
      </c>
      <c r="D27" s="272"/>
      <c r="E27" s="272">
        <v>165343</v>
      </c>
      <c r="F27" s="44"/>
      <c r="G27" s="44" t="s">
        <v>1924</v>
      </c>
      <c r="H27" s="17" t="str">
        <f t="shared" si="1"/>
        <v>na</v>
      </c>
      <c r="I27" s="17">
        <f t="shared" si="2"/>
        <v>0</v>
      </c>
      <c r="J27" s="276" t="e">
        <f>+'Special Pricing'!$G$38</f>
        <v>#DIV/0!</v>
      </c>
      <c r="K27" s="17">
        <f t="shared" si="3"/>
        <v>0</v>
      </c>
      <c r="L27" s="267">
        <f t="shared" si="10"/>
        <v>0.27</v>
      </c>
      <c r="M27" s="106">
        <v>0</v>
      </c>
      <c r="N27" s="117" t="e">
        <f t="shared" si="5"/>
        <v>#DIV/0!</v>
      </c>
      <c r="O27" s="40" t="e">
        <f t="shared" si="6"/>
        <v>#VALUE!</v>
      </c>
      <c r="P27" s="211">
        <f t="shared" si="7"/>
        <v>0</v>
      </c>
      <c r="Q27" s="164" t="e">
        <f t="shared" si="8"/>
        <v>#DIV/0!</v>
      </c>
      <c r="R27" s="209" t="e">
        <f t="shared" si="9"/>
        <v>#DIV/0!</v>
      </c>
    </row>
    <row r="28" spans="1:22" s="41" customFormat="1" ht="15" customHeight="1" x14ac:dyDescent="0.2">
      <c r="A28" s="224">
        <v>602313</v>
      </c>
      <c r="B28" s="143" t="str">
        <f t="shared" si="0"/>
        <v>na</v>
      </c>
      <c r="C28" s="6" t="s">
        <v>1831</v>
      </c>
      <c r="D28" s="272"/>
      <c r="E28" s="272">
        <v>165343</v>
      </c>
      <c r="F28" s="44"/>
      <c r="G28" s="44" t="s">
        <v>1924</v>
      </c>
      <c r="H28" s="17" t="str">
        <f t="shared" si="1"/>
        <v>na</v>
      </c>
      <c r="I28" s="17">
        <f t="shared" si="2"/>
        <v>0</v>
      </c>
      <c r="J28" s="276" t="e">
        <f>+'Special Pricing'!$G$38</f>
        <v>#DIV/0!</v>
      </c>
      <c r="K28" s="17">
        <f t="shared" si="3"/>
        <v>0</v>
      </c>
      <c r="L28" s="267">
        <f t="shared" si="10"/>
        <v>0.27</v>
      </c>
      <c r="M28" s="106">
        <v>0</v>
      </c>
      <c r="N28" s="117" t="e">
        <f t="shared" si="5"/>
        <v>#DIV/0!</v>
      </c>
      <c r="O28" s="40" t="e">
        <f t="shared" si="6"/>
        <v>#VALUE!</v>
      </c>
      <c r="P28" s="211">
        <f t="shared" si="7"/>
        <v>0</v>
      </c>
      <c r="Q28" s="164" t="e">
        <f t="shared" si="8"/>
        <v>#DIV/0!</v>
      </c>
      <c r="R28" s="209" t="e">
        <f t="shared" si="9"/>
        <v>#DIV/0!</v>
      </c>
    </row>
    <row r="29" spans="1:22" s="41" customFormat="1" ht="15" customHeight="1" x14ac:dyDescent="0.2">
      <c r="A29" s="224">
        <v>602314</v>
      </c>
      <c r="B29" s="143" t="str">
        <f t="shared" si="0"/>
        <v>na</v>
      </c>
      <c r="C29" s="6" t="s">
        <v>1831</v>
      </c>
      <c r="D29" s="272"/>
      <c r="E29" s="272">
        <v>268138</v>
      </c>
      <c r="F29" s="44"/>
      <c r="G29" s="44" t="s">
        <v>1924</v>
      </c>
      <c r="H29" s="17" t="str">
        <f t="shared" si="1"/>
        <v>na</v>
      </c>
      <c r="I29" s="17">
        <f t="shared" si="2"/>
        <v>0</v>
      </c>
      <c r="J29" s="276" t="e">
        <f>+'Special Pricing'!$G$38</f>
        <v>#DIV/0!</v>
      </c>
      <c r="K29" s="17">
        <f t="shared" si="3"/>
        <v>0</v>
      </c>
      <c r="L29" s="268">
        <f t="shared" ref="L29:L63" si="11">IF(K29="N",0,0.27)</f>
        <v>0.27</v>
      </c>
      <c r="M29" s="106">
        <v>0</v>
      </c>
      <c r="N29" s="117" t="e">
        <f t="shared" si="5"/>
        <v>#DIV/0!</v>
      </c>
      <c r="O29" s="40" t="e">
        <f t="shared" si="6"/>
        <v>#VALUE!</v>
      </c>
      <c r="P29" s="211">
        <f t="shared" si="7"/>
        <v>0</v>
      </c>
      <c r="Q29" s="164" t="e">
        <f t="shared" si="8"/>
        <v>#DIV/0!</v>
      </c>
      <c r="R29" s="209" t="e">
        <f t="shared" si="9"/>
        <v>#DIV/0!</v>
      </c>
    </row>
    <row r="30" spans="1:22" s="46" customFormat="1" ht="15" customHeight="1" x14ac:dyDescent="0.2">
      <c r="A30" s="224">
        <v>602316</v>
      </c>
      <c r="B30" s="143" t="str">
        <f t="shared" si="0"/>
        <v>na</v>
      </c>
      <c r="C30" s="6" t="s">
        <v>1831</v>
      </c>
      <c r="D30" s="272"/>
      <c r="E30" s="272">
        <v>165343</v>
      </c>
      <c r="F30" s="44"/>
      <c r="G30" s="44" t="s">
        <v>1924</v>
      </c>
      <c r="H30" s="17" t="str">
        <f t="shared" si="1"/>
        <v>na</v>
      </c>
      <c r="I30" s="17">
        <f t="shared" si="2"/>
        <v>0</v>
      </c>
      <c r="J30" s="276" t="e">
        <f>+'Special Pricing'!$G$38</f>
        <v>#DIV/0!</v>
      </c>
      <c r="K30" s="17">
        <f t="shared" si="3"/>
        <v>0</v>
      </c>
      <c r="L30" s="17">
        <f t="shared" si="11"/>
        <v>0.27</v>
      </c>
      <c r="M30" s="106">
        <v>0</v>
      </c>
      <c r="N30" s="117" t="e">
        <f t="shared" si="5"/>
        <v>#DIV/0!</v>
      </c>
      <c r="O30" s="40" t="e">
        <f t="shared" si="6"/>
        <v>#VALUE!</v>
      </c>
      <c r="P30" s="211">
        <f t="shared" si="7"/>
        <v>0</v>
      </c>
      <c r="Q30" s="164" t="e">
        <f t="shared" si="8"/>
        <v>#DIV/0!</v>
      </c>
      <c r="R30" s="209" t="e">
        <f t="shared" si="9"/>
        <v>#DIV/0!</v>
      </c>
      <c r="S30" s="41"/>
      <c r="T30" s="41"/>
      <c r="U30" s="41"/>
      <c r="V30" s="41"/>
    </row>
    <row r="31" spans="1:22" s="23" customFormat="1" ht="15" customHeight="1" x14ac:dyDescent="0.2">
      <c r="A31" s="224">
        <v>602317</v>
      </c>
      <c r="B31" s="143" t="str">
        <f t="shared" si="0"/>
        <v>na</v>
      </c>
      <c r="C31" s="6" t="s">
        <v>1831</v>
      </c>
      <c r="D31" s="272"/>
      <c r="E31" s="272">
        <v>165343</v>
      </c>
      <c r="F31" s="44"/>
      <c r="G31" s="44" t="s">
        <v>1924</v>
      </c>
      <c r="H31" s="17" t="str">
        <f t="shared" si="1"/>
        <v>na</v>
      </c>
      <c r="I31" s="17">
        <f t="shared" si="2"/>
        <v>0</v>
      </c>
      <c r="J31" s="276" t="e">
        <f>+'Special Pricing'!$G$38</f>
        <v>#DIV/0!</v>
      </c>
      <c r="K31" s="17">
        <f t="shared" si="3"/>
        <v>0</v>
      </c>
      <c r="L31" s="267">
        <f t="shared" si="11"/>
        <v>0.27</v>
      </c>
      <c r="M31" s="106">
        <v>0</v>
      </c>
      <c r="N31" s="117" t="e">
        <f t="shared" si="5"/>
        <v>#DIV/0!</v>
      </c>
      <c r="O31" s="40" t="e">
        <f t="shared" si="6"/>
        <v>#VALUE!</v>
      </c>
      <c r="P31" s="211">
        <f t="shared" si="7"/>
        <v>0</v>
      </c>
      <c r="Q31" s="164" t="e">
        <f t="shared" si="8"/>
        <v>#DIV/0!</v>
      </c>
      <c r="R31" s="209" t="e">
        <f t="shared" si="9"/>
        <v>#DIV/0!</v>
      </c>
      <c r="S31" s="41"/>
      <c r="T31" s="41"/>
      <c r="U31" s="41"/>
      <c r="V31" s="41"/>
    </row>
    <row r="32" spans="1:22" s="23" customFormat="1" ht="15" customHeight="1" x14ac:dyDescent="0.2">
      <c r="A32" s="224">
        <v>602318</v>
      </c>
      <c r="B32" s="143" t="str">
        <f t="shared" si="0"/>
        <v>na</v>
      </c>
      <c r="C32" s="6" t="s">
        <v>1831</v>
      </c>
      <c r="D32" s="272"/>
      <c r="E32" s="272">
        <v>268138</v>
      </c>
      <c r="F32" s="44"/>
      <c r="G32" s="44" t="s">
        <v>1924</v>
      </c>
      <c r="H32" s="17" t="str">
        <f t="shared" si="1"/>
        <v>na</v>
      </c>
      <c r="I32" s="17">
        <f t="shared" si="2"/>
        <v>0</v>
      </c>
      <c r="J32" s="276" t="e">
        <f>+'Special Pricing'!$G$38</f>
        <v>#DIV/0!</v>
      </c>
      <c r="K32" s="17">
        <f t="shared" si="3"/>
        <v>0</v>
      </c>
      <c r="L32" s="17">
        <f t="shared" si="11"/>
        <v>0.27</v>
      </c>
      <c r="M32" s="106">
        <v>0</v>
      </c>
      <c r="N32" s="117" t="e">
        <f t="shared" si="5"/>
        <v>#DIV/0!</v>
      </c>
      <c r="O32" s="40" t="e">
        <f t="shared" si="6"/>
        <v>#VALUE!</v>
      </c>
      <c r="P32" s="211">
        <f t="shared" si="7"/>
        <v>0</v>
      </c>
      <c r="Q32" s="164" t="e">
        <f t="shared" si="8"/>
        <v>#DIV/0!</v>
      </c>
      <c r="R32" s="209" t="e">
        <f t="shared" si="9"/>
        <v>#DIV/0!</v>
      </c>
      <c r="S32" s="41"/>
      <c r="T32" s="41"/>
      <c r="U32" s="41"/>
      <c r="V32" s="41"/>
    </row>
    <row r="33" spans="1:22" s="23" customFormat="1" ht="15" customHeight="1" x14ac:dyDescent="0.2">
      <c r="A33" s="224">
        <v>602319</v>
      </c>
      <c r="B33" s="143" t="str">
        <f t="shared" si="0"/>
        <v>na</v>
      </c>
      <c r="C33" s="6" t="s">
        <v>1831</v>
      </c>
      <c r="D33" s="272"/>
      <c r="E33" s="272">
        <v>165343</v>
      </c>
      <c r="F33" s="44"/>
      <c r="G33" s="44" t="s">
        <v>1924</v>
      </c>
      <c r="H33" s="17" t="str">
        <f t="shared" si="1"/>
        <v>na</v>
      </c>
      <c r="I33" s="17">
        <f t="shared" si="2"/>
        <v>0</v>
      </c>
      <c r="J33" s="276" t="e">
        <f>+'Special Pricing'!$G$38</f>
        <v>#DIV/0!</v>
      </c>
      <c r="K33" s="17">
        <f t="shared" si="3"/>
        <v>0</v>
      </c>
      <c r="L33" s="267">
        <f t="shared" si="11"/>
        <v>0.27</v>
      </c>
      <c r="M33" s="106">
        <v>0</v>
      </c>
      <c r="N33" s="117" t="e">
        <f t="shared" si="5"/>
        <v>#DIV/0!</v>
      </c>
      <c r="O33" s="40" t="e">
        <f t="shared" si="6"/>
        <v>#VALUE!</v>
      </c>
      <c r="P33" s="211">
        <f t="shared" si="7"/>
        <v>0</v>
      </c>
      <c r="Q33" s="164" t="e">
        <f t="shared" si="8"/>
        <v>#DIV/0!</v>
      </c>
      <c r="R33" s="209" t="e">
        <f t="shared" si="9"/>
        <v>#DIV/0!</v>
      </c>
      <c r="S33" s="41"/>
      <c r="T33" s="41"/>
      <c r="U33" s="41"/>
      <c r="V33" s="41"/>
    </row>
    <row r="34" spans="1:22" s="23" customFormat="1" ht="15" customHeight="1" x14ac:dyDescent="0.2">
      <c r="A34" s="224">
        <v>602320</v>
      </c>
      <c r="B34" s="143" t="str">
        <f t="shared" si="0"/>
        <v>na</v>
      </c>
      <c r="C34" s="6" t="s">
        <v>1831</v>
      </c>
      <c r="D34" s="272"/>
      <c r="E34" s="272">
        <v>165343</v>
      </c>
      <c r="F34" s="44"/>
      <c r="G34" s="44" t="s">
        <v>1924</v>
      </c>
      <c r="H34" s="17" t="str">
        <f t="shared" si="1"/>
        <v>na</v>
      </c>
      <c r="I34" s="17">
        <f t="shared" si="2"/>
        <v>0</v>
      </c>
      <c r="J34" s="276" t="e">
        <f>+'Special Pricing'!$G$38</f>
        <v>#DIV/0!</v>
      </c>
      <c r="K34" s="17">
        <f t="shared" si="3"/>
        <v>0</v>
      </c>
      <c r="L34" s="267">
        <f t="shared" si="11"/>
        <v>0.27</v>
      </c>
      <c r="M34" s="106">
        <v>0</v>
      </c>
      <c r="N34" s="117" t="e">
        <f t="shared" si="5"/>
        <v>#DIV/0!</v>
      </c>
      <c r="O34" s="40" t="e">
        <f t="shared" si="6"/>
        <v>#VALUE!</v>
      </c>
      <c r="P34" s="211">
        <f t="shared" si="7"/>
        <v>0</v>
      </c>
      <c r="Q34" s="164" t="e">
        <f t="shared" si="8"/>
        <v>#DIV/0!</v>
      </c>
      <c r="R34" s="209" t="e">
        <f t="shared" si="9"/>
        <v>#DIV/0!</v>
      </c>
      <c r="S34" s="41"/>
      <c r="T34" s="41"/>
      <c r="U34" s="41"/>
      <c r="V34" s="41"/>
    </row>
    <row r="35" spans="1:22" s="23" customFormat="1" ht="15" customHeight="1" x14ac:dyDescent="0.2">
      <c r="A35" s="224">
        <v>602321</v>
      </c>
      <c r="B35" s="143" t="str">
        <f t="shared" si="0"/>
        <v>na</v>
      </c>
      <c r="C35" s="6" t="s">
        <v>1831</v>
      </c>
      <c r="D35" s="272"/>
      <c r="E35" s="272">
        <v>165343</v>
      </c>
      <c r="F35" s="44"/>
      <c r="G35" s="44" t="s">
        <v>1924</v>
      </c>
      <c r="H35" s="17" t="str">
        <f t="shared" si="1"/>
        <v>na</v>
      </c>
      <c r="I35" s="17">
        <f t="shared" si="2"/>
        <v>0</v>
      </c>
      <c r="J35" s="276" t="e">
        <f>+'Special Pricing'!$G$38</f>
        <v>#DIV/0!</v>
      </c>
      <c r="K35" s="17">
        <f t="shared" si="3"/>
        <v>0</v>
      </c>
      <c r="L35" s="267">
        <f t="shared" si="11"/>
        <v>0.27</v>
      </c>
      <c r="M35" s="106">
        <v>0</v>
      </c>
      <c r="N35" s="117" t="e">
        <f t="shared" si="5"/>
        <v>#DIV/0!</v>
      </c>
      <c r="O35" s="40" t="e">
        <f t="shared" si="6"/>
        <v>#VALUE!</v>
      </c>
      <c r="P35" s="211">
        <f t="shared" si="7"/>
        <v>0</v>
      </c>
      <c r="Q35" s="164" t="e">
        <f t="shared" si="8"/>
        <v>#DIV/0!</v>
      </c>
      <c r="R35" s="209" t="e">
        <f t="shared" si="9"/>
        <v>#DIV/0!</v>
      </c>
      <c r="S35" s="41"/>
      <c r="T35" s="41"/>
      <c r="U35" s="41"/>
      <c r="V35" s="41"/>
    </row>
    <row r="36" spans="1:22" s="41" customFormat="1" ht="15" customHeight="1" x14ac:dyDescent="0.2">
      <c r="A36" s="224">
        <v>602322</v>
      </c>
      <c r="B36" s="143" t="str">
        <f t="shared" si="0"/>
        <v>na</v>
      </c>
      <c r="C36" s="6" t="s">
        <v>1831</v>
      </c>
      <c r="D36" s="272"/>
      <c r="E36" s="272">
        <v>165343</v>
      </c>
      <c r="F36" s="44"/>
      <c r="G36" s="44" t="s">
        <v>1924</v>
      </c>
      <c r="H36" s="17" t="str">
        <f t="shared" si="1"/>
        <v>na</v>
      </c>
      <c r="I36" s="17">
        <f t="shared" si="2"/>
        <v>0</v>
      </c>
      <c r="J36" s="276" t="e">
        <f>+'Special Pricing'!$G$38</f>
        <v>#DIV/0!</v>
      </c>
      <c r="K36" s="17">
        <f t="shared" si="3"/>
        <v>0</v>
      </c>
      <c r="L36" s="267">
        <f t="shared" si="11"/>
        <v>0.27</v>
      </c>
      <c r="M36" s="106">
        <v>0</v>
      </c>
      <c r="N36" s="117" t="e">
        <f t="shared" si="5"/>
        <v>#DIV/0!</v>
      </c>
      <c r="O36" s="40" t="e">
        <f t="shared" si="6"/>
        <v>#VALUE!</v>
      </c>
      <c r="P36" s="211">
        <f t="shared" si="7"/>
        <v>0</v>
      </c>
      <c r="Q36" s="164" t="e">
        <f t="shared" si="8"/>
        <v>#DIV/0!</v>
      </c>
      <c r="R36" s="209" t="e">
        <f t="shared" si="9"/>
        <v>#DIV/0!</v>
      </c>
    </row>
    <row r="37" spans="1:22" s="41" customFormat="1" ht="15" customHeight="1" x14ac:dyDescent="0.2">
      <c r="A37" s="224">
        <v>602324</v>
      </c>
      <c r="B37" s="143" t="str">
        <f t="shared" si="0"/>
        <v>na</v>
      </c>
      <c r="C37" s="6" t="s">
        <v>1831</v>
      </c>
      <c r="D37" s="272"/>
      <c r="E37" s="272">
        <v>268138</v>
      </c>
      <c r="F37" s="44"/>
      <c r="G37" s="44" t="s">
        <v>1924</v>
      </c>
      <c r="H37" s="17" t="str">
        <f t="shared" ref="H37:H68" si="12">IF(ISNA(VLOOKUP(A37,cgas9910,9,FALSE)),"na",VLOOKUP(A37,cgas9910,9,FALSE))</f>
        <v>na</v>
      </c>
      <c r="I37" s="17">
        <f t="shared" ref="I37:I68" si="13">IF(ISNA(VLOOKUP(A37,cgas9910,10,FALSE)),0,(VLOOKUP(A37,cgas9910,10,FALSE)))</f>
        <v>0</v>
      </c>
      <c r="J37" s="276" t="e">
        <f>+'Special Pricing'!$G$38</f>
        <v>#DIV/0!</v>
      </c>
      <c r="K37" s="17">
        <f t="shared" ref="K37:K71" si="14">IF(ISNA(VLOOKUP(A37,cgas9910,7,FALSE)),0,(VLOOKUP(A37,cgas9910,7,FALSE)))</f>
        <v>0</v>
      </c>
      <c r="L37" s="17">
        <f t="shared" si="11"/>
        <v>0.27</v>
      </c>
      <c r="M37" s="106">
        <v>0</v>
      </c>
      <c r="N37" s="117" t="e">
        <f t="shared" ref="N37:N56" si="15">J37-L37-M37</f>
        <v>#DIV/0!</v>
      </c>
      <c r="O37" s="40" t="e">
        <f t="shared" ref="O37:O72" si="16">+H37*0.001</f>
        <v>#VALUE!</v>
      </c>
      <c r="P37" s="211">
        <f t="shared" si="7"/>
        <v>0</v>
      </c>
      <c r="Q37" s="164" t="e">
        <f t="shared" ref="Q37:Q72" si="17">+N37*I37</f>
        <v>#DIV/0!</v>
      </c>
      <c r="R37" s="209" t="e">
        <f t="shared" ref="R37:R71" si="18">+(I37*N37)-P37</f>
        <v>#DIV/0!</v>
      </c>
    </row>
    <row r="38" spans="1:22" s="41" customFormat="1" ht="15" customHeight="1" x14ac:dyDescent="0.2">
      <c r="A38" s="224">
        <v>602325</v>
      </c>
      <c r="B38" s="143" t="str">
        <f t="shared" si="0"/>
        <v>na</v>
      </c>
      <c r="C38" s="6" t="s">
        <v>1831</v>
      </c>
      <c r="D38" s="272"/>
      <c r="E38" s="272">
        <v>165343</v>
      </c>
      <c r="F38" s="44"/>
      <c r="G38" s="44" t="s">
        <v>1924</v>
      </c>
      <c r="H38" s="17" t="str">
        <f t="shared" si="12"/>
        <v>na</v>
      </c>
      <c r="I38" s="17">
        <f t="shared" si="13"/>
        <v>0</v>
      </c>
      <c r="J38" s="276" t="e">
        <f>+'Special Pricing'!$G$38</f>
        <v>#DIV/0!</v>
      </c>
      <c r="K38" s="17">
        <f t="shared" si="14"/>
        <v>0</v>
      </c>
      <c r="L38" s="267">
        <f t="shared" si="11"/>
        <v>0.27</v>
      </c>
      <c r="M38" s="106">
        <v>0</v>
      </c>
      <c r="N38" s="117" t="e">
        <f t="shared" si="15"/>
        <v>#DIV/0!</v>
      </c>
      <c r="O38" s="40" t="e">
        <f t="shared" si="16"/>
        <v>#VALUE!</v>
      </c>
      <c r="P38" s="211">
        <f t="shared" si="7"/>
        <v>0</v>
      </c>
      <c r="Q38" s="164" t="e">
        <f t="shared" si="17"/>
        <v>#DIV/0!</v>
      </c>
      <c r="R38" s="209" t="e">
        <f t="shared" si="18"/>
        <v>#DIV/0!</v>
      </c>
    </row>
    <row r="39" spans="1:22" s="41" customFormat="1" ht="15" customHeight="1" x14ac:dyDescent="0.2">
      <c r="A39" s="224">
        <v>602326</v>
      </c>
      <c r="B39" s="143" t="str">
        <f t="shared" si="0"/>
        <v>na</v>
      </c>
      <c r="C39" s="6" t="s">
        <v>1831</v>
      </c>
      <c r="D39" s="272"/>
      <c r="E39" s="272">
        <v>165343</v>
      </c>
      <c r="F39" s="44"/>
      <c r="G39" s="44" t="s">
        <v>1924</v>
      </c>
      <c r="H39" s="17" t="str">
        <f t="shared" si="12"/>
        <v>na</v>
      </c>
      <c r="I39" s="17">
        <f t="shared" si="13"/>
        <v>0</v>
      </c>
      <c r="J39" s="276" t="e">
        <f>+'Special Pricing'!$G$38</f>
        <v>#DIV/0!</v>
      </c>
      <c r="K39" s="17">
        <f t="shared" si="14"/>
        <v>0</v>
      </c>
      <c r="L39" s="267">
        <f t="shared" si="11"/>
        <v>0.27</v>
      </c>
      <c r="M39" s="106">
        <v>0</v>
      </c>
      <c r="N39" s="117" t="e">
        <f t="shared" si="15"/>
        <v>#DIV/0!</v>
      </c>
      <c r="O39" s="40" t="e">
        <f t="shared" si="16"/>
        <v>#VALUE!</v>
      </c>
      <c r="P39" s="211">
        <f t="shared" si="7"/>
        <v>0</v>
      </c>
      <c r="Q39" s="164" t="e">
        <f t="shared" si="17"/>
        <v>#DIV/0!</v>
      </c>
      <c r="R39" s="209" t="e">
        <f t="shared" si="18"/>
        <v>#DIV/0!</v>
      </c>
      <c r="S39" s="46"/>
      <c r="T39" s="46"/>
      <c r="U39" s="46"/>
      <c r="V39" s="46"/>
    </row>
    <row r="40" spans="1:22" s="41" customFormat="1" ht="15" customHeight="1" x14ac:dyDescent="0.2">
      <c r="A40" s="224">
        <v>602327</v>
      </c>
      <c r="B40" s="143" t="str">
        <f t="shared" si="0"/>
        <v>na</v>
      </c>
      <c r="C40" s="6" t="s">
        <v>1831</v>
      </c>
      <c r="D40" s="272"/>
      <c r="E40" s="272">
        <v>165343</v>
      </c>
      <c r="F40" s="44"/>
      <c r="G40" s="44" t="s">
        <v>1924</v>
      </c>
      <c r="H40" s="17" t="str">
        <f t="shared" si="12"/>
        <v>na</v>
      </c>
      <c r="I40" s="17">
        <f t="shared" si="13"/>
        <v>0</v>
      </c>
      <c r="J40" s="276" t="e">
        <f>+'Special Pricing'!$G$38</f>
        <v>#DIV/0!</v>
      </c>
      <c r="K40" s="17">
        <f t="shared" si="14"/>
        <v>0</v>
      </c>
      <c r="L40" s="267">
        <f t="shared" si="11"/>
        <v>0.27</v>
      </c>
      <c r="M40" s="106">
        <v>0</v>
      </c>
      <c r="N40" s="117" t="e">
        <f t="shared" si="15"/>
        <v>#DIV/0!</v>
      </c>
      <c r="O40" s="40" t="e">
        <f t="shared" si="16"/>
        <v>#VALUE!</v>
      </c>
      <c r="P40" s="211">
        <f t="shared" si="7"/>
        <v>0</v>
      </c>
      <c r="Q40" s="164" t="e">
        <f t="shared" si="17"/>
        <v>#DIV/0!</v>
      </c>
      <c r="R40" s="209" t="e">
        <f t="shared" si="18"/>
        <v>#DIV/0!</v>
      </c>
      <c r="V40" s="23"/>
    </row>
    <row r="41" spans="1:22" s="41" customFormat="1" ht="15" customHeight="1" x14ac:dyDescent="0.2">
      <c r="A41" s="224">
        <v>602328</v>
      </c>
      <c r="B41" s="143" t="str">
        <f t="shared" si="0"/>
        <v>na</v>
      </c>
      <c r="C41" s="6" t="s">
        <v>1831</v>
      </c>
      <c r="D41" s="272"/>
      <c r="E41" s="272">
        <v>165343</v>
      </c>
      <c r="F41" s="44"/>
      <c r="G41" s="44" t="s">
        <v>1924</v>
      </c>
      <c r="H41" s="17" t="str">
        <f t="shared" si="12"/>
        <v>na</v>
      </c>
      <c r="I41" s="17">
        <f t="shared" si="13"/>
        <v>0</v>
      </c>
      <c r="J41" s="276" t="e">
        <f>+'Special Pricing'!$G$38</f>
        <v>#DIV/0!</v>
      </c>
      <c r="K41" s="17">
        <f t="shared" si="14"/>
        <v>0</v>
      </c>
      <c r="L41" s="267">
        <f t="shared" si="11"/>
        <v>0.27</v>
      </c>
      <c r="M41" s="106">
        <v>0</v>
      </c>
      <c r="N41" s="117" t="e">
        <f t="shared" si="15"/>
        <v>#DIV/0!</v>
      </c>
      <c r="O41" s="40" t="e">
        <f t="shared" si="16"/>
        <v>#VALUE!</v>
      </c>
      <c r="P41" s="211">
        <f t="shared" si="7"/>
        <v>0</v>
      </c>
      <c r="Q41" s="164" t="e">
        <f t="shared" si="17"/>
        <v>#DIV/0!</v>
      </c>
      <c r="R41" s="209" t="e">
        <f t="shared" si="18"/>
        <v>#DIV/0!</v>
      </c>
      <c r="V41" s="23"/>
    </row>
    <row r="42" spans="1:22" s="41" customFormat="1" ht="15" customHeight="1" x14ac:dyDescent="0.2">
      <c r="A42" s="224">
        <v>622098</v>
      </c>
      <c r="B42" s="143" t="str">
        <f t="shared" si="0"/>
        <v>na</v>
      </c>
      <c r="C42" s="6" t="s">
        <v>1831</v>
      </c>
      <c r="D42" s="272"/>
      <c r="E42" s="272">
        <v>165343</v>
      </c>
      <c r="F42" s="44"/>
      <c r="G42" s="44" t="s">
        <v>1924</v>
      </c>
      <c r="H42" s="17" t="str">
        <f t="shared" si="12"/>
        <v>na</v>
      </c>
      <c r="I42" s="17">
        <f t="shared" si="13"/>
        <v>0</v>
      </c>
      <c r="J42" s="276" t="e">
        <f>+'Special Pricing'!$G$38</f>
        <v>#DIV/0!</v>
      </c>
      <c r="K42" s="17">
        <f t="shared" si="14"/>
        <v>0</v>
      </c>
      <c r="L42" s="268">
        <f t="shared" si="11"/>
        <v>0.27</v>
      </c>
      <c r="M42" s="106">
        <v>0</v>
      </c>
      <c r="N42" s="117" t="e">
        <f t="shared" si="15"/>
        <v>#DIV/0!</v>
      </c>
      <c r="O42" s="40" t="e">
        <f t="shared" si="16"/>
        <v>#VALUE!</v>
      </c>
      <c r="P42" s="211">
        <f t="shared" si="7"/>
        <v>0</v>
      </c>
      <c r="Q42" s="164" t="e">
        <f t="shared" si="17"/>
        <v>#DIV/0!</v>
      </c>
      <c r="R42" s="209" t="e">
        <f t="shared" si="18"/>
        <v>#DIV/0!</v>
      </c>
      <c r="V42" s="23"/>
    </row>
    <row r="43" spans="1:22" s="41" customFormat="1" ht="15" customHeight="1" x14ac:dyDescent="0.2">
      <c r="A43" s="9">
        <v>620988</v>
      </c>
      <c r="B43" s="143" t="str">
        <f t="shared" si="0"/>
        <v>BRAXTON OIL</v>
      </c>
      <c r="C43" s="6" t="s">
        <v>1865</v>
      </c>
      <c r="D43" s="38"/>
      <c r="E43" s="38">
        <v>145315</v>
      </c>
      <c r="F43" s="39"/>
      <c r="G43" s="9" t="s">
        <v>1819</v>
      </c>
      <c r="H43" s="17">
        <f t="shared" si="12"/>
        <v>0</v>
      </c>
      <c r="I43" s="17">
        <f t="shared" si="13"/>
        <v>0</v>
      </c>
      <c r="J43" s="259" t="e">
        <f>+'Special Pricing'!$G$146</f>
        <v>#DIV/0!</v>
      </c>
      <c r="K43" s="17" t="str">
        <f t="shared" si="14"/>
        <v>I</v>
      </c>
      <c r="L43" s="17">
        <f t="shared" si="11"/>
        <v>0.27</v>
      </c>
      <c r="M43" s="106">
        <v>0</v>
      </c>
      <c r="N43" s="117" t="e">
        <f t="shared" si="15"/>
        <v>#DIV/0!</v>
      </c>
      <c r="O43" s="40">
        <f t="shared" si="16"/>
        <v>0</v>
      </c>
      <c r="P43" s="211">
        <f t="shared" si="7"/>
        <v>0</v>
      </c>
      <c r="Q43" s="164" t="e">
        <f t="shared" si="17"/>
        <v>#DIV/0!</v>
      </c>
      <c r="R43" s="209" t="e">
        <f t="shared" si="18"/>
        <v>#DIV/0!</v>
      </c>
      <c r="V43" s="23"/>
    </row>
    <row r="44" spans="1:22" s="41" customFormat="1" ht="15" customHeight="1" x14ac:dyDescent="0.2">
      <c r="A44" s="9">
        <v>622576</v>
      </c>
      <c r="B44" s="143" t="str">
        <f t="shared" si="0"/>
        <v>BRAXTON OIL</v>
      </c>
      <c r="C44" s="6" t="s">
        <v>1865</v>
      </c>
      <c r="D44" s="38"/>
      <c r="E44" s="38">
        <v>141087</v>
      </c>
      <c r="F44" s="39"/>
      <c r="G44" s="9" t="s">
        <v>1819</v>
      </c>
      <c r="H44" s="17">
        <f t="shared" si="12"/>
        <v>0</v>
      </c>
      <c r="I44" s="17">
        <f t="shared" si="13"/>
        <v>0</v>
      </c>
      <c r="J44" s="259" t="e">
        <f>+'Special Pricing'!$G$146</f>
        <v>#DIV/0!</v>
      </c>
      <c r="K44" s="17" t="str">
        <f t="shared" si="14"/>
        <v>I</v>
      </c>
      <c r="L44" s="17">
        <f t="shared" si="11"/>
        <v>0.27</v>
      </c>
      <c r="M44" s="106">
        <v>0</v>
      </c>
      <c r="N44" s="117" t="e">
        <f t="shared" si="15"/>
        <v>#DIV/0!</v>
      </c>
      <c r="O44" s="40">
        <f t="shared" si="16"/>
        <v>0</v>
      </c>
      <c r="P44" s="211">
        <f t="shared" si="7"/>
        <v>0</v>
      </c>
      <c r="Q44" s="164" t="e">
        <f t="shared" si="17"/>
        <v>#DIV/0!</v>
      </c>
      <c r="R44" s="209" t="e">
        <f t="shared" si="18"/>
        <v>#DIV/0!</v>
      </c>
      <c r="V44" s="23"/>
    </row>
    <row r="45" spans="1:22" s="41" customFormat="1" ht="15" customHeight="1" x14ac:dyDescent="0.2">
      <c r="A45" s="9">
        <v>622577</v>
      </c>
      <c r="B45" s="143" t="str">
        <f t="shared" si="0"/>
        <v>BRAXTON OIL</v>
      </c>
      <c r="C45" s="6" t="s">
        <v>1865</v>
      </c>
      <c r="D45" s="38"/>
      <c r="E45" s="38">
        <v>141087</v>
      </c>
      <c r="F45" s="39"/>
      <c r="G45" s="9" t="s">
        <v>1819</v>
      </c>
      <c r="H45" s="17">
        <f t="shared" si="12"/>
        <v>0</v>
      </c>
      <c r="I45" s="17">
        <f t="shared" si="13"/>
        <v>0</v>
      </c>
      <c r="J45" s="259" t="e">
        <f>+'Special Pricing'!$G$146</f>
        <v>#DIV/0!</v>
      </c>
      <c r="K45" s="17" t="str">
        <f t="shared" si="14"/>
        <v>I</v>
      </c>
      <c r="L45" s="17">
        <f t="shared" si="11"/>
        <v>0.27</v>
      </c>
      <c r="M45" s="106">
        <v>0</v>
      </c>
      <c r="N45" s="117" t="e">
        <f t="shared" si="15"/>
        <v>#DIV/0!</v>
      </c>
      <c r="O45" s="40">
        <f t="shared" si="16"/>
        <v>0</v>
      </c>
      <c r="P45" s="211">
        <f t="shared" si="7"/>
        <v>0</v>
      </c>
      <c r="Q45" s="164" t="e">
        <f t="shared" si="17"/>
        <v>#DIV/0!</v>
      </c>
      <c r="R45" s="209" t="e">
        <f t="shared" si="18"/>
        <v>#DIV/0!</v>
      </c>
    </row>
    <row r="46" spans="1:22" s="41" customFormat="1" ht="15" customHeight="1" x14ac:dyDescent="0.2">
      <c r="A46" s="9">
        <v>622578</v>
      </c>
      <c r="B46" s="143" t="str">
        <f t="shared" si="0"/>
        <v>BRAXTON OIL</v>
      </c>
      <c r="C46" s="6" t="s">
        <v>1865</v>
      </c>
      <c r="D46" s="38"/>
      <c r="E46" s="38">
        <v>141087</v>
      </c>
      <c r="F46" s="39"/>
      <c r="G46" s="9" t="s">
        <v>1819</v>
      </c>
      <c r="H46" s="17">
        <f t="shared" si="12"/>
        <v>0</v>
      </c>
      <c r="I46" s="17">
        <f t="shared" si="13"/>
        <v>0</v>
      </c>
      <c r="J46" s="259" t="e">
        <f>+'Special Pricing'!$G$146</f>
        <v>#DIV/0!</v>
      </c>
      <c r="K46" s="17" t="str">
        <f t="shared" si="14"/>
        <v>I</v>
      </c>
      <c r="L46" s="17">
        <f t="shared" si="11"/>
        <v>0.27</v>
      </c>
      <c r="M46" s="106">
        <v>0</v>
      </c>
      <c r="N46" s="117" t="e">
        <f t="shared" si="15"/>
        <v>#DIV/0!</v>
      </c>
      <c r="O46" s="40">
        <f t="shared" si="16"/>
        <v>0</v>
      </c>
      <c r="P46" s="211">
        <f t="shared" si="7"/>
        <v>0</v>
      </c>
      <c r="Q46" s="164" t="e">
        <f t="shared" si="17"/>
        <v>#DIV/0!</v>
      </c>
      <c r="R46" s="209" t="e">
        <f t="shared" si="18"/>
        <v>#DIV/0!</v>
      </c>
    </row>
    <row r="47" spans="1:22" s="41" customFormat="1" ht="15" customHeight="1" x14ac:dyDescent="0.2">
      <c r="A47" s="9">
        <v>625135</v>
      </c>
      <c r="B47" s="143" t="str">
        <f t="shared" si="0"/>
        <v>BRAXTON OIL</v>
      </c>
      <c r="C47" s="6" t="s">
        <v>1865</v>
      </c>
      <c r="D47" s="38"/>
      <c r="E47" s="38">
        <v>141087</v>
      </c>
      <c r="F47" s="39"/>
      <c r="G47" s="9" t="s">
        <v>1819</v>
      </c>
      <c r="H47" s="17">
        <f t="shared" si="12"/>
        <v>0</v>
      </c>
      <c r="I47" s="17">
        <f t="shared" si="13"/>
        <v>0</v>
      </c>
      <c r="J47" s="259" t="e">
        <f>+'Special Pricing'!$G$146</f>
        <v>#DIV/0!</v>
      </c>
      <c r="K47" s="17" t="str">
        <f t="shared" si="14"/>
        <v>N</v>
      </c>
      <c r="L47" s="159">
        <f t="shared" si="11"/>
        <v>0</v>
      </c>
      <c r="M47" s="106">
        <v>0</v>
      </c>
      <c r="N47" s="117" t="e">
        <f t="shared" si="15"/>
        <v>#DIV/0!</v>
      </c>
      <c r="O47" s="40">
        <f t="shared" si="16"/>
        <v>0</v>
      </c>
      <c r="P47" s="211">
        <f t="shared" si="7"/>
        <v>0</v>
      </c>
      <c r="Q47" s="164" t="e">
        <f t="shared" si="17"/>
        <v>#DIV/0!</v>
      </c>
      <c r="R47" s="209" t="e">
        <f t="shared" si="18"/>
        <v>#DIV/0!</v>
      </c>
    </row>
    <row r="48" spans="1:22" s="41" customFormat="1" ht="15" customHeight="1" x14ac:dyDescent="0.2">
      <c r="A48" s="9">
        <v>626566</v>
      </c>
      <c r="B48" s="143" t="str">
        <f t="shared" si="0"/>
        <v>BRAXTON OIL</v>
      </c>
      <c r="C48" s="6" t="s">
        <v>1865</v>
      </c>
      <c r="D48" s="38"/>
      <c r="E48" s="38">
        <v>141087</v>
      </c>
      <c r="F48" s="39"/>
      <c r="G48" s="9" t="s">
        <v>1819</v>
      </c>
      <c r="H48" s="17">
        <f t="shared" si="12"/>
        <v>0</v>
      </c>
      <c r="I48" s="17">
        <f t="shared" si="13"/>
        <v>0</v>
      </c>
      <c r="J48" s="259" t="e">
        <f>+'Special Pricing'!$G$146</f>
        <v>#DIV/0!</v>
      </c>
      <c r="K48" s="17" t="str">
        <f t="shared" si="14"/>
        <v>I</v>
      </c>
      <c r="L48" s="17">
        <f t="shared" si="11"/>
        <v>0.27</v>
      </c>
      <c r="M48" s="106">
        <v>0</v>
      </c>
      <c r="N48" s="117" t="e">
        <f t="shared" si="15"/>
        <v>#DIV/0!</v>
      </c>
      <c r="O48" s="40">
        <f t="shared" si="16"/>
        <v>0</v>
      </c>
      <c r="P48" s="211">
        <f t="shared" si="7"/>
        <v>0</v>
      </c>
      <c r="Q48" s="164" t="e">
        <f t="shared" si="17"/>
        <v>#DIV/0!</v>
      </c>
      <c r="R48" s="209" t="e">
        <f t="shared" si="18"/>
        <v>#DIV/0!</v>
      </c>
    </row>
    <row r="49" spans="1:24" s="41" customFormat="1" ht="15" customHeight="1" x14ac:dyDescent="0.2">
      <c r="A49" s="9">
        <v>626567</v>
      </c>
      <c r="B49" s="143" t="str">
        <f t="shared" si="0"/>
        <v>BRAXTON OIL</v>
      </c>
      <c r="C49" s="6" t="s">
        <v>1865</v>
      </c>
      <c r="D49" s="38"/>
      <c r="E49" s="38">
        <v>141087</v>
      </c>
      <c r="F49" s="39"/>
      <c r="G49" s="9" t="s">
        <v>1819</v>
      </c>
      <c r="H49" s="17">
        <f t="shared" si="12"/>
        <v>0</v>
      </c>
      <c r="I49" s="17">
        <f t="shared" si="13"/>
        <v>0</v>
      </c>
      <c r="J49" s="259" t="e">
        <f>+'Special Pricing'!$G$146</f>
        <v>#DIV/0!</v>
      </c>
      <c r="K49" s="17" t="str">
        <f t="shared" si="14"/>
        <v>I</v>
      </c>
      <c r="L49" s="17">
        <f t="shared" si="11"/>
        <v>0.27</v>
      </c>
      <c r="M49" s="106">
        <v>0</v>
      </c>
      <c r="N49" s="117" t="e">
        <f t="shared" si="15"/>
        <v>#DIV/0!</v>
      </c>
      <c r="O49" s="40">
        <f t="shared" si="16"/>
        <v>0</v>
      </c>
      <c r="P49" s="211">
        <f t="shared" si="7"/>
        <v>0</v>
      </c>
      <c r="Q49" s="164" t="e">
        <f t="shared" si="17"/>
        <v>#DIV/0!</v>
      </c>
      <c r="R49" s="209" t="e">
        <f t="shared" si="18"/>
        <v>#DIV/0!</v>
      </c>
    </row>
    <row r="50" spans="1:24" s="41" customFormat="1" ht="15" customHeight="1" x14ac:dyDescent="0.2">
      <c r="A50" s="9">
        <v>626592</v>
      </c>
      <c r="B50" s="143" t="str">
        <f t="shared" si="0"/>
        <v>BRAXTON OIL</v>
      </c>
      <c r="C50" s="6" t="s">
        <v>1865</v>
      </c>
      <c r="D50" s="8"/>
      <c r="E50" s="38">
        <v>141087</v>
      </c>
      <c r="F50" s="39"/>
      <c r="G50" s="9" t="s">
        <v>1819</v>
      </c>
      <c r="H50" s="17">
        <f t="shared" si="12"/>
        <v>0</v>
      </c>
      <c r="I50" s="17">
        <f t="shared" si="13"/>
        <v>0</v>
      </c>
      <c r="J50" s="259" t="e">
        <f>+'Special Pricing'!$G$146</f>
        <v>#DIV/0!</v>
      </c>
      <c r="K50" s="17" t="str">
        <f t="shared" si="14"/>
        <v>I</v>
      </c>
      <c r="L50" s="17">
        <f t="shared" si="11"/>
        <v>0.27</v>
      </c>
      <c r="M50" s="106">
        <v>0</v>
      </c>
      <c r="N50" s="117" t="e">
        <f t="shared" si="15"/>
        <v>#DIV/0!</v>
      </c>
      <c r="O50" s="40">
        <f t="shared" si="16"/>
        <v>0</v>
      </c>
      <c r="P50" s="211">
        <f t="shared" si="7"/>
        <v>0</v>
      </c>
      <c r="Q50" s="164" t="e">
        <f t="shared" si="17"/>
        <v>#DIV/0!</v>
      </c>
      <c r="R50" s="209" t="e">
        <f t="shared" si="18"/>
        <v>#DIV/0!</v>
      </c>
    </row>
    <row r="51" spans="1:24" s="41" customFormat="1" ht="15" customHeight="1" x14ac:dyDescent="0.2">
      <c r="A51" s="9">
        <v>626593</v>
      </c>
      <c r="B51" s="143" t="str">
        <f t="shared" si="0"/>
        <v>BRAXTON OIL</v>
      </c>
      <c r="C51" s="6" t="s">
        <v>1865</v>
      </c>
      <c r="D51" s="38"/>
      <c r="E51" s="38">
        <v>141087</v>
      </c>
      <c r="F51" s="39"/>
      <c r="G51" s="9" t="s">
        <v>1819</v>
      </c>
      <c r="H51" s="17">
        <f t="shared" si="12"/>
        <v>0</v>
      </c>
      <c r="I51" s="17">
        <f t="shared" si="13"/>
        <v>0</v>
      </c>
      <c r="J51" s="259" t="e">
        <f>+'Special Pricing'!$G$146</f>
        <v>#DIV/0!</v>
      </c>
      <c r="K51" s="17" t="str">
        <f t="shared" si="14"/>
        <v>I</v>
      </c>
      <c r="L51" s="17">
        <f t="shared" si="11"/>
        <v>0.27</v>
      </c>
      <c r="M51" s="106">
        <v>0</v>
      </c>
      <c r="N51" s="117" t="e">
        <f t="shared" si="15"/>
        <v>#DIV/0!</v>
      </c>
      <c r="O51" s="40">
        <f t="shared" si="16"/>
        <v>0</v>
      </c>
      <c r="P51" s="211">
        <f t="shared" si="7"/>
        <v>0</v>
      </c>
      <c r="Q51" s="164" t="e">
        <f t="shared" si="17"/>
        <v>#DIV/0!</v>
      </c>
      <c r="R51" s="209" t="e">
        <f t="shared" si="18"/>
        <v>#DIV/0!</v>
      </c>
    </row>
    <row r="52" spans="1:24" s="41" customFormat="1" ht="15" customHeight="1" x14ac:dyDescent="0.2">
      <c r="A52" s="9">
        <v>628227</v>
      </c>
      <c r="B52" s="143" t="str">
        <f t="shared" si="0"/>
        <v>BRAXTON OIL</v>
      </c>
      <c r="C52" s="6" t="s">
        <v>1865</v>
      </c>
      <c r="D52" s="38"/>
      <c r="E52" s="38">
        <v>141087</v>
      </c>
      <c r="F52" s="39"/>
      <c r="G52" s="9" t="s">
        <v>1819</v>
      </c>
      <c r="H52" s="17">
        <f t="shared" si="12"/>
        <v>0</v>
      </c>
      <c r="I52" s="17">
        <f t="shared" si="13"/>
        <v>0</v>
      </c>
      <c r="J52" s="259" t="e">
        <f>+'Special Pricing'!$G$146</f>
        <v>#DIV/0!</v>
      </c>
      <c r="K52" s="17" t="str">
        <f t="shared" si="14"/>
        <v>I</v>
      </c>
      <c r="L52" s="17">
        <f t="shared" si="11"/>
        <v>0.27</v>
      </c>
      <c r="M52" s="106">
        <v>0</v>
      </c>
      <c r="N52" s="117" t="e">
        <f t="shared" si="15"/>
        <v>#DIV/0!</v>
      </c>
      <c r="O52" s="40">
        <f t="shared" si="16"/>
        <v>0</v>
      </c>
      <c r="P52" s="211">
        <f t="shared" si="7"/>
        <v>0</v>
      </c>
      <c r="Q52" s="164" t="e">
        <f t="shared" si="17"/>
        <v>#DIV/0!</v>
      </c>
      <c r="R52" s="209" t="e">
        <f t="shared" si="18"/>
        <v>#DIV/0!</v>
      </c>
    </row>
    <row r="53" spans="1:24" s="41" customFormat="1" ht="15" customHeight="1" x14ac:dyDescent="0.2">
      <c r="A53" s="9">
        <v>628475</v>
      </c>
      <c r="B53" s="143" t="str">
        <f t="shared" si="0"/>
        <v>BRAXTON OIL</v>
      </c>
      <c r="C53" s="6" t="s">
        <v>1865</v>
      </c>
      <c r="D53" s="38"/>
      <c r="E53" s="38">
        <v>141087</v>
      </c>
      <c r="F53" s="39"/>
      <c r="G53" s="9" t="s">
        <v>1819</v>
      </c>
      <c r="H53" s="17">
        <f t="shared" si="12"/>
        <v>0</v>
      </c>
      <c r="I53" s="17">
        <f t="shared" si="13"/>
        <v>0</v>
      </c>
      <c r="J53" s="259" t="e">
        <f>+'Special Pricing'!$G$146</f>
        <v>#DIV/0!</v>
      </c>
      <c r="K53" s="17" t="str">
        <f t="shared" si="14"/>
        <v>I</v>
      </c>
      <c r="L53" s="17">
        <f t="shared" si="11"/>
        <v>0.27</v>
      </c>
      <c r="M53" s="106">
        <v>0</v>
      </c>
      <c r="N53" s="117" t="e">
        <f t="shared" si="15"/>
        <v>#DIV/0!</v>
      </c>
      <c r="O53" s="40">
        <f t="shared" si="16"/>
        <v>0</v>
      </c>
      <c r="P53" s="211">
        <f t="shared" si="7"/>
        <v>0</v>
      </c>
      <c r="Q53" s="164" t="e">
        <f t="shared" si="17"/>
        <v>#DIV/0!</v>
      </c>
      <c r="R53" s="209" t="e">
        <f t="shared" si="18"/>
        <v>#DIV/0!</v>
      </c>
    </row>
    <row r="54" spans="1:24" s="47" customFormat="1" ht="15" customHeight="1" x14ac:dyDescent="0.2">
      <c r="A54" s="9">
        <v>628476</v>
      </c>
      <c r="B54" s="143" t="str">
        <f t="shared" si="0"/>
        <v>BRAXTON OIL</v>
      </c>
      <c r="C54" s="6" t="s">
        <v>1865</v>
      </c>
      <c r="D54" s="38"/>
      <c r="E54" s="38">
        <v>141087</v>
      </c>
      <c r="F54" s="39"/>
      <c r="G54" s="9" t="s">
        <v>1819</v>
      </c>
      <c r="H54" s="17">
        <f t="shared" si="12"/>
        <v>0</v>
      </c>
      <c r="I54" s="17">
        <f t="shared" si="13"/>
        <v>0</v>
      </c>
      <c r="J54" s="259" t="e">
        <f>+'Special Pricing'!$G$146</f>
        <v>#DIV/0!</v>
      </c>
      <c r="K54" s="17" t="str">
        <f t="shared" si="14"/>
        <v>I</v>
      </c>
      <c r="L54" s="17">
        <f t="shared" si="11"/>
        <v>0.27</v>
      </c>
      <c r="M54" s="106">
        <v>0</v>
      </c>
      <c r="N54" s="117" t="e">
        <f t="shared" si="15"/>
        <v>#DIV/0!</v>
      </c>
      <c r="O54" s="40">
        <f t="shared" si="16"/>
        <v>0</v>
      </c>
      <c r="P54" s="211">
        <f t="shared" si="7"/>
        <v>0</v>
      </c>
      <c r="Q54" s="164" t="e">
        <f t="shared" si="17"/>
        <v>#DIV/0!</v>
      </c>
      <c r="R54" s="209" t="e">
        <f t="shared" si="18"/>
        <v>#DIV/0!</v>
      </c>
      <c r="S54" s="41"/>
      <c r="T54" s="41"/>
      <c r="U54" s="41"/>
      <c r="V54" s="41"/>
    </row>
    <row r="55" spans="1:24" s="41" customFormat="1" ht="15" customHeight="1" x14ac:dyDescent="0.2">
      <c r="A55" s="9">
        <v>629141</v>
      </c>
      <c r="B55" s="143" t="str">
        <f t="shared" si="0"/>
        <v>BRAXTON OIL</v>
      </c>
      <c r="C55" s="6" t="s">
        <v>1865</v>
      </c>
      <c r="D55" s="38"/>
      <c r="E55" s="38">
        <v>141087</v>
      </c>
      <c r="F55" s="39"/>
      <c r="G55" s="9" t="s">
        <v>1819</v>
      </c>
      <c r="H55" s="17">
        <f t="shared" si="12"/>
        <v>0</v>
      </c>
      <c r="I55" s="17">
        <f t="shared" si="13"/>
        <v>0</v>
      </c>
      <c r="J55" s="259" t="e">
        <f>+'Special Pricing'!$G$146</f>
        <v>#DIV/0!</v>
      </c>
      <c r="K55" s="17" t="str">
        <f t="shared" si="14"/>
        <v>I</v>
      </c>
      <c r="L55" s="17">
        <f t="shared" si="11"/>
        <v>0.27</v>
      </c>
      <c r="M55" s="106">
        <v>0</v>
      </c>
      <c r="N55" s="117" t="e">
        <f t="shared" si="15"/>
        <v>#DIV/0!</v>
      </c>
      <c r="O55" s="40">
        <f t="shared" si="16"/>
        <v>0</v>
      </c>
      <c r="P55" s="211">
        <f t="shared" si="7"/>
        <v>0</v>
      </c>
      <c r="Q55" s="164" t="e">
        <f t="shared" si="17"/>
        <v>#DIV/0!</v>
      </c>
      <c r="R55" s="209" t="e">
        <f t="shared" si="18"/>
        <v>#DIV/0!</v>
      </c>
    </row>
    <row r="56" spans="1:24" s="41" customFormat="1" ht="15" customHeight="1" x14ac:dyDescent="0.2">
      <c r="A56" s="285">
        <v>729044</v>
      </c>
      <c r="B56" s="143" t="str">
        <f t="shared" si="0"/>
        <v>BRONCO B LEASIN</v>
      </c>
      <c r="C56" s="286" t="s">
        <v>296</v>
      </c>
      <c r="D56" s="447"/>
      <c r="E56" s="272" t="s">
        <v>301</v>
      </c>
      <c r="F56" s="265" t="s">
        <v>302</v>
      </c>
      <c r="G56" s="454">
        <v>2.2999999999999998</v>
      </c>
      <c r="H56" s="17">
        <f t="shared" si="12"/>
        <v>0</v>
      </c>
      <c r="I56" s="17">
        <f t="shared" si="13"/>
        <v>0</v>
      </c>
      <c r="J56" s="287">
        <v>2.2999999999999998</v>
      </c>
      <c r="K56" s="17" t="str">
        <f t="shared" si="14"/>
        <v>N</v>
      </c>
      <c r="L56" s="17">
        <f t="shared" si="11"/>
        <v>0</v>
      </c>
      <c r="M56" s="288">
        <v>0</v>
      </c>
      <c r="N56" s="117">
        <f t="shared" si="15"/>
        <v>2.2999999999999998</v>
      </c>
      <c r="O56" s="289">
        <f t="shared" si="16"/>
        <v>0</v>
      </c>
      <c r="P56" s="211">
        <f t="shared" si="7"/>
        <v>0</v>
      </c>
      <c r="Q56" s="290">
        <f t="shared" si="17"/>
        <v>0</v>
      </c>
      <c r="R56" s="209">
        <f t="shared" si="18"/>
        <v>0</v>
      </c>
      <c r="S56" s="47"/>
      <c r="T56" s="47"/>
      <c r="U56" s="108"/>
      <c r="V56" s="108"/>
    </row>
    <row r="57" spans="1:24" s="41" customFormat="1" ht="15" customHeight="1" x14ac:dyDescent="0.2">
      <c r="A57" s="285">
        <v>716232</v>
      </c>
      <c r="B57" s="143" t="str">
        <f t="shared" si="0"/>
        <v>BUCKEYE OIL</v>
      </c>
      <c r="C57" s="411" t="s">
        <v>813</v>
      </c>
      <c r="D57" s="38" t="s">
        <v>818</v>
      </c>
      <c r="E57" s="285" t="s">
        <v>493</v>
      </c>
      <c r="F57" s="285"/>
      <c r="G57" s="535" t="s">
        <v>303</v>
      </c>
      <c r="H57" s="17">
        <f t="shared" si="12"/>
        <v>0</v>
      </c>
      <c r="I57" s="17">
        <f t="shared" si="13"/>
        <v>0</v>
      </c>
      <c r="J57" s="656">
        <f>$J$5</f>
        <v>2.14</v>
      </c>
      <c r="K57" s="17" t="str">
        <f t="shared" si="14"/>
        <v>I</v>
      </c>
      <c r="L57" s="17">
        <f t="shared" si="11"/>
        <v>0.27</v>
      </c>
      <c r="M57" s="303">
        <v>0</v>
      </c>
      <c r="N57" s="287">
        <f t="shared" ref="N57:N69" si="19">+J57-L57-M57</f>
        <v>1.87</v>
      </c>
      <c r="O57" s="289">
        <f t="shared" si="16"/>
        <v>0</v>
      </c>
      <c r="P57" s="211">
        <f t="shared" si="7"/>
        <v>0</v>
      </c>
      <c r="Q57" s="290">
        <f t="shared" si="17"/>
        <v>0</v>
      </c>
      <c r="R57" s="209">
        <f t="shared" si="18"/>
        <v>0</v>
      </c>
      <c r="W57" s="395">
        <v>0.27</v>
      </c>
      <c r="X57" s="395">
        <v>0</v>
      </c>
    </row>
    <row r="58" spans="1:24" s="41" customFormat="1" ht="15" customHeight="1" x14ac:dyDescent="0.2">
      <c r="A58" s="285">
        <v>716575</v>
      </c>
      <c r="B58" s="143" t="str">
        <f t="shared" si="0"/>
        <v>na</v>
      </c>
      <c r="C58" s="411" t="s">
        <v>813</v>
      </c>
      <c r="D58" s="38" t="s">
        <v>818</v>
      </c>
      <c r="E58" s="285" t="s">
        <v>493</v>
      </c>
      <c r="F58" s="285"/>
      <c r="G58" s="535" t="s">
        <v>303</v>
      </c>
      <c r="H58" s="17" t="str">
        <f t="shared" si="12"/>
        <v>na</v>
      </c>
      <c r="I58" s="17">
        <f t="shared" si="13"/>
        <v>0</v>
      </c>
      <c r="J58" s="656">
        <f t="shared" ref="J58:J69" si="20">$J$5</f>
        <v>2.14</v>
      </c>
      <c r="K58" s="17">
        <f t="shared" si="14"/>
        <v>0</v>
      </c>
      <c r="L58" s="17">
        <f t="shared" si="11"/>
        <v>0.27</v>
      </c>
      <c r="M58" s="303">
        <v>0</v>
      </c>
      <c r="N58" s="287">
        <f t="shared" si="19"/>
        <v>1.87</v>
      </c>
      <c r="O58" s="289" t="e">
        <f t="shared" si="16"/>
        <v>#VALUE!</v>
      </c>
      <c r="P58" s="211">
        <f t="shared" si="7"/>
        <v>0</v>
      </c>
      <c r="Q58" s="290">
        <f t="shared" si="17"/>
        <v>0</v>
      </c>
      <c r="R58" s="209">
        <f t="shared" si="18"/>
        <v>0</v>
      </c>
      <c r="S58" s="47"/>
      <c r="T58" s="47"/>
      <c r="U58" s="47"/>
      <c r="V58" s="15"/>
      <c r="W58" s="395">
        <v>0.27</v>
      </c>
      <c r="X58" s="395">
        <v>0</v>
      </c>
    </row>
    <row r="59" spans="1:24" s="41" customFormat="1" ht="15" customHeight="1" x14ac:dyDescent="0.2">
      <c r="A59" s="285">
        <v>717858</v>
      </c>
      <c r="B59" s="143" t="str">
        <f t="shared" si="0"/>
        <v>BUCKEYE OIL</v>
      </c>
      <c r="C59" s="411" t="s">
        <v>813</v>
      </c>
      <c r="D59" s="38" t="s">
        <v>818</v>
      </c>
      <c r="E59" s="285" t="s">
        <v>493</v>
      </c>
      <c r="F59" s="285"/>
      <c r="G59" s="535" t="s">
        <v>303</v>
      </c>
      <c r="H59" s="17">
        <f t="shared" si="12"/>
        <v>0</v>
      </c>
      <c r="I59" s="17">
        <f t="shared" si="13"/>
        <v>0</v>
      </c>
      <c r="J59" s="656">
        <f t="shared" si="20"/>
        <v>2.14</v>
      </c>
      <c r="K59" s="17" t="str">
        <f t="shared" si="14"/>
        <v>N</v>
      </c>
      <c r="L59" s="17">
        <f t="shared" si="11"/>
        <v>0</v>
      </c>
      <c r="M59" s="303">
        <v>0</v>
      </c>
      <c r="N59" s="287">
        <f t="shared" si="19"/>
        <v>2.14</v>
      </c>
      <c r="O59" s="289">
        <f t="shared" si="16"/>
        <v>0</v>
      </c>
      <c r="P59" s="211">
        <f t="shared" si="7"/>
        <v>0</v>
      </c>
      <c r="Q59" s="290">
        <f t="shared" si="17"/>
        <v>0</v>
      </c>
      <c r="R59" s="209">
        <f t="shared" si="18"/>
        <v>0</v>
      </c>
      <c r="V59" s="42"/>
      <c r="W59" s="395">
        <v>0</v>
      </c>
      <c r="X59" s="395">
        <v>0</v>
      </c>
    </row>
    <row r="60" spans="1:24" s="41" customFormat="1" ht="15" customHeight="1" x14ac:dyDescent="0.2">
      <c r="A60" s="825">
        <v>719272</v>
      </c>
      <c r="B60" s="143" t="str">
        <f t="shared" si="0"/>
        <v>BUCKEYE OIL</v>
      </c>
      <c r="C60" s="411" t="s">
        <v>813</v>
      </c>
      <c r="D60" s="38" t="s">
        <v>818</v>
      </c>
      <c r="E60" s="285" t="s">
        <v>493</v>
      </c>
      <c r="F60" s="285"/>
      <c r="G60" s="535" t="s">
        <v>303</v>
      </c>
      <c r="H60" s="17">
        <f>IF(ISNA(VLOOKUP(A60,cgas9910,9,FALSE)),"na",VLOOKUP(A60,cgas9910,9,FALSE))</f>
        <v>0</v>
      </c>
      <c r="I60" s="17">
        <f>IF(ISNA(VLOOKUP(A60,cgas9910,10,FALSE)),0,(VLOOKUP(A60,cgas9910,10,FALSE)))</f>
        <v>0</v>
      </c>
      <c r="J60" s="656">
        <f t="shared" si="20"/>
        <v>2.14</v>
      </c>
      <c r="K60" s="17" t="str">
        <f>IF(ISNA(VLOOKUP(A60,cgas9910,7,FALSE)),0,(VLOOKUP(A60,cgas9910,7,FALSE)))</f>
        <v>I</v>
      </c>
      <c r="L60" s="17">
        <f t="shared" si="11"/>
        <v>0.27</v>
      </c>
      <c r="M60" s="303">
        <v>0</v>
      </c>
      <c r="N60" s="287">
        <f>+J60-L60-M60</f>
        <v>1.87</v>
      </c>
      <c r="O60" s="289">
        <f>+H60*0.001</f>
        <v>0</v>
      </c>
      <c r="P60" s="211">
        <f>IF(AND(A60&gt;700000,A60&lt;800000),+I60*0.001,0)</f>
        <v>0</v>
      </c>
      <c r="Q60" s="290">
        <f>+N60*I60</f>
        <v>0</v>
      </c>
      <c r="R60" s="209">
        <f>+(I60*N60)-P60</f>
        <v>0</v>
      </c>
      <c r="S60" s="826" t="s">
        <v>1260</v>
      </c>
      <c r="V60" s="42"/>
      <c r="W60" s="395">
        <v>0</v>
      </c>
      <c r="X60" s="395">
        <v>0</v>
      </c>
    </row>
    <row r="61" spans="1:24" s="41" customFormat="1" ht="15" customHeight="1" x14ac:dyDescent="0.2">
      <c r="A61" s="285">
        <v>719487</v>
      </c>
      <c r="B61" s="143" t="str">
        <f t="shared" si="0"/>
        <v>BUCKEYE OIL</v>
      </c>
      <c r="C61" s="411" t="s">
        <v>813</v>
      </c>
      <c r="D61" s="38" t="s">
        <v>818</v>
      </c>
      <c r="E61" s="285" t="s">
        <v>493</v>
      </c>
      <c r="F61" s="285"/>
      <c r="G61" s="535" t="s">
        <v>303</v>
      </c>
      <c r="H61" s="17">
        <f>IF(ISNA(VLOOKUP(A61,cgas9910,9,FALSE)),"na",VLOOKUP(A61,cgas9910,9,FALSE))</f>
        <v>0</v>
      </c>
      <c r="I61" s="17">
        <f>IF(ISNA(VLOOKUP(A61,cgas9910,10,FALSE)),0,(VLOOKUP(A61,cgas9910,10,FALSE)))</f>
        <v>0</v>
      </c>
      <c r="J61" s="656">
        <f t="shared" si="20"/>
        <v>2.14</v>
      </c>
      <c r="K61" s="17" t="str">
        <f>IF(ISNA(VLOOKUP(A61,cgas9910,7,FALSE)),0,(VLOOKUP(A61,cgas9910,7,FALSE)))</f>
        <v>N</v>
      </c>
      <c r="L61" s="17">
        <f t="shared" si="11"/>
        <v>0</v>
      </c>
      <c r="M61" s="303">
        <v>0</v>
      </c>
      <c r="N61" s="287">
        <f>+J61-L61-M61</f>
        <v>2.14</v>
      </c>
      <c r="O61" s="289">
        <f>+H61*0.001</f>
        <v>0</v>
      </c>
      <c r="P61" s="211">
        <f>IF(AND(A61&gt;700000,A61&lt;800000),+I61*0.001,0)</f>
        <v>0</v>
      </c>
      <c r="Q61" s="290">
        <f>+N61*I61</f>
        <v>0</v>
      </c>
      <c r="R61" s="209">
        <f>+(I61*N61)-P61</f>
        <v>0</v>
      </c>
      <c r="V61" s="42"/>
      <c r="W61" s="395">
        <v>0</v>
      </c>
      <c r="X61" s="395">
        <v>0</v>
      </c>
    </row>
    <row r="62" spans="1:24" s="41" customFormat="1" ht="15" customHeight="1" x14ac:dyDescent="0.2">
      <c r="A62" s="825">
        <v>721053</v>
      </c>
      <c r="B62" s="143" t="str">
        <f t="shared" si="0"/>
        <v>BUCKEYE OIL</v>
      </c>
      <c r="C62" s="411" t="s">
        <v>813</v>
      </c>
      <c r="D62" s="38" t="s">
        <v>818</v>
      </c>
      <c r="E62" s="285" t="s">
        <v>493</v>
      </c>
      <c r="F62" s="285"/>
      <c r="G62" s="535" t="s">
        <v>303</v>
      </c>
      <c r="H62" s="17">
        <f>IF(ISNA(VLOOKUP(A62,cgas9910,9,FALSE)),"na",VLOOKUP(A62,cgas9910,9,FALSE))</f>
        <v>0</v>
      </c>
      <c r="I62" s="17">
        <f>IF(ISNA(VLOOKUP(A62,cgas9910,10,FALSE)),0,(VLOOKUP(A62,cgas9910,10,FALSE)))</f>
        <v>0</v>
      </c>
      <c r="J62" s="656">
        <f t="shared" si="20"/>
        <v>2.14</v>
      </c>
      <c r="K62" s="17" t="str">
        <f>IF(ISNA(VLOOKUP(A62,cgas9910,7,FALSE)),0,(VLOOKUP(A62,cgas9910,7,FALSE)))</f>
        <v>N</v>
      </c>
      <c r="L62" s="17">
        <f t="shared" si="11"/>
        <v>0</v>
      </c>
      <c r="M62" s="303">
        <v>0</v>
      </c>
      <c r="N62" s="287">
        <f>+J62-L62-M62</f>
        <v>2.14</v>
      </c>
      <c r="O62" s="289">
        <f>+H62*0.001</f>
        <v>0</v>
      </c>
      <c r="P62" s="211">
        <f>IF(AND(A62&gt;700000,A62&lt;800000),+I62*0.001,0)</f>
        <v>0</v>
      </c>
      <c r="Q62" s="290">
        <f>+N62*I62</f>
        <v>0</v>
      </c>
      <c r="R62" s="209">
        <f>+(I62*N62)-P62</f>
        <v>0</v>
      </c>
      <c r="S62" s="826" t="s">
        <v>1260</v>
      </c>
      <c r="V62" s="42"/>
      <c r="W62" s="395">
        <v>0</v>
      </c>
      <c r="X62" s="395">
        <v>0</v>
      </c>
    </row>
    <row r="63" spans="1:24" s="41" customFormat="1" ht="15" customHeight="1" x14ac:dyDescent="0.2">
      <c r="A63" s="285">
        <v>721848</v>
      </c>
      <c r="B63" s="143" t="str">
        <f t="shared" si="0"/>
        <v>na</v>
      </c>
      <c r="C63" s="411" t="s">
        <v>813</v>
      </c>
      <c r="D63" s="38" t="s">
        <v>818</v>
      </c>
      <c r="E63" s="285" t="s">
        <v>493</v>
      </c>
      <c r="F63" s="285"/>
      <c r="G63" s="535" t="s">
        <v>303</v>
      </c>
      <c r="H63" s="17" t="str">
        <f t="shared" si="12"/>
        <v>na</v>
      </c>
      <c r="I63" s="17">
        <f t="shared" si="13"/>
        <v>0</v>
      </c>
      <c r="J63" s="656">
        <f t="shared" si="20"/>
        <v>2.14</v>
      </c>
      <c r="K63" s="17">
        <f t="shared" si="14"/>
        <v>0</v>
      </c>
      <c r="L63" s="17">
        <f t="shared" si="11"/>
        <v>0.27</v>
      </c>
      <c r="M63" s="303">
        <v>0</v>
      </c>
      <c r="N63" s="287">
        <f t="shared" si="19"/>
        <v>1.87</v>
      </c>
      <c r="O63" s="289" t="e">
        <f t="shared" si="16"/>
        <v>#VALUE!</v>
      </c>
      <c r="P63" s="211">
        <f t="shared" si="7"/>
        <v>0</v>
      </c>
      <c r="Q63" s="290">
        <f t="shared" si="17"/>
        <v>0</v>
      </c>
      <c r="R63" s="209">
        <f t="shared" si="18"/>
        <v>0</v>
      </c>
      <c r="V63" s="42"/>
      <c r="W63" s="395">
        <v>0</v>
      </c>
      <c r="X63" s="395">
        <v>0</v>
      </c>
    </row>
    <row r="64" spans="1:24" s="41" customFormat="1" ht="15" customHeight="1" x14ac:dyDescent="0.2">
      <c r="A64" s="285">
        <v>721849</v>
      </c>
      <c r="B64" s="143" t="str">
        <f t="shared" si="0"/>
        <v>na</v>
      </c>
      <c r="C64" s="411" t="s">
        <v>813</v>
      </c>
      <c r="D64" s="38" t="s">
        <v>818</v>
      </c>
      <c r="E64" s="285" t="s">
        <v>493</v>
      </c>
      <c r="F64" s="285"/>
      <c r="G64" s="535" t="s">
        <v>303</v>
      </c>
      <c r="H64" s="17" t="str">
        <f t="shared" si="12"/>
        <v>na</v>
      </c>
      <c r="I64" s="17">
        <f t="shared" si="13"/>
        <v>0</v>
      </c>
      <c r="J64" s="656">
        <f t="shared" si="20"/>
        <v>2.14</v>
      </c>
      <c r="K64" s="17">
        <f t="shared" si="14"/>
        <v>0</v>
      </c>
      <c r="L64" s="17">
        <f t="shared" ref="L64:L83" si="21">IF(K64="N",0,0.27)</f>
        <v>0.27</v>
      </c>
      <c r="M64" s="303">
        <v>0</v>
      </c>
      <c r="N64" s="287">
        <f t="shared" si="19"/>
        <v>1.87</v>
      </c>
      <c r="O64" s="289" t="e">
        <f t="shared" si="16"/>
        <v>#VALUE!</v>
      </c>
      <c r="P64" s="211">
        <f t="shared" si="7"/>
        <v>0</v>
      </c>
      <c r="Q64" s="290">
        <f t="shared" si="17"/>
        <v>0</v>
      </c>
      <c r="R64" s="209">
        <f t="shared" si="18"/>
        <v>0</v>
      </c>
      <c r="V64" s="42"/>
      <c r="W64" s="395">
        <v>0.27</v>
      </c>
      <c r="X64" s="395">
        <v>0</v>
      </c>
    </row>
    <row r="65" spans="1:24" s="41" customFormat="1" ht="15" customHeight="1" x14ac:dyDescent="0.2">
      <c r="A65" s="357">
        <v>723630</v>
      </c>
      <c r="B65" s="143" t="str">
        <f t="shared" si="0"/>
        <v>na</v>
      </c>
      <c r="C65" s="412" t="s">
        <v>813</v>
      </c>
      <c r="D65" s="356" t="s">
        <v>818</v>
      </c>
      <c r="E65" s="357" t="s">
        <v>493</v>
      </c>
      <c r="F65" s="357"/>
      <c r="G65" s="655" t="s">
        <v>303</v>
      </c>
      <c r="H65" s="17" t="str">
        <f t="shared" si="12"/>
        <v>na</v>
      </c>
      <c r="I65" s="17">
        <f t="shared" si="13"/>
        <v>0</v>
      </c>
      <c r="J65" s="656">
        <f t="shared" si="20"/>
        <v>2.14</v>
      </c>
      <c r="K65" s="17">
        <f t="shared" si="14"/>
        <v>0</v>
      </c>
      <c r="L65" s="17">
        <f t="shared" si="21"/>
        <v>0.27</v>
      </c>
      <c r="M65" s="389">
        <v>0</v>
      </c>
      <c r="N65" s="287">
        <f t="shared" si="19"/>
        <v>1.87</v>
      </c>
      <c r="O65" s="289" t="e">
        <f t="shared" si="16"/>
        <v>#VALUE!</v>
      </c>
      <c r="P65" s="211">
        <f t="shared" si="7"/>
        <v>0</v>
      </c>
      <c r="Q65" s="290">
        <f t="shared" si="17"/>
        <v>0</v>
      </c>
      <c r="R65" s="209">
        <f t="shared" si="18"/>
        <v>0</v>
      </c>
      <c r="V65" s="42"/>
      <c r="W65" s="396">
        <v>0.27</v>
      </c>
      <c r="X65" s="396">
        <v>0</v>
      </c>
    </row>
    <row r="66" spans="1:24" s="41" customFormat="1" ht="15" customHeight="1" x14ac:dyDescent="0.2">
      <c r="A66" s="285">
        <v>730263</v>
      </c>
      <c r="B66" s="143" t="str">
        <f t="shared" si="0"/>
        <v>BUCKEYE FRANKLI</v>
      </c>
      <c r="C66" s="411" t="s">
        <v>813</v>
      </c>
      <c r="D66" s="38" t="s">
        <v>818</v>
      </c>
      <c r="E66" s="285" t="s">
        <v>493</v>
      </c>
      <c r="F66" s="285"/>
      <c r="G66" s="535" t="s">
        <v>303</v>
      </c>
      <c r="H66" s="17">
        <f>IF(ISNA(VLOOKUP(A66,cgas9910,9,FALSE)),"na",VLOOKUP(A66,cgas9910,9,FALSE))</f>
        <v>0</v>
      </c>
      <c r="I66" s="17">
        <f>IF(ISNA(VLOOKUP(A66,cgas9910,10,FALSE)),0,(VLOOKUP(A66,cgas9910,10,FALSE)))</f>
        <v>0</v>
      </c>
      <c r="J66" s="656">
        <f t="shared" si="20"/>
        <v>2.14</v>
      </c>
      <c r="K66" s="17" t="str">
        <f>IF(ISNA(VLOOKUP(A66,cgas9910,7,FALSE)),0,(VLOOKUP(A66,cgas9910,7,FALSE)))</f>
        <v>N</v>
      </c>
      <c r="L66" s="17">
        <f t="shared" si="21"/>
        <v>0</v>
      </c>
      <c r="M66" s="303">
        <v>0</v>
      </c>
      <c r="N66" s="287">
        <f>+J66-L66-M66</f>
        <v>2.14</v>
      </c>
      <c r="O66" s="289">
        <f>+H66*0.001</f>
        <v>0</v>
      </c>
      <c r="P66" s="211">
        <f>IF(AND(A66&gt;700000,A66&lt;800000),+I66*0.001,0)</f>
        <v>0</v>
      </c>
      <c r="Q66" s="290">
        <f>+N66*I66</f>
        <v>0</v>
      </c>
      <c r="R66" s="209">
        <f>+(I66*N66)-P66</f>
        <v>0</v>
      </c>
      <c r="W66" s="395">
        <v>0</v>
      </c>
      <c r="X66" s="395">
        <v>0</v>
      </c>
    </row>
    <row r="67" spans="1:24" s="41" customFormat="1" ht="15" customHeight="1" x14ac:dyDescent="0.2">
      <c r="A67" s="285">
        <v>733159</v>
      </c>
      <c r="B67" s="143" t="str">
        <f t="shared" si="0"/>
        <v>BUCKEYE FRANKLI</v>
      </c>
      <c r="C67" s="411" t="s">
        <v>813</v>
      </c>
      <c r="D67" s="38" t="s">
        <v>818</v>
      </c>
      <c r="E67" s="285" t="s">
        <v>493</v>
      </c>
      <c r="F67" s="285"/>
      <c r="G67" s="535" t="s">
        <v>303</v>
      </c>
      <c r="H67" s="17">
        <f>IF(ISNA(VLOOKUP(A67,cgas9910,9,FALSE)),"na",VLOOKUP(A67,cgas9910,9,FALSE))</f>
        <v>0</v>
      </c>
      <c r="I67" s="17">
        <f>IF(ISNA(VLOOKUP(A67,cgas9910,10,FALSE)),0,(VLOOKUP(A67,cgas9910,10,FALSE)))</f>
        <v>0</v>
      </c>
      <c r="J67" s="656">
        <f t="shared" si="20"/>
        <v>2.14</v>
      </c>
      <c r="K67" s="17" t="str">
        <f>IF(ISNA(VLOOKUP(A67,cgas9910,7,FALSE)),0,(VLOOKUP(A67,cgas9910,7,FALSE)))</f>
        <v>N</v>
      </c>
      <c r="L67" s="17">
        <f t="shared" si="21"/>
        <v>0</v>
      </c>
      <c r="M67" s="303">
        <v>0</v>
      </c>
      <c r="N67" s="287">
        <f>+J67-L67-M67</f>
        <v>2.14</v>
      </c>
      <c r="O67" s="289">
        <f>+H67*0.001</f>
        <v>0</v>
      </c>
      <c r="P67" s="211">
        <f>IF(AND(A67&gt;700000,A67&lt;800000),+I67*0.001,0)</f>
        <v>0</v>
      </c>
      <c r="Q67" s="290">
        <f>+N67*I67</f>
        <v>0</v>
      </c>
      <c r="R67" s="209">
        <f>+(I67*N67)-P67</f>
        <v>0</v>
      </c>
      <c r="W67" s="395">
        <v>0</v>
      </c>
      <c r="X67" s="395">
        <v>0</v>
      </c>
    </row>
    <row r="68" spans="1:24" s="41" customFormat="1" ht="15" customHeight="1" x14ac:dyDescent="0.2">
      <c r="A68" s="285">
        <v>733161</v>
      </c>
      <c r="B68" s="143" t="str">
        <f t="shared" si="0"/>
        <v>na</v>
      </c>
      <c r="C68" s="411" t="s">
        <v>813</v>
      </c>
      <c r="D68" s="38" t="s">
        <v>818</v>
      </c>
      <c r="E68" s="285" t="s">
        <v>493</v>
      </c>
      <c r="F68" s="285"/>
      <c r="G68" s="535" t="s">
        <v>303</v>
      </c>
      <c r="H68" s="17" t="str">
        <f t="shared" si="12"/>
        <v>na</v>
      </c>
      <c r="I68" s="17">
        <f t="shared" si="13"/>
        <v>0</v>
      </c>
      <c r="J68" s="656">
        <f t="shared" si="20"/>
        <v>2.14</v>
      </c>
      <c r="K68" s="17">
        <f t="shared" si="14"/>
        <v>0</v>
      </c>
      <c r="L68" s="17">
        <f t="shared" si="21"/>
        <v>0.27</v>
      </c>
      <c r="M68" s="303">
        <v>0</v>
      </c>
      <c r="N68" s="287">
        <f t="shared" si="19"/>
        <v>1.87</v>
      </c>
      <c r="O68" s="289" t="e">
        <f t="shared" si="16"/>
        <v>#VALUE!</v>
      </c>
      <c r="P68" s="211">
        <f t="shared" si="7"/>
        <v>0</v>
      </c>
      <c r="Q68" s="290">
        <f t="shared" si="17"/>
        <v>0</v>
      </c>
      <c r="R68" s="209">
        <f t="shared" si="18"/>
        <v>0</v>
      </c>
      <c r="W68" s="395">
        <v>0</v>
      </c>
      <c r="X68" s="395">
        <v>0</v>
      </c>
    </row>
    <row r="69" spans="1:24" s="41" customFormat="1" ht="15" customHeight="1" x14ac:dyDescent="0.2">
      <c r="A69" s="285">
        <v>734594</v>
      </c>
      <c r="B69" s="143" t="str">
        <f t="shared" si="0"/>
        <v>na</v>
      </c>
      <c r="C69" s="439" t="s">
        <v>1006</v>
      </c>
      <c r="D69" s="38" t="s">
        <v>818</v>
      </c>
      <c r="E69" s="285" t="s">
        <v>493</v>
      </c>
      <c r="F69" s="285"/>
      <c r="G69" s="654" t="s">
        <v>1007</v>
      </c>
      <c r="H69" s="17" t="str">
        <f>IF(ISNA(VLOOKUP(A69,cgas9910,9,FALSE)),"na",VLOOKUP(A69,cgas9910,9,FALSE))</f>
        <v>na</v>
      </c>
      <c r="I69" s="17">
        <f>IF(ISNA(VLOOKUP(A69,cgas9910,10,FALSE)),0,(VLOOKUP(A69,cgas9910,10,FALSE)))</f>
        <v>0</v>
      </c>
      <c r="J69" s="656">
        <f t="shared" si="20"/>
        <v>2.14</v>
      </c>
      <c r="K69" s="17">
        <f t="shared" si="14"/>
        <v>0</v>
      </c>
      <c r="L69" s="17">
        <f t="shared" si="21"/>
        <v>0.27</v>
      </c>
      <c r="M69" s="390">
        <v>0</v>
      </c>
      <c r="N69" s="287">
        <f t="shared" si="19"/>
        <v>1.87</v>
      </c>
      <c r="O69" s="289" t="e">
        <f t="shared" si="16"/>
        <v>#VALUE!</v>
      </c>
      <c r="P69" s="211">
        <f t="shared" si="7"/>
        <v>0</v>
      </c>
      <c r="Q69" s="290">
        <f t="shared" si="17"/>
        <v>0</v>
      </c>
      <c r="R69" s="209">
        <f t="shared" si="18"/>
        <v>0</v>
      </c>
      <c r="W69" s="397">
        <v>0</v>
      </c>
      <c r="X69" s="397">
        <v>0</v>
      </c>
    </row>
    <row r="70" spans="1:24" s="41" customFormat="1" ht="15" customHeight="1" x14ac:dyDescent="0.2">
      <c r="A70" s="224">
        <v>834263</v>
      </c>
      <c r="B70" s="143" t="str">
        <f t="shared" si="0"/>
        <v>C I MCKOWN AND</v>
      </c>
      <c r="C70" s="689" t="s">
        <v>1752</v>
      </c>
      <c r="D70" s="272"/>
      <c r="E70" s="272">
        <v>214254</v>
      </c>
      <c r="F70" s="44"/>
      <c r="G70" s="44" t="s">
        <v>282</v>
      </c>
      <c r="H70" s="159">
        <f t="shared" ref="H70:H90" si="22">IF(ISNA(VLOOKUP(A70,cgas9910,9,FALSE)),"na",VLOOKUP(A70,cgas9910,9,FALSE))</f>
        <v>0</v>
      </c>
      <c r="I70" s="159">
        <f t="shared" ref="I70:I87" si="23">IF(ISNA(VLOOKUP(A70,cgas9910,10,FALSE)),0,(VLOOKUP(A70,cgas9910,10,FALSE)))</f>
        <v>0</v>
      </c>
      <c r="J70" s="101" t="e">
        <f>+'Special Pricing'!G168</f>
        <v>#DIV/0!</v>
      </c>
      <c r="K70" s="17" t="str">
        <f t="shared" si="14"/>
        <v>N</v>
      </c>
      <c r="L70" s="17">
        <f t="shared" si="21"/>
        <v>0</v>
      </c>
      <c r="M70" s="277">
        <v>0.06</v>
      </c>
      <c r="N70" s="117" t="e">
        <f>J70-L70-M70</f>
        <v>#DIV/0!</v>
      </c>
      <c r="O70" s="40">
        <f t="shared" si="16"/>
        <v>0</v>
      </c>
      <c r="P70" s="211">
        <f t="shared" si="7"/>
        <v>0</v>
      </c>
      <c r="Q70" s="164" t="e">
        <f t="shared" si="17"/>
        <v>#DIV/0!</v>
      </c>
      <c r="R70" s="209" t="e">
        <f t="shared" si="18"/>
        <v>#DIV/0!</v>
      </c>
    </row>
    <row r="71" spans="1:24" s="41" customFormat="1" ht="15" customHeight="1" x14ac:dyDescent="0.2">
      <c r="A71" s="224">
        <v>802938</v>
      </c>
      <c r="B71" s="143" t="str">
        <f t="shared" si="0"/>
        <v>CAMPBELLS CREEK</v>
      </c>
      <c r="C71" s="331" t="s">
        <v>1720</v>
      </c>
      <c r="D71" s="38"/>
      <c r="E71" s="38">
        <v>142369</v>
      </c>
      <c r="F71" s="39"/>
      <c r="G71" s="578" t="s">
        <v>1427</v>
      </c>
      <c r="H71" s="17">
        <f t="shared" si="22"/>
        <v>0</v>
      </c>
      <c r="I71" s="17">
        <f t="shared" si="23"/>
        <v>0</v>
      </c>
      <c r="J71" s="100">
        <f>$J$5*0.98</f>
        <v>2.0972</v>
      </c>
      <c r="K71" s="17" t="str">
        <f t="shared" si="14"/>
        <v>I</v>
      </c>
      <c r="L71" s="17">
        <f t="shared" si="21"/>
        <v>0.27</v>
      </c>
      <c r="M71" s="106">
        <v>0</v>
      </c>
      <c r="N71" s="117">
        <f>J71-L71-M71</f>
        <v>1.8271999999999999</v>
      </c>
      <c r="O71" s="40">
        <f t="shared" si="16"/>
        <v>0</v>
      </c>
      <c r="P71" s="211">
        <f t="shared" si="7"/>
        <v>0</v>
      </c>
      <c r="Q71" s="164">
        <f t="shared" si="17"/>
        <v>0</v>
      </c>
      <c r="R71" s="209">
        <f t="shared" si="18"/>
        <v>0</v>
      </c>
    </row>
    <row r="72" spans="1:24" s="41" customFormat="1" ht="15" customHeight="1" x14ac:dyDescent="0.2">
      <c r="A72" s="10">
        <v>602736</v>
      </c>
      <c r="B72" s="143" t="str">
        <f t="shared" si="0"/>
        <v>CARDINAL NATURA</v>
      </c>
      <c r="C72" s="286" t="s">
        <v>1081</v>
      </c>
      <c r="D72" s="272"/>
      <c r="E72" s="272">
        <v>14385</v>
      </c>
      <c r="F72" s="265" t="s">
        <v>304</v>
      </c>
      <c r="G72" s="265" t="s">
        <v>1305</v>
      </c>
      <c r="H72" s="159">
        <f t="shared" si="22"/>
        <v>0</v>
      </c>
      <c r="I72" s="159">
        <f t="shared" si="23"/>
        <v>0</v>
      </c>
      <c r="J72" s="296" t="e">
        <f>+'Special Pricing'!$G$72</f>
        <v>#DIV/0!</v>
      </c>
      <c r="K72" s="17" t="str">
        <f t="shared" ref="K72:K90" si="24">IF(ISNA(VLOOKUP(A72,cgas9910,7,FALSE)),0,(VLOOKUP(A72,cgas9910,7,FALSE)))</f>
        <v>I</v>
      </c>
      <c r="L72" s="17">
        <f t="shared" si="21"/>
        <v>0.27</v>
      </c>
      <c r="M72" s="288">
        <v>0</v>
      </c>
      <c r="N72" s="287" t="e">
        <f>+J72-L72-M72</f>
        <v>#DIV/0!</v>
      </c>
      <c r="O72" s="289">
        <f t="shared" si="16"/>
        <v>0</v>
      </c>
      <c r="P72" s="211">
        <f t="shared" ref="P72:P116" si="25">IF(AND(A72&gt;700000,A72&lt;800000),+I72*0.001,0)</f>
        <v>0</v>
      </c>
      <c r="Q72" s="290" t="e">
        <f t="shared" si="17"/>
        <v>#DIV/0!</v>
      </c>
      <c r="R72" s="209" t="e">
        <f t="shared" ref="R72:R77" si="26">+(I72*N72)-P72</f>
        <v>#DIV/0!</v>
      </c>
      <c r="U72" s="108"/>
      <c r="V72" s="108"/>
    </row>
    <row r="73" spans="1:24" s="41" customFormat="1" ht="15" customHeight="1" x14ac:dyDescent="0.2">
      <c r="A73" s="285">
        <v>634872</v>
      </c>
      <c r="B73" s="143" t="str">
        <f t="shared" si="0"/>
        <v>CARDINAL NATURA</v>
      </c>
      <c r="C73" s="286" t="s">
        <v>1081</v>
      </c>
      <c r="D73" s="272"/>
      <c r="E73" s="272">
        <v>14385</v>
      </c>
      <c r="F73" s="265" t="s">
        <v>304</v>
      </c>
      <c r="G73" s="265" t="s">
        <v>1305</v>
      </c>
      <c r="H73" s="159">
        <f t="shared" si="22"/>
        <v>0</v>
      </c>
      <c r="I73" s="159">
        <f t="shared" si="23"/>
        <v>0</v>
      </c>
      <c r="J73" s="296" t="e">
        <f>+'Special Pricing'!$G$72</f>
        <v>#DIV/0!</v>
      </c>
      <c r="K73" s="17" t="str">
        <f t="shared" si="24"/>
        <v>N</v>
      </c>
      <c r="L73" s="17">
        <v>0.27</v>
      </c>
      <c r="M73" s="288">
        <v>0</v>
      </c>
      <c r="N73" s="287" t="e">
        <f>+J73-L73-M73</f>
        <v>#DIV/0!</v>
      </c>
      <c r="O73" s="289">
        <f t="shared" ref="O73:O90" si="27">+H73*0.001</f>
        <v>0</v>
      </c>
      <c r="P73" s="211">
        <f t="shared" si="25"/>
        <v>0</v>
      </c>
      <c r="Q73" s="290" t="e">
        <f t="shared" ref="Q73:Q91" si="28">+N73*I73</f>
        <v>#DIV/0!</v>
      </c>
      <c r="R73" s="209" t="e">
        <f t="shared" si="26"/>
        <v>#DIV/0!</v>
      </c>
      <c r="S73" s="47"/>
      <c r="T73" s="47"/>
      <c r="U73" s="108"/>
      <c r="V73" s="108"/>
    </row>
    <row r="74" spans="1:24" s="41" customFormat="1" ht="15" customHeight="1" x14ac:dyDescent="0.2">
      <c r="A74" s="224">
        <v>616411</v>
      </c>
      <c r="B74" s="143" t="str">
        <f t="shared" si="0"/>
        <v>CARL RHODES</v>
      </c>
      <c r="C74" s="6" t="s">
        <v>1862</v>
      </c>
      <c r="D74" s="38"/>
      <c r="E74" s="38">
        <v>143852</v>
      </c>
      <c r="F74" s="39"/>
      <c r="G74" s="578" t="s">
        <v>1427</v>
      </c>
      <c r="H74" s="17">
        <f t="shared" si="22"/>
        <v>0</v>
      </c>
      <c r="I74" s="17">
        <f t="shared" si="23"/>
        <v>0</v>
      </c>
      <c r="J74" s="100">
        <f>$J$5*0.98</f>
        <v>2.0972</v>
      </c>
      <c r="K74" s="17" t="str">
        <f t="shared" si="24"/>
        <v>I</v>
      </c>
      <c r="L74" s="17">
        <f t="shared" si="21"/>
        <v>0.27</v>
      </c>
      <c r="M74" s="106">
        <v>0</v>
      </c>
      <c r="N74" s="117">
        <f>J74-L74-M74</f>
        <v>1.8271999999999999</v>
      </c>
      <c r="O74" s="40">
        <f t="shared" si="27"/>
        <v>0</v>
      </c>
      <c r="P74" s="211">
        <f t="shared" si="25"/>
        <v>0</v>
      </c>
      <c r="Q74" s="164">
        <f t="shared" si="28"/>
        <v>0</v>
      </c>
      <c r="R74" s="209">
        <f t="shared" si="26"/>
        <v>0</v>
      </c>
    </row>
    <row r="75" spans="1:24" s="41" customFormat="1" ht="15" customHeight="1" x14ac:dyDescent="0.2">
      <c r="A75" s="285">
        <v>722099</v>
      </c>
      <c r="B75" s="143" t="str">
        <f t="shared" si="0"/>
        <v>DAVID CARROLL</v>
      </c>
      <c r="C75" s="286" t="s">
        <v>305</v>
      </c>
      <c r="D75" s="38"/>
      <c r="E75" s="38" t="s">
        <v>306</v>
      </c>
      <c r="F75" s="285" t="s">
        <v>307</v>
      </c>
      <c r="G75" s="285" t="s">
        <v>308</v>
      </c>
      <c r="H75" s="17">
        <f t="shared" si="22"/>
        <v>0</v>
      </c>
      <c r="I75" s="17">
        <f t="shared" si="23"/>
        <v>48</v>
      </c>
      <c r="J75" s="287">
        <f>$J$5-0.08</f>
        <v>2.06</v>
      </c>
      <c r="K75" s="17" t="str">
        <f t="shared" si="24"/>
        <v>I</v>
      </c>
      <c r="L75" s="17">
        <f t="shared" si="21"/>
        <v>0.27</v>
      </c>
      <c r="M75" s="288">
        <v>0</v>
      </c>
      <c r="N75" s="287">
        <f>+J75-L75-M75</f>
        <v>1.79</v>
      </c>
      <c r="O75" s="289">
        <f t="shared" si="27"/>
        <v>0</v>
      </c>
      <c r="P75" s="211">
        <f t="shared" si="25"/>
        <v>4.8000000000000001E-2</v>
      </c>
      <c r="Q75" s="290">
        <f t="shared" si="28"/>
        <v>85.92</v>
      </c>
      <c r="R75" s="209">
        <f t="shared" si="26"/>
        <v>85.872</v>
      </c>
      <c r="U75" s="108"/>
      <c r="V75" s="108"/>
    </row>
    <row r="76" spans="1:24" s="41" customFormat="1" ht="15" customHeight="1" x14ac:dyDescent="0.2">
      <c r="A76" s="224">
        <v>734709</v>
      </c>
      <c r="B76" s="143" t="str">
        <f t="shared" si="0"/>
        <v>na</v>
      </c>
      <c r="C76" s="6" t="s">
        <v>1909</v>
      </c>
      <c r="D76" s="272"/>
      <c r="E76" s="272">
        <v>141907</v>
      </c>
      <c r="F76" s="455"/>
      <c r="G76" s="44" t="s">
        <v>1925</v>
      </c>
      <c r="H76" s="17" t="str">
        <f t="shared" si="22"/>
        <v>na</v>
      </c>
      <c r="I76" s="17">
        <f t="shared" si="23"/>
        <v>0</v>
      </c>
      <c r="J76" s="416" t="e">
        <f>+'Special Pricing'!$G$61</f>
        <v>#DIV/0!</v>
      </c>
      <c r="K76" s="17">
        <f t="shared" si="24"/>
        <v>0</v>
      </c>
      <c r="L76" s="17">
        <f t="shared" si="21"/>
        <v>0.27</v>
      </c>
      <c r="M76" s="106">
        <v>0</v>
      </c>
      <c r="N76" s="117" t="e">
        <f>J76-L76-M76</f>
        <v>#DIV/0!</v>
      </c>
      <c r="O76" s="40" t="e">
        <f t="shared" si="27"/>
        <v>#VALUE!</v>
      </c>
      <c r="P76" s="211">
        <f t="shared" si="25"/>
        <v>0</v>
      </c>
      <c r="Q76" s="164" t="e">
        <f t="shared" si="28"/>
        <v>#DIV/0!</v>
      </c>
      <c r="R76" s="209" t="e">
        <f t="shared" si="26"/>
        <v>#DIV/0!</v>
      </c>
    </row>
    <row r="77" spans="1:24" s="41" customFormat="1" ht="15" customHeight="1" x14ac:dyDescent="0.2">
      <c r="A77" s="224">
        <v>735806</v>
      </c>
      <c r="B77" s="143" t="str">
        <f t="shared" si="0"/>
        <v>na</v>
      </c>
      <c r="C77" s="6" t="s">
        <v>1909</v>
      </c>
      <c r="D77" s="272"/>
      <c r="E77" s="272">
        <v>141907</v>
      </c>
      <c r="F77" s="44"/>
      <c r="G77" s="44" t="s">
        <v>1925</v>
      </c>
      <c r="H77" s="17" t="str">
        <f t="shared" si="22"/>
        <v>na</v>
      </c>
      <c r="I77" s="17">
        <f t="shared" si="23"/>
        <v>0</v>
      </c>
      <c r="J77" s="416" t="e">
        <f>+'Special Pricing'!$G$61</f>
        <v>#DIV/0!</v>
      </c>
      <c r="K77" s="17">
        <f t="shared" si="24"/>
        <v>0</v>
      </c>
      <c r="L77" s="17">
        <f t="shared" si="21"/>
        <v>0.27</v>
      </c>
      <c r="M77" s="106">
        <v>0</v>
      </c>
      <c r="N77" s="117" t="e">
        <f>J77-L77-M77</f>
        <v>#DIV/0!</v>
      </c>
      <c r="O77" s="40" t="e">
        <f t="shared" si="27"/>
        <v>#VALUE!</v>
      </c>
      <c r="P77" s="211">
        <f t="shared" si="25"/>
        <v>0</v>
      </c>
      <c r="Q77" s="164" t="e">
        <f t="shared" si="28"/>
        <v>#DIV/0!</v>
      </c>
      <c r="R77" s="209" t="e">
        <f t="shared" si="26"/>
        <v>#DIV/0!</v>
      </c>
    </row>
    <row r="78" spans="1:24" s="41" customFormat="1" ht="15" customHeight="1" x14ac:dyDescent="0.2">
      <c r="A78" s="285">
        <v>825004</v>
      </c>
      <c r="B78" s="143" t="str">
        <f t="shared" si="0"/>
        <v>na</v>
      </c>
      <c r="C78" s="286" t="s">
        <v>309</v>
      </c>
      <c r="D78" s="286"/>
      <c r="E78" s="38" t="s">
        <v>310</v>
      </c>
      <c r="F78" s="285" t="s">
        <v>311</v>
      </c>
      <c r="G78" s="285" t="s">
        <v>273</v>
      </c>
      <c r="H78" s="17" t="str">
        <f t="shared" si="22"/>
        <v>na</v>
      </c>
      <c r="I78" s="17">
        <f t="shared" si="23"/>
        <v>0</v>
      </c>
      <c r="J78" s="287">
        <f>$J$4*0.95</f>
        <v>2.0044999999999997</v>
      </c>
      <c r="K78" s="17">
        <f t="shared" si="24"/>
        <v>0</v>
      </c>
      <c r="L78" s="17">
        <f t="shared" si="21"/>
        <v>0.27</v>
      </c>
      <c r="M78" s="288">
        <v>0.03</v>
      </c>
      <c r="N78" s="287">
        <f>+J78-L78-M78</f>
        <v>1.7044999999999997</v>
      </c>
      <c r="O78" s="289" t="e">
        <f t="shared" si="27"/>
        <v>#VALUE!</v>
      </c>
      <c r="P78" s="211">
        <f t="shared" si="25"/>
        <v>0</v>
      </c>
      <c r="Q78" s="290">
        <f t="shared" si="28"/>
        <v>0</v>
      </c>
      <c r="R78" s="209">
        <f t="shared" ref="R78:R109" si="29">+(I78*N78)-P78</f>
        <v>0</v>
      </c>
      <c r="U78" s="108"/>
      <c r="V78" s="108"/>
    </row>
    <row r="79" spans="1:24" s="41" customFormat="1" ht="15" customHeight="1" x14ac:dyDescent="0.2">
      <c r="A79" s="285">
        <v>825005</v>
      </c>
      <c r="B79" s="143" t="str">
        <f t="shared" si="0"/>
        <v>CENTRAL PACIFIC</v>
      </c>
      <c r="C79" s="286" t="s">
        <v>309</v>
      </c>
      <c r="D79" s="286"/>
      <c r="E79" s="38" t="s">
        <v>310</v>
      </c>
      <c r="F79" s="285" t="s">
        <v>311</v>
      </c>
      <c r="G79" s="285" t="s">
        <v>273</v>
      </c>
      <c r="H79" s="17">
        <f t="shared" si="22"/>
        <v>0</v>
      </c>
      <c r="I79" s="17">
        <f t="shared" si="23"/>
        <v>0</v>
      </c>
      <c r="J79" s="287">
        <f>$J$4*0.95</f>
        <v>2.0044999999999997</v>
      </c>
      <c r="K79" s="17" t="str">
        <f t="shared" si="24"/>
        <v>N</v>
      </c>
      <c r="L79" s="17">
        <f t="shared" si="21"/>
        <v>0</v>
      </c>
      <c r="M79" s="288">
        <v>0.03</v>
      </c>
      <c r="N79" s="287">
        <f>+J79-L79-M79</f>
        <v>1.9744999999999997</v>
      </c>
      <c r="O79" s="289">
        <f t="shared" si="27"/>
        <v>0</v>
      </c>
      <c r="P79" s="211">
        <f t="shared" si="25"/>
        <v>0</v>
      </c>
      <c r="Q79" s="290">
        <f t="shared" si="28"/>
        <v>0</v>
      </c>
      <c r="R79" s="209">
        <f t="shared" si="29"/>
        <v>0</v>
      </c>
      <c r="U79" s="108"/>
      <c r="V79" s="108"/>
    </row>
    <row r="80" spans="1:24" s="41" customFormat="1" ht="15" customHeight="1" x14ac:dyDescent="0.2">
      <c r="A80" s="224">
        <v>602613</v>
      </c>
      <c r="B80" s="143" t="str">
        <f t="shared" si="0"/>
        <v>HRUTKAY</v>
      </c>
      <c r="C80" s="6" t="s">
        <v>1632</v>
      </c>
      <c r="D80" s="38"/>
      <c r="E80" s="38"/>
      <c r="F80" s="39"/>
      <c r="G80" s="578" t="s">
        <v>1427</v>
      </c>
      <c r="H80" s="17">
        <f t="shared" si="22"/>
        <v>0</v>
      </c>
      <c r="I80" s="17">
        <f t="shared" si="23"/>
        <v>0</v>
      </c>
      <c r="J80" s="100">
        <f>$J$5*0.98</f>
        <v>2.0972</v>
      </c>
      <c r="K80" s="17" t="str">
        <f t="shared" si="24"/>
        <v>I</v>
      </c>
      <c r="L80" s="17">
        <f t="shared" si="21"/>
        <v>0.27</v>
      </c>
      <c r="M80" s="106">
        <v>0</v>
      </c>
      <c r="N80" s="117">
        <f>J80-L80-M80</f>
        <v>1.8271999999999999</v>
      </c>
      <c r="O80" s="40">
        <f t="shared" si="27"/>
        <v>0</v>
      </c>
      <c r="P80" s="211">
        <f t="shared" si="25"/>
        <v>0</v>
      </c>
      <c r="Q80" s="164">
        <f t="shared" si="28"/>
        <v>0</v>
      </c>
      <c r="R80" s="209">
        <f t="shared" si="29"/>
        <v>0</v>
      </c>
    </row>
    <row r="81" spans="1:24" s="41" customFormat="1" ht="15" customHeight="1" x14ac:dyDescent="0.2">
      <c r="A81" s="224">
        <v>721905</v>
      </c>
      <c r="B81" s="143" t="str">
        <f t="shared" si="0"/>
        <v>CITATION ENERGY</v>
      </c>
      <c r="C81" s="6" t="s">
        <v>1891</v>
      </c>
      <c r="D81" s="38"/>
      <c r="E81" s="38">
        <v>164624</v>
      </c>
      <c r="F81" s="39"/>
      <c r="G81" s="578" t="s">
        <v>1427</v>
      </c>
      <c r="H81" s="17">
        <f t="shared" si="22"/>
        <v>0</v>
      </c>
      <c r="I81" s="17">
        <f t="shared" si="23"/>
        <v>0</v>
      </c>
      <c r="J81" s="100">
        <f>$J$5*0.98</f>
        <v>2.0972</v>
      </c>
      <c r="K81" s="17" t="str">
        <f t="shared" si="24"/>
        <v>I</v>
      </c>
      <c r="L81" s="17">
        <f t="shared" si="21"/>
        <v>0.27</v>
      </c>
      <c r="M81" s="106">
        <v>0</v>
      </c>
      <c r="N81" s="117">
        <f>J81-L81-M81</f>
        <v>1.8271999999999999</v>
      </c>
      <c r="O81" s="40">
        <f t="shared" si="27"/>
        <v>0</v>
      </c>
      <c r="P81" s="211">
        <f t="shared" si="25"/>
        <v>0</v>
      </c>
      <c r="Q81" s="164">
        <f t="shared" si="28"/>
        <v>0</v>
      </c>
      <c r="R81" s="209">
        <f t="shared" si="29"/>
        <v>0</v>
      </c>
    </row>
    <row r="82" spans="1:24" s="41" customFormat="1" ht="15" customHeight="1" x14ac:dyDescent="0.2">
      <c r="A82" s="285">
        <v>722407</v>
      </c>
      <c r="B82" s="143" t="str">
        <f t="shared" si="0"/>
        <v>na</v>
      </c>
      <c r="C82" s="286" t="s">
        <v>312</v>
      </c>
      <c r="D82" s="286"/>
      <c r="E82" s="38" t="s">
        <v>313</v>
      </c>
      <c r="F82" s="285" t="s">
        <v>314</v>
      </c>
      <c r="G82" s="285" t="s">
        <v>315</v>
      </c>
      <c r="H82" s="17" t="str">
        <f t="shared" si="22"/>
        <v>na</v>
      </c>
      <c r="I82" s="17">
        <f t="shared" si="23"/>
        <v>0</v>
      </c>
      <c r="J82" s="287">
        <f>$J$5-0.01</f>
        <v>2.1300000000000003</v>
      </c>
      <c r="K82" s="17">
        <f t="shared" si="24"/>
        <v>0</v>
      </c>
      <c r="L82" s="17">
        <f t="shared" si="21"/>
        <v>0.27</v>
      </c>
      <c r="M82" s="288">
        <v>0</v>
      </c>
      <c r="N82" s="287">
        <f>+J82-L82-M82</f>
        <v>1.8600000000000003</v>
      </c>
      <c r="O82" s="289" t="e">
        <f t="shared" si="27"/>
        <v>#VALUE!</v>
      </c>
      <c r="P82" s="211">
        <f t="shared" si="25"/>
        <v>0</v>
      </c>
      <c r="Q82" s="290">
        <f t="shared" si="28"/>
        <v>0</v>
      </c>
      <c r="R82" s="209">
        <f t="shared" si="29"/>
        <v>0</v>
      </c>
      <c r="U82" s="108"/>
      <c r="V82" s="108"/>
    </row>
    <row r="83" spans="1:24" s="41" customFormat="1" ht="15" customHeight="1" x14ac:dyDescent="0.2">
      <c r="A83" s="285">
        <v>729550</v>
      </c>
      <c r="B83" s="143" t="str">
        <f t="shared" si="0"/>
        <v>na</v>
      </c>
      <c r="C83" s="286" t="s">
        <v>316</v>
      </c>
      <c r="D83" s="286"/>
      <c r="E83" s="38" t="s">
        <v>313</v>
      </c>
      <c r="F83" s="285" t="s">
        <v>314</v>
      </c>
      <c r="G83" s="285" t="s">
        <v>315</v>
      </c>
      <c r="H83" s="17" t="str">
        <f t="shared" si="22"/>
        <v>na</v>
      </c>
      <c r="I83" s="17">
        <f t="shared" si="23"/>
        <v>0</v>
      </c>
      <c r="J83" s="287">
        <f>$J$5-0.01</f>
        <v>2.1300000000000003</v>
      </c>
      <c r="K83" s="17">
        <f t="shared" si="24"/>
        <v>0</v>
      </c>
      <c r="L83" s="17">
        <f t="shared" si="21"/>
        <v>0.27</v>
      </c>
      <c r="M83" s="288">
        <v>0</v>
      </c>
      <c r="N83" s="287">
        <f>+J83-L83-M83</f>
        <v>1.8600000000000003</v>
      </c>
      <c r="O83" s="289" t="e">
        <f t="shared" si="27"/>
        <v>#VALUE!</v>
      </c>
      <c r="P83" s="211">
        <f t="shared" si="25"/>
        <v>0</v>
      </c>
      <c r="Q83" s="290">
        <f t="shared" si="28"/>
        <v>0</v>
      </c>
      <c r="R83" s="209">
        <f t="shared" si="29"/>
        <v>0</v>
      </c>
      <c r="U83" s="108"/>
      <c r="V83" s="108"/>
    </row>
    <row r="84" spans="1:24" s="46" customFormat="1" ht="15" customHeight="1" x14ac:dyDescent="0.2">
      <c r="A84" s="285">
        <v>729657</v>
      </c>
      <c r="B84" s="143" t="str">
        <f t="shared" si="0"/>
        <v>na</v>
      </c>
      <c r="C84" s="286" t="s">
        <v>316</v>
      </c>
      <c r="D84" s="286"/>
      <c r="E84" s="38" t="s">
        <v>313</v>
      </c>
      <c r="F84" s="285" t="s">
        <v>314</v>
      </c>
      <c r="G84" s="285" t="s">
        <v>315</v>
      </c>
      <c r="H84" s="17" t="str">
        <f t="shared" si="22"/>
        <v>na</v>
      </c>
      <c r="I84" s="17">
        <f t="shared" si="23"/>
        <v>0</v>
      </c>
      <c r="J84" s="287">
        <f>$J$5-0.01</f>
        <v>2.1300000000000003</v>
      </c>
      <c r="K84" s="17">
        <f t="shared" si="24"/>
        <v>0</v>
      </c>
      <c r="L84" s="17">
        <f t="shared" ref="L84:L97" si="30">IF(K84="N",0,0.27)</f>
        <v>0.27</v>
      </c>
      <c r="M84" s="288">
        <v>0</v>
      </c>
      <c r="N84" s="287">
        <f>+J84-L84-M84</f>
        <v>1.8600000000000003</v>
      </c>
      <c r="O84" s="289" t="e">
        <f t="shared" si="27"/>
        <v>#VALUE!</v>
      </c>
      <c r="P84" s="211">
        <f t="shared" si="25"/>
        <v>0</v>
      </c>
      <c r="Q84" s="290">
        <f t="shared" si="28"/>
        <v>0</v>
      </c>
      <c r="R84" s="209">
        <f t="shared" si="29"/>
        <v>0</v>
      </c>
      <c r="S84" s="47"/>
      <c r="T84" s="47"/>
      <c r="U84" s="108"/>
      <c r="V84" s="108"/>
      <c r="W84" s="41"/>
      <c r="X84" s="41"/>
    </row>
    <row r="85" spans="1:24" s="41" customFormat="1" ht="15" customHeight="1" x14ac:dyDescent="0.2">
      <c r="A85" s="285">
        <v>729660</v>
      </c>
      <c r="B85" s="143" t="str">
        <f t="shared" si="0"/>
        <v>na</v>
      </c>
      <c r="C85" s="286" t="s">
        <v>316</v>
      </c>
      <c r="D85" s="286"/>
      <c r="E85" s="38" t="s">
        <v>313</v>
      </c>
      <c r="F85" s="285" t="s">
        <v>314</v>
      </c>
      <c r="G85" s="285" t="s">
        <v>315</v>
      </c>
      <c r="H85" s="17" t="str">
        <f t="shared" si="22"/>
        <v>na</v>
      </c>
      <c r="I85" s="17">
        <f t="shared" si="23"/>
        <v>0</v>
      </c>
      <c r="J85" s="287">
        <f>$J$5-0.01</f>
        <v>2.1300000000000003</v>
      </c>
      <c r="K85" s="17">
        <f t="shared" si="24"/>
        <v>0</v>
      </c>
      <c r="L85" s="17">
        <f t="shared" si="30"/>
        <v>0.27</v>
      </c>
      <c r="M85" s="288">
        <v>0</v>
      </c>
      <c r="N85" s="287">
        <f>+J85-L85-M85</f>
        <v>1.8600000000000003</v>
      </c>
      <c r="O85" s="289" t="e">
        <f t="shared" si="27"/>
        <v>#VALUE!</v>
      </c>
      <c r="P85" s="211">
        <f t="shared" si="25"/>
        <v>0</v>
      </c>
      <c r="Q85" s="290">
        <f t="shared" si="28"/>
        <v>0</v>
      </c>
      <c r="R85" s="209">
        <f t="shared" si="29"/>
        <v>0</v>
      </c>
      <c r="S85" s="47"/>
      <c r="T85" s="47"/>
      <c r="U85" s="108"/>
      <c r="V85" s="108"/>
    </row>
    <row r="86" spans="1:24" s="47" customFormat="1" ht="15" customHeight="1" x14ac:dyDescent="0.2">
      <c r="A86" s="224">
        <v>802914</v>
      </c>
      <c r="B86" s="143" t="str">
        <f t="shared" si="0"/>
        <v>na</v>
      </c>
      <c r="C86" s="6" t="s">
        <v>1747</v>
      </c>
      <c r="D86" s="38"/>
      <c r="E86" s="38">
        <v>163919</v>
      </c>
      <c r="F86" s="39"/>
      <c r="G86" s="578" t="s">
        <v>1926</v>
      </c>
      <c r="H86" s="17" t="str">
        <f t="shared" si="22"/>
        <v>na</v>
      </c>
      <c r="I86" s="17">
        <f t="shared" si="23"/>
        <v>0</v>
      </c>
      <c r="J86" s="100">
        <f>$J$5+0.01</f>
        <v>2.15</v>
      </c>
      <c r="K86" s="17">
        <f t="shared" si="24"/>
        <v>0</v>
      </c>
      <c r="L86" s="17">
        <f t="shared" si="30"/>
        <v>0.27</v>
      </c>
      <c r="M86" s="106">
        <v>0</v>
      </c>
      <c r="N86" s="117">
        <f>J86-L86-M86</f>
        <v>1.88</v>
      </c>
      <c r="O86" s="40" t="e">
        <f t="shared" si="27"/>
        <v>#VALUE!</v>
      </c>
      <c r="P86" s="211">
        <f t="shared" si="25"/>
        <v>0</v>
      </c>
      <c r="Q86" s="164">
        <f t="shared" si="28"/>
        <v>0</v>
      </c>
      <c r="R86" s="209">
        <f t="shared" si="29"/>
        <v>0</v>
      </c>
      <c r="S86" s="41"/>
      <c r="T86" s="41"/>
      <c r="U86" s="41"/>
      <c r="V86" s="41"/>
      <c r="W86" s="41"/>
      <c r="X86" s="41"/>
    </row>
    <row r="87" spans="1:24" s="41" customFormat="1" ht="15" customHeight="1" x14ac:dyDescent="0.2">
      <c r="A87" s="10">
        <v>604724</v>
      </c>
      <c r="B87" s="143" t="str">
        <f t="shared" si="0"/>
        <v>COMMONWLTH ENER</v>
      </c>
      <c r="C87" s="286" t="s">
        <v>317</v>
      </c>
      <c r="D87" s="447"/>
      <c r="E87" s="272">
        <v>223964</v>
      </c>
      <c r="F87" s="265" t="s">
        <v>318</v>
      </c>
      <c r="G87" s="265" t="s">
        <v>295</v>
      </c>
      <c r="H87" s="17">
        <f t="shared" si="22"/>
        <v>0</v>
      </c>
      <c r="I87" s="17">
        <f t="shared" si="23"/>
        <v>0</v>
      </c>
      <c r="J87" s="421" t="e">
        <f>+'Special Pricing'!$G$188</f>
        <v>#DIV/0!</v>
      </c>
      <c r="K87" s="17" t="str">
        <f t="shared" si="24"/>
        <v>I</v>
      </c>
      <c r="L87" s="17">
        <f t="shared" si="30"/>
        <v>0.27</v>
      </c>
      <c r="M87" s="288">
        <v>0</v>
      </c>
      <c r="N87" s="287" t="e">
        <f t="shared" ref="N87:N92" si="31">+J87-L87-M87</f>
        <v>#DIV/0!</v>
      </c>
      <c r="O87" s="289">
        <f t="shared" si="27"/>
        <v>0</v>
      </c>
      <c r="P87" s="211">
        <f t="shared" si="25"/>
        <v>0</v>
      </c>
      <c r="Q87" s="290" t="e">
        <f t="shared" si="28"/>
        <v>#DIV/0!</v>
      </c>
      <c r="R87" s="209" t="e">
        <f t="shared" si="29"/>
        <v>#DIV/0!</v>
      </c>
      <c r="S87" s="47"/>
      <c r="T87" s="47"/>
      <c r="U87" s="108"/>
      <c r="V87" s="108"/>
    </row>
    <row r="88" spans="1:24" s="41" customFormat="1" ht="15" customHeight="1" x14ac:dyDescent="0.2">
      <c r="A88" s="285">
        <v>625145</v>
      </c>
      <c r="B88" s="143" t="str">
        <f t="shared" si="0"/>
        <v>COMMONWLTH ENER</v>
      </c>
      <c r="C88" s="286" t="s">
        <v>317</v>
      </c>
      <c r="D88" s="447"/>
      <c r="E88" s="272">
        <v>223964</v>
      </c>
      <c r="F88" s="265" t="s">
        <v>318</v>
      </c>
      <c r="G88" s="265" t="s">
        <v>295</v>
      </c>
      <c r="H88" s="17">
        <f>IF(ISNA(VLOOKUP(A88,cgas9910,9,FALSE)),"na",VLOOKUP(A88,cgas9910,9,FALSE))</f>
        <v>0</v>
      </c>
      <c r="I88" s="17">
        <f>IF(ISNA(VLOOKUP(A88,cgas9910,10,FALSE)),0,(VLOOKUP(A88,cgas9910,10,FALSE)))</f>
        <v>0</v>
      </c>
      <c r="J88" s="421" t="e">
        <f>+'Special Pricing'!$G$188</f>
        <v>#DIV/0!</v>
      </c>
      <c r="K88" s="17" t="str">
        <f>IF(ISNA(VLOOKUP(A88,cgas9910,7,FALSE)),0,(VLOOKUP(A88,cgas9910,7,FALSE)))</f>
        <v>N</v>
      </c>
      <c r="L88" s="17">
        <f t="shared" si="30"/>
        <v>0</v>
      </c>
      <c r="M88" s="288">
        <v>0</v>
      </c>
      <c r="N88" s="287" t="e">
        <f t="shared" si="31"/>
        <v>#DIV/0!</v>
      </c>
      <c r="O88" s="289">
        <f>+H88*0.001</f>
        <v>0</v>
      </c>
      <c r="P88" s="211">
        <f>IF(AND(A88&gt;700000,A88&lt;800000),+I88*0.001,0)</f>
        <v>0</v>
      </c>
      <c r="Q88" s="290" t="e">
        <f>+N88*I88</f>
        <v>#DIV/0!</v>
      </c>
      <c r="R88" s="209" t="e">
        <f>+(I88*N88)-P88</f>
        <v>#DIV/0!</v>
      </c>
      <c r="U88" s="108"/>
      <c r="V88" s="108"/>
    </row>
    <row r="89" spans="1:24" s="41" customFormat="1" ht="15" customHeight="1" x14ac:dyDescent="0.2">
      <c r="A89" s="644">
        <v>629019</v>
      </c>
      <c r="B89" s="143" t="str">
        <f t="shared" si="0"/>
        <v>CHESTERFIELD</v>
      </c>
      <c r="C89" s="286" t="s">
        <v>317</v>
      </c>
      <c r="D89" s="447"/>
      <c r="E89" s="272">
        <v>223964</v>
      </c>
      <c r="F89" s="265" t="s">
        <v>318</v>
      </c>
      <c r="G89" s="265" t="s">
        <v>295</v>
      </c>
      <c r="H89" s="17">
        <f t="shared" si="22"/>
        <v>0</v>
      </c>
      <c r="I89" s="17">
        <f>IF(ISNA(VLOOKUP(A89,cgas9910,10,FALSE)),0,(VLOOKUP(A89,cgas9910,10,FALSE)))</f>
        <v>0</v>
      </c>
      <c r="J89" s="421" t="e">
        <f>+'Special Pricing'!$G$188</f>
        <v>#DIV/0!</v>
      </c>
      <c r="K89" s="17" t="str">
        <f t="shared" si="24"/>
        <v>N</v>
      </c>
      <c r="L89" s="17">
        <f t="shared" si="30"/>
        <v>0</v>
      </c>
      <c r="M89" s="288">
        <v>0</v>
      </c>
      <c r="N89" s="287" t="e">
        <f t="shared" si="31"/>
        <v>#DIV/0!</v>
      </c>
      <c r="O89" s="289">
        <f t="shared" si="27"/>
        <v>0</v>
      </c>
      <c r="P89" s="211">
        <f>IF(AND(A89&gt;700000,A89&lt;800000),+I89*0.001,0)</f>
        <v>0</v>
      </c>
      <c r="Q89" s="290" t="e">
        <f>+N89*I89</f>
        <v>#DIV/0!</v>
      </c>
      <c r="R89" s="209" t="e">
        <f>+(I89*N89)-P89</f>
        <v>#DIV/0!</v>
      </c>
      <c r="U89" s="108"/>
      <c r="V89" s="108"/>
    </row>
    <row r="90" spans="1:24" s="41" customFormat="1" ht="15" customHeight="1" x14ac:dyDescent="0.2">
      <c r="A90" s="285">
        <v>635566</v>
      </c>
      <c r="B90" s="143" t="str">
        <f t="shared" si="0"/>
        <v>COMMONWLTH ENER</v>
      </c>
      <c r="C90" s="286" t="s">
        <v>317</v>
      </c>
      <c r="D90" s="447"/>
      <c r="E90" s="272">
        <v>223964</v>
      </c>
      <c r="F90" s="265" t="s">
        <v>318</v>
      </c>
      <c r="G90" s="265" t="s">
        <v>295</v>
      </c>
      <c r="H90" s="17">
        <f t="shared" si="22"/>
        <v>0</v>
      </c>
      <c r="I90" s="17">
        <f>IF(ISNA(VLOOKUP(A90,cgas9910,10,FALSE)),0,(VLOOKUP(A90,cgas9910,10,FALSE)))</f>
        <v>0</v>
      </c>
      <c r="J90" s="421" t="e">
        <f>+'Special Pricing'!$G$188</f>
        <v>#DIV/0!</v>
      </c>
      <c r="K90" s="17" t="str">
        <f t="shared" si="24"/>
        <v>N</v>
      </c>
      <c r="L90" s="17">
        <f t="shared" si="30"/>
        <v>0</v>
      </c>
      <c r="M90" s="288">
        <v>0</v>
      </c>
      <c r="N90" s="287" t="e">
        <f t="shared" si="31"/>
        <v>#DIV/0!</v>
      </c>
      <c r="O90" s="289">
        <f t="shared" si="27"/>
        <v>0</v>
      </c>
      <c r="P90" s="211">
        <f>IF(AND(A90&gt;700000,A90&lt;800000),+I90*0.001,0)</f>
        <v>0</v>
      </c>
      <c r="Q90" s="290" t="e">
        <f>+N90*I90</f>
        <v>#DIV/0!</v>
      </c>
      <c r="R90" s="209" t="e">
        <f>+(I90*N90)-P90</f>
        <v>#DIV/0!</v>
      </c>
      <c r="U90" s="108"/>
      <c r="V90" s="108"/>
    </row>
    <row r="91" spans="1:24" s="41" customFormat="1" ht="15" customHeight="1" x14ac:dyDescent="0.2">
      <c r="A91" s="285">
        <v>819179</v>
      </c>
      <c r="B91" s="143" t="str">
        <f t="shared" si="0"/>
        <v>COMMONWLTH ENER</v>
      </c>
      <c r="C91" s="286" t="s">
        <v>317</v>
      </c>
      <c r="D91" s="447"/>
      <c r="E91" s="272">
        <v>223964</v>
      </c>
      <c r="F91" s="265" t="s">
        <v>318</v>
      </c>
      <c r="G91" s="265" t="s">
        <v>295</v>
      </c>
      <c r="H91" s="17">
        <f t="shared" ref="H91:H116" si="32">IF(ISNA(VLOOKUP(A91,cgas9910,9,FALSE)),"na",VLOOKUP(A91,cgas9910,9,FALSE))</f>
        <v>0</v>
      </c>
      <c r="I91" s="17">
        <f t="shared" ref="I91:I116" si="33">IF(ISNA(VLOOKUP(A91,cgas9910,10,FALSE)),0,(VLOOKUP(A91,cgas9910,10,FALSE)))</f>
        <v>0</v>
      </c>
      <c r="J91" s="421" t="e">
        <f>+'Special Pricing'!$G$188</f>
        <v>#DIV/0!</v>
      </c>
      <c r="K91" s="17" t="str">
        <f t="shared" ref="K91:K108" si="34">IF(ISNA(VLOOKUP(A91,cgas9910,7,FALSE)),0,(VLOOKUP(A91,cgas9910,7,FALSE)))</f>
        <v>N</v>
      </c>
      <c r="L91" s="17">
        <f t="shared" si="30"/>
        <v>0</v>
      </c>
      <c r="M91" s="288">
        <v>0</v>
      </c>
      <c r="N91" s="287" t="e">
        <f t="shared" si="31"/>
        <v>#DIV/0!</v>
      </c>
      <c r="O91" s="289">
        <f t="shared" ref="O91:O116" si="35">+H91*0.001</f>
        <v>0</v>
      </c>
      <c r="P91" s="211">
        <f t="shared" si="25"/>
        <v>0</v>
      </c>
      <c r="Q91" s="290" t="e">
        <f t="shared" si="28"/>
        <v>#DIV/0!</v>
      </c>
      <c r="R91" s="209" t="e">
        <f t="shared" si="29"/>
        <v>#DIV/0!</v>
      </c>
      <c r="U91" s="108"/>
      <c r="V91" s="108"/>
    </row>
    <row r="92" spans="1:24" s="41" customFormat="1" ht="15" customHeight="1" x14ac:dyDescent="0.2">
      <c r="A92" s="285">
        <v>835124</v>
      </c>
      <c r="B92" s="143" t="str">
        <f t="shared" si="0"/>
        <v>COTIGA DEVELOPM</v>
      </c>
      <c r="C92" s="286" t="s">
        <v>319</v>
      </c>
      <c r="D92" s="286"/>
      <c r="E92" s="38" t="s">
        <v>320</v>
      </c>
      <c r="F92" s="285" t="s">
        <v>321</v>
      </c>
      <c r="G92" s="285" t="s">
        <v>322</v>
      </c>
      <c r="H92" s="17">
        <f t="shared" si="32"/>
        <v>0</v>
      </c>
      <c r="I92" s="17">
        <f t="shared" si="33"/>
        <v>0</v>
      </c>
      <c r="J92" s="299">
        <f>$J$5*0.99</f>
        <v>2.1186000000000003</v>
      </c>
      <c r="K92" s="17" t="str">
        <f t="shared" si="34"/>
        <v>N</v>
      </c>
      <c r="L92" s="17">
        <f t="shared" si="30"/>
        <v>0</v>
      </c>
      <c r="M92" s="288">
        <v>0.03</v>
      </c>
      <c r="N92" s="287">
        <f t="shared" si="31"/>
        <v>2.0886000000000005</v>
      </c>
      <c r="O92" s="289">
        <f t="shared" si="35"/>
        <v>0</v>
      </c>
      <c r="P92" s="211">
        <f t="shared" si="25"/>
        <v>0</v>
      </c>
      <c r="Q92" s="290">
        <f t="shared" ref="Q92:Q122" si="36">+N92*I92</f>
        <v>0</v>
      </c>
      <c r="R92" s="209">
        <f t="shared" si="29"/>
        <v>0</v>
      </c>
      <c r="U92" s="108"/>
      <c r="V92" s="108"/>
    </row>
    <row r="93" spans="1:24" s="41" customFormat="1" ht="15" customHeight="1" x14ac:dyDescent="0.2">
      <c r="A93" s="224">
        <v>835864</v>
      </c>
      <c r="B93" s="143" t="str">
        <f t="shared" si="0"/>
        <v>CUT THROUGH</v>
      </c>
      <c r="C93" s="6" t="s">
        <v>1922</v>
      </c>
      <c r="D93" s="272"/>
      <c r="E93" s="272"/>
      <c r="F93" s="44"/>
      <c r="G93" s="39" t="s">
        <v>1424</v>
      </c>
      <c r="H93" s="17">
        <f t="shared" si="32"/>
        <v>0</v>
      </c>
      <c r="I93" s="17">
        <f t="shared" si="33"/>
        <v>0</v>
      </c>
      <c r="J93" s="100">
        <f>$J$5</f>
        <v>2.14</v>
      </c>
      <c r="K93" s="17" t="str">
        <f t="shared" si="34"/>
        <v>N</v>
      </c>
      <c r="L93" s="17">
        <f t="shared" si="30"/>
        <v>0</v>
      </c>
      <c r="M93" s="106">
        <v>0</v>
      </c>
      <c r="N93" s="117">
        <f>J93-L93-M93</f>
        <v>2.14</v>
      </c>
      <c r="O93" s="40">
        <f t="shared" si="35"/>
        <v>0</v>
      </c>
      <c r="P93" s="211">
        <f t="shared" si="25"/>
        <v>0</v>
      </c>
      <c r="Q93" s="164">
        <f t="shared" si="36"/>
        <v>0</v>
      </c>
      <c r="R93" s="209">
        <f t="shared" si="29"/>
        <v>0</v>
      </c>
      <c r="S93" s="698">
        <f>-R93*0.045</f>
        <v>0</v>
      </c>
      <c r="T93" s="699">
        <f>+R93+S93</f>
        <v>0</v>
      </c>
    </row>
    <row r="94" spans="1:24" s="41" customFormat="1" ht="15" customHeight="1" x14ac:dyDescent="0.2">
      <c r="A94" s="224">
        <v>734918</v>
      </c>
      <c r="B94" s="143" t="str">
        <f t="shared" si="0"/>
        <v>CUTTER OIL</v>
      </c>
      <c r="C94" s="6" t="s">
        <v>1837</v>
      </c>
      <c r="D94" s="272"/>
      <c r="E94" s="272">
        <v>220470</v>
      </c>
      <c r="F94" s="44"/>
      <c r="G94" s="39" t="s">
        <v>1424</v>
      </c>
      <c r="H94" s="17">
        <f t="shared" si="32"/>
        <v>0</v>
      </c>
      <c r="I94" s="17">
        <f t="shared" si="33"/>
        <v>0</v>
      </c>
      <c r="J94" s="100">
        <f>$J$5</f>
        <v>2.14</v>
      </c>
      <c r="K94" s="17" t="str">
        <f t="shared" si="34"/>
        <v>N</v>
      </c>
      <c r="L94" s="17">
        <f t="shared" si="30"/>
        <v>0</v>
      </c>
      <c r="M94" s="106">
        <v>0</v>
      </c>
      <c r="N94" s="117">
        <f>J94-L94-M94</f>
        <v>2.14</v>
      </c>
      <c r="O94" s="40">
        <f t="shared" si="35"/>
        <v>0</v>
      </c>
      <c r="P94" s="211">
        <f t="shared" si="25"/>
        <v>0</v>
      </c>
      <c r="Q94" s="164">
        <f t="shared" si="36"/>
        <v>0</v>
      </c>
      <c r="R94" s="209">
        <f t="shared" si="29"/>
        <v>0</v>
      </c>
      <c r="S94" s="23"/>
      <c r="T94" s="23"/>
      <c r="U94" s="23"/>
      <c r="W94" s="46"/>
      <c r="X94" s="46"/>
    </row>
    <row r="95" spans="1:24" s="41" customFormat="1" ht="15" customHeight="1" x14ac:dyDescent="0.2">
      <c r="A95" s="224">
        <v>720584</v>
      </c>
      <c r="B95" s="143" t="str">
        <f t="shared" si="0"/>
        <v>na</v>
      </c>
      <c r="C95" s="6" t="s">
        <v>1889</v>
      </c>
      <c r="D95" s="38"/>
      <c r="E95" s="38">
        <v>141900</v>
      </c>
      <c r="F95" s="39"/>
      <c r="G95" s="39" t="s">
        <v>1427</v>
      </c>
      <c r="H95" s="17" t="str">
        <f t="shared" si="32"/>
        <v>na</v>
      </c>
      <c r="I95" s="17">
        <f t="shared" si="33"/>
        <v>0</v>
      </c>
      <c r="J95" s="100">
        <f>$J$5*0.98</f>
        <v>2.0972</v>
      </c>
      <c r="K95" s="17">
        <f t="shared" si="34"/>
        <v>0</v>
      </c>
      <c r="L95" s="17">
        <f t="shared" si="30"/>
        <v>0.27</v>
      </c>
      <c r="M95" s="106">
        <v>0</v>
      </c>
      <c r="N95" s="117">
        <f>J95-L95-M95</f>
        <v>1.8271999999999999</v>
      </c>
      <c r="O95" s="40" t="e">
        <f t="shared" si="35"/>
        <v>#VALUE!</v>
      </c>
      <c r="P95" s="211">
        <f t="shared" si="25"/>
        <v>0</v>
      </c>
      <c r="Q95" s="164">
        <f t="shared" si="36"/>
        <v>0</v>
      </c>
      <c r="R95" s="209">
        <f t="shared" si="29"/>
        <v>0</v>
      </c>
    </row>
    <row r="96" spans="1:24" s="41" customFormat="1" ht="15" customHeight="1" x14ac:dyDescent="0.2">
      <c r="A96" s="224">
        <v>726243</v>
      </c>
      <c r="B96" s="143" t="str">
        <f t="shared" si="0"/>
        <v>na</v>
      </c>
      <c r="C96" s="6" t="s">
        <v>1889</v>
      </c>
      <c r="D96" s="38"/>
      <c r="E96" s="38">
        <v>141900</v>
      </c>
      <c r="F96" s="39"/>
      <c r="G96" s="39" t="s">
        <v>1427</v>
      </c>
      <c r="H96" s="17" t="str">
        <f t="shared" si="32"/>
        <v>na</v>
      </c>
      <c r="I96" s="17">
        <f t="shared" si="33"/>
        <v>0</v>
      </c>
      <c r="J96" s="100">
        <f>$J$5*0.98</f>
        <v>2.0972</v>
      </c>
      <c r="K96" s="17">
        <f t="shared" si="34"/>
        <v>0</v>
      </c>
      <c r="L96" s="17">
        <f t="shared" si="30"/>
        <v>0.27</v>
      </c>
      <c r="M96" s="106">
        <v>0</v>
      </c>
      <c r="N96" s="117">
        <f>J96-L96-M96</f>
        <v>1.8271999999999999</v>
      </c>
      <c r="O96" s="40" t="e">
        <f t="shared" si="35"/>
        <v>#VALUE!</v>
      </c>
      <c r="P96" s="211">
        <f t="shared" si="25"/>
        <v>0</v>
      </c>
      <c r="Q96" s="164">
        <f t="shared" si="36"/>
        <v>0</v>
      </c>
      <c r="R96" s="209">
        <f t="shared" si="29"/>
        <v>0</v>
      </c>
      <c r="W96" s="47"/>
      <c r="X96" s="47"/>
    </row>
    <row r="97" spans="1:24" s="41" customFormat="1" ht="15" customHeight="1" x14ac:dyDescent="0.2">
      <c r="A97" s="285">
        <v>731882</v>
      </c>
      <c r="B97" s="143" t="str">
        <f t="shared" si="0"/>
        <v>DEER OIL &amp; GAS</v>
      </c>
      <c r="C97" s="286" t="s">
        <v>1008</v>
      </c>
      <c r="D97" s="144">
        <v>22428</v>
      </c>
      <c r="E97" s="291" t="s">
        <v>1009</v>
      </c>
      <c r="F97" s="291"/>
      <c r="G97" s="285" t="s">
        <v>2082</v>
      </c>
      <c r="H97" s="17">
        <f t="shared" si="32"/>
        <v>0</v>
      </c>
      <c r="I97" s="17">
        <f t="shared" si="33"/>
        <v>0</v>
      </c>
      <c r="J97" s="287" t="e">
        <f>+'Special Pricing'!G225</f>
        <v>#DIV/0!</v>
      </c>
      <c r="K97" s="17" t="str">
        <f t="shared" si="34"/>
        <v>N</v>
      </c>
      <c r="L97" s="17">
        <f t="shared" si="30"/>
        <v>0</v>
      </c>
      <c r="M97" s="288">
        <v>0</v>
      </c>
      <c r="N97" s="287" t="e">
        <f>+J97-L97-M97</f>
        <v>#DIV/0!</v>
      </c>
      <c r="O97" s="289">
        <f t="shared" si="35"/>
        <v>0</v>
      </c>
      <c r="P97" s="211">
        <f t="shared" si="25"/>
        <v>0</v>
      </c>
      <c r="Q97" s="290" t="e">
        <f t="shared" si="36"/>
        <v>#DIV/0!</v>
      </c>
      <c r="R97" s="209" t="e">
        <f t="shared" si="29"/>
        <v>#DIV/0!</v>
      </c>
      <c r="W97" s="108">
        <v>0</v>
      </c>
      <c r="X97" s="108">
        <v>0</v>
      </c>
    </row>
    <row r="98" spans="1:24" s="41" customFormat="1" ht="15" customHeight="1" x14ac:dyDescent="0.2">
      <c r="A98" s="224">
        <v>618369</v>
      </c>
      <c r="B98" s="143" t="str">
        <f t="shared" si="0"/>
        <v>na</v>
      </c>
      <c r="C98" s="6" t="s">
        <v>1864</v>
      </c>
      <c r="D98" s="272"/>
      <c r="E98" s="272">
        <v>226912</v>
      </c>
      <c r="F98" s="44"/>
      <c r="G98" s="44" t="s">
        <v>2287</v>
      </c>
      <c r="H98" s="17" t="str">
        <f t="shared" si="32"/>
        <v>na</v>
      </c>
      <c r="I98" s="17">
        <f t="shared" si="33"/>
        <v>0</v>
      </c>
      <c r="J98" s="276">
        <f>+'Special Pricing'!$G$236</f>
        <v>2.77</v>
      </c>
      <c r="K98" s="17">
        <f t="shared" si="34"/>
        <v>0</v>
      </c>
      <c r="L98" s="215">
        <v>0</v>
      </c>
      <c r="M98" s="106">
        <v>0</v>
      </c>
      <c r="N98" s="117">
        <f>J98-L98-M98</f>
        <v>2.77</v>
      </c>
      <c r="O98" s="40" t="e">
        <f t="shared" si="35"/>
        <v>#VALUE!</v>
      </c>
      <c r="P98" s="211">
        <f t="shared" si="25"/>
        <v>0</v>
      </c>
      <c r="Q98" s="164">
        <f t="shared" si="36"/>
        <v>0</v>
      </c>
      <c r="R98" s="209">
        <f t="shared" si="29"/>
        <v>0</v>
      </c>
    </row>
    <row r="99" spans="1:24" s="41" customFormat="1" ht="15" customHeight="1" x14ac:dyDescent="0.2">
      <c r="A99" s="224">
        <v>618598</v>
      </c>
      <c r="B99" s="143" t="str">
        <f t="shared" si="0"/>
        <v>na</v>
      </c>
      <c r="C99" s="6" t="s">
        <v>1864</v>
      </c>
      <c r="D99" s="272"/>
      <c r="E99" s="272">
        <v>226912</v>
      </c>
      <c r="F99" s="44"/>
      <c r="G99" s="44" t="s">
        <v>2287</v>
      </c>
      <c r="H99" s="17" t="str">
        <f t="shared" si="32"/>
        <v>na</v>
      </c>
      <c r="I99" s="17">
        <f t="shared" si="33"/>
        <v>0</v>
      </c>
      <c r="J99" s="276">
        <f>+'Special Pricing'!$G$236</f>
        <v>2.77</v>
      </c>
      <c r="K99" s="17">
        <f t="shared" si="34"/>
        <v>0</v>
      </c>
      <c r="L99" s="215">
        <v>0</v>
      </c>
      <c r="M99" s="106">
        <v>0</v>
      </c>
      <c r="N99" s="117">
        <f>J99-L99-M99</f>
        <v>2.77</v>
      </c>
      <c r="O99" s="40" t="e">
        <f t="shared" si="35"/>
        <v>#VALUE!</v>
      </c>
      <c r="P99" s="211">
        <f t="shared" si="25"/>
        <v>0</v>
      </c>
      <c r="Q99" s="164">
        <f t="shared" si="36"/>
        <v>0</v>
      </c>
      <c r="R99" s="209">
        <f t="shared" si="29"/>
        <v>0</v>
      </c>
    </row>
    <row r="100" spans="1:24" s="41" customFormat="1" ht="15" customHeight="1" x14ac:dyDescent="0.2">
      <c r="A100" s="224">
        <v>628375</v>
      </c>
      <c r="B100" s="143" t="str">
        <f t="shared" si="0"/>
        <v>na</v>
      </c>
      <c r="C100" s="6" t="s">
        <v>1864</v>
      </c>
      <c r="D100" s="272"/>
      <c r="E100" s="272">
        <v>226912</v>
      </c>
      <c r="F100" s="44"/>
      <c r="G100" s="44" t="s">
        <v>2287</v>
      </c>
      <c r="H100" s="17" t="str">
        <f t="shared" si="32"/>
        <v>na</v>
      </c>
      <c r="I100" s="17">
        <f t="shared" si="33"/>
        <v>0</v>
      </c>
      <c r="J100" s="276">
        <f>+'Special Pricing'!$G$236</f>
        <v>2.77</v>
      </c>
      <c r="K100" s="17">
        <f t="shared" si="34"/>
        <v>0</v>
      </c>
      <c r="L100" s="17">
        <f t="shared" ref="L100:L107" si="37">IF(K100="N",0,0.27)</f>
        <v>0.27</v>
      </c>
      <c r="M100" s="106">
        <v>0</v>
      </c>
      <c r="N100" s="117">
        <f>J100-L100-M100</f>
        <v>2.5</v>
      </c>
      <c r="O100" s="40" t="e">
        <f t="shared" si="35"/>
        <v>#VALUE!</v>
      </c>
      <c r="P100" s="211">
        <f t="shared" si="25"/>
        <v>0</v>
      </c>
      <c r="Q100" s="164">
        <f t="shared" si="36"/>
        <v>0</v>
      </c>
      <c r="R100" s="209">
        <f t="shared" si="29"/>
        <v>0</v>
      </c>
    </row>
    <row r="101" spans="1:24" s="41" customFormat="1" ht="15" customHeight="1" x14ac:dyDescent="0.2">
      <c r="A101" s="224">
        <v>634555</v>
      </c>
      <c r="B101" s="143" t="str">
        <f t="shared" si="0"/>
        <v>DICK'S WELL SVC</v>
      </c>
      <c r="C101" s="379" t="s">
        <v>949</v>
      </c>
      <c r="D101" s="464" t="s">
        <v>950</v>
      </c>
      <c r="E101" s="272"/>
      <c r="F101" s="44"/>
      <c r="G101" s="44" t="s">
        <v>951</v>
      </c>
      <c r="H101" s="159">
        <f t="shared" si="32"/>
        <v>0</v>
      </c>
      <c r="I101" s="159">
        <f t="shared" si="33"/>
        <v>0</v>
      </c>
      <c r="J101" s="101" t="e">
        <f>+'Special Pricing'!$G$247</f>
        <v>#DIV/0!</v>
      </c>
      <c r="K101" s="17" t="str">
        <f t="shared" si="34"/>
        <v>I</v>
      </c>
      <c r="L101" s="17">
        <f t="shared" si="37"/>
        <v>0.27</v>
      </c>
      <c r="M101" s="106">
        <v>0</v>
      </c>
      <c r="N101" s="117" t="e">
        <f>J101-L101-M101</f>
        <v>#DIV/0!</v>
      </c>
      <c r="O101" s="40">
        <f t="shared" si="35"/>
        <v>0</v>
      </c>
      <c r="P101" s="211">
        <f t="shared" si="25"/>
        <v>0</v>
      </c>
      <c r="Q101" s="164" t="e">
        <f t="shared" si="36"/>
        <v>#DIV/0!</v>
      </c>
      <c r="R101" s="209" t="e">
        <f t="shared" si="29"/>
        <v>#DIV/0!</v>
      </c>
      <c r="U101" s="198"/>
      <c r="V101" s="198"/>
    </row>
    <row r="102" spans="1:24" s="41" customFormat="1" ht="15" customHeight="1" x14ac:dyDescent="0.2">
      <c r="A102" s="224">
        <v>723017</v>
      </c>
      <c r="B102" s="143" t="str">
        <f t="shared" si="0"/>
        <v>DICKINSON O&amp;G</v>
      </c>
      <c r="C102" s="6" t="s">
        <v>1897</v>
      </c>
      <c r="D102" s="38"/>
      <c r="E102" s="38">
        <v>141968</v>
      </c>
      <c r="F102" s="39"/>
      <c r="G102" s="578" t="s">
        <v>1427</v>
      </c>
      <c r="H102" s="17">
        <f t="shared" si="32"/>
        <v>0</v>
      </c>
      <c r="I102" s="17">
        <f t="shared" si="33"/>
        <v>0</v>
      </c>
      <c r="J102" s="100">
        <f>$J$5*0.98</f>
        <v>2.0972</v>
      </c>
      <c r="K102" s="17" t="str">
        <f t="shared" si="34"/>
        <v>N</v>
      </c>
      <c r="L102" s="17">
        <f t="shared" si="37"/>
        <v>0</v>
      </c>
      <c r="M102" s="106">
        <v>0</v>
      </c>
      <c r="N102" s="117">
        <f>J102-L102-M102</f>
        <v>2.0972</v>
      </c>
      <c r="O102" s="40">
        <f t="shared" si="35"/>
        <v>0</v>
      </c>
      <c r="P102" s="211">
        <f t="shared" si="25"/>
        <v>0</v>
      </c>
      <c r="Q102" s="164">
        <f t="shared" si="36"/>
        <v>0</v>
      </c>
      <c r="R102" s="209">
        <f t="shared" si="29"/>
        <v>0</v>
      </c>
      <c r="V102" s="23"/>
    </row>
    <row r="103" spans="1:24" s="41" customFormat="1" ht="15" customHeight="1" x14ac:dyDescent="0.2">
      <c r="A103" s="285">
        <v>619728</v>
      </c>
      <c r="B103" s="143" t="str">
        <f t="shared" si="0"/>
        <v>na</v>
      </c>
      <c r="C103" s="286" t="s">
        <v>323</v>
      </c>
      <c r="D103" s="286"/>
      <c r="E103" s="38" t="s">
        <v>324</v>
      </c>
      <c r="F103" s="285" t="s">
        <v>325</v>
      </c>
      <c r="G103" s="285" t="s">
        <v>1420</v>
      </c>
      <c r="H103" s="17" t="str">
        <f t="shared" si="32"/>
        <v>na</v>
      </c>
      <c r="I103" s="17">
        <f t="shared" si="33"/>
        <v>0</v>
      </c>
      <c r="J103" s="287">
        <f>$J$5-0.02</f>
        <v>2.12</v>
      </c>
      <c r="K103" s="17">
        <f t="shared" si="34"/>
        <v>0</v>
      </c>
      <c r="L103" s="17">
        <f t="shared" si="37"/>
        <v>0.27</v>
      </c>
      <c r="M103" s="288">
        <v>0.06</v>
      </c>
      <c r="N103" s="287">
        <f>+J103-L103-M103</f>
        <v>1.79</v>
      </c>
      <c r="O103" s="289" t="e">
        <f t="shared" si="35"/>
        <v>#VALUE!</v>
      </c>
      <c r="P103" s="211">
        <f t="shared" si="25"/>
        <v>0</v>
      </c>
      <c r="Q103" s="290">
        <f t="shared" si="36"/>
        <v>0</v>
      </c>
      <c r="R103" s="209">
        <f t="shared" si="29"/>
        <v>0</v>
      </c>
      <c r="U103" s="108"/>
      <c r="V103" s="108"/>
    </row>
    <row r="104" spans="1:24" s="41" customFormat="1" ht="15" customHeight="1" x14ac:dyDescent="0.2">
      <c r="A104" s="224">
        <v>722821</v>
      </c>
      <c r="B104" s="143" t="str">
        <f t="shared" si="0"/>
        <v>DONALD E. WOOD</v>
      </c>
      <c r="C104" s="6" t="s">
        <v>613</v>
      </c>
      <c r="D104" s="186" t="s">
        <v>1894</v>
      </c>
      <c r="E104" s="38"/>
      <c r="F104" s="39"/>
      <c r="G104" s="578" t="s">
        <v>2296</v>
      </c>
      <c r="H104" s="17">
        <f t="shared" si="32"/>
        <v>0</v>
      </c>
      <c r="I104" s="17">
        <f t="shared" si="33"/>
        <v>0</v>
      </c>
      <c r="J104" s="100">
        <f>$J$5-0.02</f>
        <v>2.12</v>
      </c>
      <c r="K104" s="17" t="str">
        <f t="shared" si="34"/>
        <v>N</v>
      </c>
      <c r="L104" s="17">
        <f t="shared" si="37"/>
        <v>0</v>
      </c>
      <c r="M104" s="106">
        <v>0</v>
      </c>
      <c r="N104" s="117">
        <f>J104-L104-M104</f>
        <v>2.12</v>
      </c>
      <c r="O104" s="40">
        <f t="shared" si="35"/>
        <v>0</v>
      </c>
      <c r="P104" s="211">
        <f t="shared" si="25"/>
        <v>0</v>
      </c>
      <c r="Q104" s="164">
        <f t="shared" si="36"/>
        <v>0</v>
      </c>
      <c r="R104" s="209">
        <f t="shared" si="29"/>
        <v>0</v>
      </c>
    </row>
    <row r="105" spans="1:24" s="41" customFormat="1" ht="15" customHeight="1" x14ac:dyDescent="0.2">
      <c r="A105" s="224">
        <v>602355</v>
      </c>
      <c r="B105" s="143" t="str">
        <f t="shared" si="0"/>
        <v>DONALD W DEITZ</v>
      </c>
      <c r="C105" s="6" t="s">
        <v>2288</v>
      </c>
      <c r="D105" s="38"/>
      <c r="E105" s="38">
        <v>164628</v>
      </c>
      <c r="F105" s="39"/>
      <c r="G105" s="578" t="s">
        <v>1456</v>
      </c>
      <c r="H105" s="17">
        <f t="shared" si="32"/>
        <v>0</v>
      </c>
      <c r="I105" s="17">
        <f t="shared" si="33"/>
        <v>101</v>
      </c>
      <c r="J105" s="100">
        <f>$J$5*0.95</f>
        <v>2.0329999999999999</v>
      </c>
      <c r="K105" s="17" t="str">
        <f t="shared" si="34"/>
        <v>I</v>
      </c>
      <c r="L105" s="17">
        <f t="shared" si="37"/>
        <v>0.27</v>
      </c>
      <c r="M105" s="106">
        <v>0</v>
      </c>
      <c r="N105" s="117">
        <f>J105-L105-M105</f>
        <v>1.7629999999999999</v>
      </c>
      <c r="O105" s="40">
        <f t="shared" si="35"/>
        <v>0</v>
      </c>
      <c r="P105" s="211">
        <f t="shared" si="25"/>
        <v>0</v>
      </c>
      <c r="Q105" s="164">
        <f t="shared" si="36"/>
        <v>178.06299999999999</v>
      </c>
      <c r="R105" s="209">
        <f t="shared" si="29"/>
        <v>178.06299999999999</v>
      </c>
    </row>
    <row r="106" spans="1:24" s="41" customFormat="1" ht="15" customHeight="1" x14ac:dyDescent="0.2">
      <c r="A106" s="224">
        <v>824442</v>
      </c>
      <c r="B106" s="143" t="str">
        <f t="shared" si="0"/>
        <v>DRI OPERATING</v>
      </c>
      <c r="C106" s="6" t="s">
        <v>1914</v>
      </c>
      <c r="D106" s="38"/>
      <c r="E106" s="38">
        <v>272669</v>
      </c>
      <c r="F106" s="39"/>
      <c r="G106" s="578" t="s">
        <v>1424</v>
      </c>
      <c r="H106" s="17">
        <f t="shared" si="32"/>
        <v>0</v>
      </c>
      <c r="I106" s="17">
        <f t="shared" si="33"/>
        <v>10316</v>
      </c>
      <c r="J106" s="100">
        <f t="shared" ref="J106:J111" si="38">$J$5</f>
        <v>2.14</v>
      </c>
      <c r="K106" s="17" t="str">
        <f t="shared" si="34"/>
        <v>N</v>
      </c>
      <c r="L106" s="17">
        <f t="shared" si="37"/>
        <v>0</v>
      </c>
      <c r="M106" s="462">
        <v>0</v>
      </c>
      <c r="N106" s="117">
        <f>J106-L106-M106</f>
        <v>2.14</v>
      </c>
      <c r="O106" s="40">
        <f t="shared" si="35"/>
        <v>0</v>
      </c>
      <c r="P106" s="211">
        <f t="shared" si="25"/>
        <v>0</v>
      </c>
      <c r="Q106" s="164">
        <f t="shared" si="36"/>
        <v>22076.240000000002</v>
      </c>
      <c r="R106" s="209">
        <f t="shared" si="29"/>
        <v>22076.240000000002</v>
      </c>
    </row>
    <row r="107" spans="1:24" s="41" customFormat="1" ht="15" customHeight="1" x14ac:dyDescent="0.2">
      <c r="A107" s="224">
        <v>827009</v>
      </c>
      <c r="B107" s="143" t="str">
        <f t="shared" si="0"/>
        <v>DRI OPERATING</v>
      </c>
      <c r="C107" s="6" t="s">
        <v>1914</v>
      </c>
      <c r="D107" s="38"/>
      <c r="E107" s="38">
        <v>272669</v>
      </c>
      <c r="F107" s="39"/>
      <c r="G107" s="578" t="s">
        <v>1424</v>
      </c>
      <c r="H107" s="17">
        <f t="shared" si="32"/>
        <v>0</v>
      </c>
      <c r="I107" s="17">
        <f t="shared" si="33"/>
        <v>3720</v>
      </c>
      <c r="J107" s="100">
        <f t="shared" si="38"/>
        <v>2.14</v>
      </c>
      <c r="K107" s="17" t="str">
        <f t="shared" si="34"/>
        <v>N</v>
      </c>
      <c r="L107" s="17">
        <f t="shared" si="37"/>
        <v>0</v>
      </c>
      <c r="M107" s="462">
        <v>0</v>
      </c>
      <c r="N107" s="117">
        <f>J107-L107-M107</f>
        <v>2.14</v>
      </c>
      <c r="O107" s="40">
        <f t="shared" si="35"/>
        <v>0</v>
      </c>
      <c r="P107" s="211">
        <f t="shared" si="25"/>
        <v>0</v>
      </c>
      <c r="Q107" s="164">
        <f t="shared" si="36"/>
        <v>7960.8</v>
      </c>
      <c r="R107" s="209">
        <f t="shared" si="29"/>
        <v>7960.8</v>
      </c>
    </row>
    <row r="108" spans="1:24" s="41" customFormat="1" ht="15" customHeight="1" x14ac:dyDescent="0.2">
      <c r="A108" s="224">
        <v>635009</v>
      </c>
      <c r="B108" s="143" t="str">
        <f t="shared" si="0"/>
        <v>na</v>
      </c>
      <c r="C108" s="6" t="s">
        <v>2284</v>
      </c>
      <c r="D108" s="272"/>
      <c r="E108" s="272">
        <v>229869</v>
      </c>
      <c r="F108" s="44"/>
      <c r="G108" s="44" t="s">
        <v>239</v>
      </c>
      <c r="H108" s="159" t="str">
        <f t="shared" si="32"/>
        <v>na</v>
      </c>
      <c r="I108" s="159">
        <f t="shared" si="33"/>
        <v>0</v>
      </c>
      <c r="J108" s="100">
        <f t="shared" si="38"/>
        <v>2.14</v>
      </c>
      <c r="K108" s="17">
        <f t="shared" si="34"/>
        <v>0</v>
      </c>
      <c r="L108" s="159">
        <v>0</v>
      </c>
      <c r="M108" s="277">
        <v>0.06</v>
      </c>
      <c r="N108" s="117">
        <f>J108-L108-M108</f>
        <v>2.08</v>
      </c>
      <c r="O108" s="40" t="e">
        <f t="shared" si="35"/>
        <v>#VALUE!</v>
      </c>
      <c r="P108" s="211">
        <f t="shared" si="25"/>
        <v>0</v>
      </c>
      <c r="Q108" s="164">
        <f t="shared" si="36"/>
        <v>0</v>
      </c>
      <c r="R108" s="209">
        <f t="shared" si="29"/>
        <v>0</v>
      </c>
    </row>
    <row r="109" spans="1:24" s="41" customFormat="1" ht="15" customHeight="1" x14ac:dyDescent="0.2">
      <c r="A109" s="224">
        <v>722833</v>
      </c>
      <c r="B109" s="143" t="str">
        <f t="shared" si="0"/>
        <v>na</v>
      </c>
      <c r="C109" s="6" t="s">
        <v>1895</v>
      </c>
      <c r="D109" s="38"/>
      <c r="E109" s="38">
        <v>164714</v>
      </c>
      <c r="F109" s="39"/>
      <c r="G109" s="578" t="s">
        <v>1424</v>
      </c>
      <c r="H109" s="17" t="str">
        <f t="shared" si="32"/>
        <v>na</v>
      </c>
      <c r="I109" s="17">
        <f t="shared" si="33"/>
        <v>0</v>
      </c>
      <c r="J109" s="100">
        <f t="shared" si="38"/>
        <v>2.14</v>
      </c>
      <c r="K109" s="17">
        <f t="shared" ref="K109:K172" si="39">IF(ISNA(VLOOKUP(A109,cgas9910,7,FALSE)),0,(VLOOKUP(A109,cgas9910,7,FALSE)))</f>
        <v>0</v>
      </c>
      <c r="L109" s="17">
        <f t="shared" ref="L109:L124" si="40">IF(K109="N",0,0.27)</f>
        <v>0.27</v>
      </c>
      <c r="M109" s="106">
        <v>0</v>
      </c>
      <c r="N109" s="117">
        <f t="shared" ref="N109:N114" si="41">J109-L109-M109</f>
        <v>1.87</v>
      </c>
      <c r="O109" s="40" t="e">
        <f t="shared" si="35"/>
        <v>#VALUE!</v>
      </c>
      <c r="P109" s="211">
        <f t="shared" si="25"/>
        <v>0</v>
      </c>
      <c r="Q109" s="164">
        <f t="shared" si="36"/>
        <v>0</v>
      </c>
      <c r="R109" s="209">
        <f t="shared" si="29"/>
        <v>0</v>
      </c>
    </row>
    <row r="110" spans="1:24" s="41" customFormat="1" ht="15" customHeight="1" x14ac:dyDescent="0.2">
      <c r="A110" s="224">
        <v>730062</v>
      </c>
      <c r="B110" s="143" t="str">
        <f t="shared" si="0"/>
        <v>na</v>
      </c>
      <c r="C110" s="6" t="s">
        <v>1895</v>
      </c>
      <c r="D110" s="38"/>
      <c r="E110" s="38">
        <v>164714</v>
      </c>
      <c r="F110" s="39"/>
      <c r="G110" s="578" t="s">
        <v>1424</v>
      </c>
      <c r="H110" s="17" t="str">
        <f t="shared" si="32"/>
        <v>na</v>
      </c>
      <c r="I110" s="17">
        <f t="shared" si="33"/>
        <v>0</v>
      </c>
      <c r="J110" s="100">
        <f t="shared" si="38"/>
        <v>2.14</v>
      </c>
      <c r="K110" s="17">
        <f t="shared" si="39"/>
        <v>0</v>
      </c>
      <c r="L110" s="17">
        <f t="shared" si="40"/>
        <v>0.27</v>
      </c>
      <c r="M110" s="106">
        <v>0</v>
      </c>
      <c r="N110" s="117">
        <f t="shared" si="41"/>
        <v>1.87</v>
      </c>
      <c r="O110" s="40" t="e">
        <f t="shared" si="35"/>
        <v>#VALUE!</v>
      </c>
      <c r="P110" s="211">
        <f t="shared" si="25"/>
        <v>0</v>
      </c>
      <c r="Q110" s="164">
        <f t="shared" si="36"/>
        <v>0</v>
      </c>
      <c r="R110" s="209">
        <f t="shared" ref="R110:R119" si="42">+(I110*N110)-P110</f>
        <v>0</v>
      </c>
    </row>
    <row r="111" spans="1:24" s="41" customFormat="1" ht="15" customHeight="1" x14ac:dyDescent="0.2">
      <c r="A111" s="224">
        <v>602337</v>
      </c>
      <c r="B111" s="143" t="str">
        <f t="shared" si="0"/>
        <v>ELMS BROS &amp; CO</v>
      </c>
      <c r="C111" s="6" t="s">
        <v>1840</v>
      </c>
      <c r="D111" s="38"/>
      <c r="E111" s="38">
        <v>164510</v>
      </c>
      <c r="F111" s="39"/>
      <c r="G111" s="578" t="s">
        <v>1424</v>
      </c>
      <c r="H111" s="17">
        <f t="shared" si="32"/>
        <v>0</v>
      </c>
      <c r="I111" s="17">
        <f t="shared" si="33"/>
        <v>0</v>
      </c>
      <c r="J111" s="100">
        <f t="shared" si="38"/>
        <v>2.14</v>
      </c>
      <c r="K111" s="17" t="str">
        <f t="shared" si="39"/>
        <v>I</v>
      </c>
      <c r="L111" s="17">
        <f t="shared" si="40"/>
        <v>0.27</v>
      </c>
      <c r="M111" s="106">
        <v>0</v>
      </c>
      <c r="N111" s="117">
        <f t="shared" si="41"/>
        <v>1.87</v>
      </c>
      <c r="O111" s="40">
        <f t="shared" si="35"/>
        <v>0</v>
      </c>
      <c r="P111" s="211">
        <f t="shared" si="25"/>
        <v>0</v>
      </c>
      <c r="Q111" s="164">
        <f t="shared" si="36"/>
        <v>0</v>
      </c>
      <c r="R111" s="209">
        <f t="shared" si="42"/>
        <v>0</v>
      </c>
    </row>
    <row r="112" spans="1:24" s="41" customFormat="1" ht="15" customHeight="1" x14ac:dyDescent="0.2">
      <c r="A112" s="224">
        <v>720514</v>
      </c>
      <c r="B112" s="143" t="str">
        <f t="shared" si="0"/>
        <v>na</v>
      </c>
      <c r="C112" s="6" t="s">
        <v>2321</v>
      </c>
      <c r="D112" s="186" t="s">
        <v>1888</v>
      </c>
      <c r="E112" s="199"/>
      <c r="F112" s="198"/>
      <c r="G112" s="578" t="s">
        <v>2296</v>
      </c>
      <c r="H112" s="17" t="str">
        <f t="shared" si="32"/>
        <v>na</v>
      </c>
      <c r="I112" s="17">
        <f t="shared" si="33"/>
        <v>0</v>
      </c>
      <c r="J112" s="100">
        <f>$J$5-0.02</f>
        <v>2.12</v>
      </c>
      <c r="K112" s="17">
        <f t="shared" si="39"/>
        <v>0</v>
      </c>
      <c r="L112" s="17">
        <f t="shared" si="40"/>
        <v>0.27</v>
      </c>
      <c r="M112" s="106">
        <v>0</v>
      </c>
      <c r="N112" s="117">
        <f t="shared" si="41"/>
        <v>1.85</v>
      </c>
      <c r="O112" s="40" t="e">
        <f t="shared" si="35"/>
        <v>#VALUE!</v>
      </c>
      <c r="P112" s="211">
        <f t="shared" si="25"/>
        <v>0</v>
      </c>
      <c r="Q112" s="164">
        <f t="shared" si="36"/>
        <v>0</v>
      </c>
      <c r="R112" s="209">
        <f t="shared" si="42"/>
        <v>0</v>
      </c>
    </row>
    <row r="113" spans="1:24" s="41" customFormat="1" ht="15" customHeight="1" x14ac:dyDescent="0.2">
      <c r="A113" s="224">
        <v>835068</v>
      </c>
      <c r="B113" s="143" t="str">
        <f t="shared" si="0"/>
        <v>ENERGY GROUP</v>
      </c>
      <c r="C113" s="6" t="s">
        <v>1920</v>
      </c>
      <c r="D113" s="272"/>
      <c r="E113" s="272">
        <v>168967</v>
      </c>
      <c r="F113" s="44"/>
      <c r="G113" s="44" t="s">
        <v>1424</v>
      </c>
      <c r="H113" s="159">
        <f t="shared" si="32"/>
        <v>0</v>
      </c>
      <c r="I113" s="159">
        <f t="shared" si="33"/>
        <v>0</v>
      </c>
      <c r="J113" s="898" t="e">
        <f>+'Special Pricing'!$G$271</f>
        <v>#DIV/0!</v>
      </c>
      <c r="K113" s="17" t="str">
        <f t="shared" si="39"/>
        <v>N</v>
      </c>
      <c r="L113" s="17">
        <f t="shared" si="40"/>
        <v>0</v>
      </c>
      <c r="M113" s="106">
        <v>0</v>
      </c>
      <c r="N113" s="117" t="e">
        <f t="shared" si="41"/>
        <v>#DIV/0!</v>
      </c>
      <c r="O113" s="40">
        <f t="shared" si="35"/>
        <v>0</v>
      </c>
      <c r="P113" s="211">
        <f t="shared" si="25"/>
        <v>0</v>
      </c>
      <c r="Q113" s="164" t="e">
        <f t="shared" si="36"/>
        <v>#DIV/0!</v>
      </c>
      <c r="R113" s="746" t="e">
        <f t="shared" si="42"/>
        <v>#DIV/0!</v>
      </c>
      <c r="S113" s="698" t="e">
        <f>-R113*0.045</f>
        <v>#DIV/0!</v>
      </c>
      <c r="T113" s="699" t="e">
        <f>+R113+S113</f>
        <v>#DIV/0!</v>
      </c>
    </row>
    <row r="114" spans="1:24" s="47" customFormat="1" ht="15" customHeight="1" x14ac:dyDescent="0.2">
      <c r="A114" s="224">
        <v>835656</v>
      </c>
      <c r="B114" s="143" t="str">
        <f t="shared" si="0"/>
        <v>ENERGY GROUP</v>
      </c>
      <c r="C114" s="6" t="s">
        <v>1920</v>
      </c>
      <c r="D114" s="453"/>
      <c r="E114" s="453">
        <v>221046</v>
      </c>
      <c r="F114" s="44"/>
      <c r="G114" s="44" t="s">
        <v>1424</v>
      </c>
      <c r="H114" s="159">
        <f t="shared" si="32"/>
        <v>0</v>
      </c>
      <c r="I114" s="159">
        <f t="shared" si="33"/>
        <v>0</v>
      </c>
      <c r="J114" s="898" t="e">
        <f>+'Special Pricing'!$G$271</f>
        <v>#DIV/0!</v>
      </c>
      <c r="K114" s="17" t="str">
        <f t="shared" si="39"/>
        <v>N</v>
      </c>
      <c r="L114" s="17">
        <f t="shared" si="40"/>
        <v>0</v>
      </c>
      <c r="M114" s="106">
        <v>0</v>
      </c>
      <c r="N114" s="117" t="e">
        <f t="shared" si="41"/>
        <v>#DIV/0!</v>
      </c>
      <c r="O114" s="40">
        <f t="shared" si="35"/>
        <v>0</v>
      </c>
      <c r="P114" s="211">
        <f t="shared" si="25"/>
        <v>0</v>
      </c>
      <c r="Q114" s="164" t="e">
        <f t="shared" si="36"/>
        <v>#DIV/0!</v>
      </c>
      <c r="R114" s="746" t="e">
        <f t="shared" si="42"/>
        <v>#DIV/0!</v>
      </c>
      <c r="S114" s="698" t="e">
        <f>-R114*0.045</f>
        <v>#DIV/0!</v>
      </c>
      <c r="T114" s="699" t="e">
        <f>+R114+S114</f>
        <v>#DIV/0!</v>
      </c>
      <c r="U114" s="41"/>
      <c r="V114" s="41"/>
      <c r="W114" s="41"/>
      <c r="X114" s="41"/>
    </row>
    <row r="115" spans="1:24" s="47" customFormat="1" ht="15" customHeight="1" x14ac:dyDescent="0.2">
      <c r="A115" s="285">
        <v>730713</v>
      </c>
      <c r="B115" s="143" t="str">
        <f t="shared" si="0"/>
        <v>na</v>
      </c>
      <c r="C115" s="286" t="s">
        <v>386</v>
      </c>
      <c r="D115" s="286"/>
      <c r="E115" s="38" t="s">
        <v>384</v>
      </c>
      <c r="F115" s="285" t="s">
        <v>385</v>
      </c>
      <c r="G115" s="285" t="s">
        <v>387</v>
      </c>
      <c r="H115" s="17" t="str">
        <f t="shared" si="32"/>
        <v>na</v>
      </c>
      <c r="I115" s="17">
        <f t="shared" si="33"/>
        <v>0</v>
      </c>
      <c r="J115" s="287">
        <f>$J$5+0.02</f>
        <v>2.16</v>
      </c>
      <c r="K115" s="17">
        <f t="shared" si="39"/>
        <v>0</v>
      </c>
      <c r="L115" s="17">
        <f t="shared" si="40"/>
        <v>0.27</v>
      </c>
      <c r="M115" s="288">
        <v>0</v>
      </c>
      <c r="N115" s="287">
        <f>+J115-L115-M115</f>
        <v>1.8900000000000001</v>
      </c>
      <c r="O115" s="289" t="e">
        <f t="shared" si="35"/>
        <v>#VALUE!</v>
      </c>
      <c r="P115" s="211">
        <f t="shared" si="25"/>
        <v>0</v>
      </c>
      <c r="Q115" s="290">
        <f t="shared" si="36"/>
        <v>0</v>
      </c>
      <c r="R115" s="209">
        <f t="shared" si="42"/>
        <v>0</v>
      </c>
      <c r="S115" s="41"/>
      <c r="T115" s="41"/>
      <c r="U115" s="108"/>
      <c r="V115" s="108"/>
      <c r="W115" s="41"/>
      <c r="X115" s="41"/>
    </row>
    <row r="116" spans="1:24" s="41" customFormat="1" ht="15" customHeight="1" x14ac:dyDescent="0.2">
      <c r="A116" s="224">
        <v>833482</v>
      </c>
      <c r="B116" s="143" t="str">
        <f t="shared" si="0"/>
        <v>EPI, INC.</v>
      </c>
      <c r="C116" s="6" t="s">
        <v>1916</v>
      </c>
      <c r="D116" s="272"/>
      <c r="E116" s="272">
        <v>141106</v>
      </c>
      <c r="F116" s="44"/>
      <c r="G116" s="44" t="s">
        <v>134</v>
      </c>
      <c r="H116" s="17">
        <f t="shared" si="32"/>
        <v>0</v>
      </c>
      <c r="I116" s="17">
        <f t="shared" si="33"/>
        <v>0</v>
      </c>
      <c r="J116" s="100">
        <f>$J$5</f>
        <v>2.14</v>
      </c>
      <c r="K116" s="17" t="str">
        <f t="shared" si="39"/>
        <v>N</v>
      </c>
      <c r="L116" s="17">
        <f t="shared" si="40"/>
        <v>0</v>
      </c>
      <c r="M116" s="106">
        <v>0</v>
      </c>
      <c r="N116" s="117">
        <f t="shared" ref="N116:N126" si="43">J116-L116-M116</f>
        <v>2.14</v>
      </c>
      <c r="O116" s="40">
        <f t="shared" si="35"/>
        <v>0</v>
      </c>
      <c r="P116" s="211">
        <f t="shared" si="25"/>
        <v>0</v>
      </c>
      <c r="Q116" s="164">
        <f t="shared" si="36"/>
        <v>0</v>
      </c>
      <c r="R116" s="209">
        <f t="shared" si="42"/>
        <v>0</v>
      </c>
      <c r="S116" s="274">
        <f>-R116*0.045</f>
        <v>0</v>
      </c>
      <c r="T116" s="273">
        <f>+R116+S116</f>
        <v>0</v>
      </c>
    </row>
    <row r="117" spans="1:24" s="41" customFormat="1" ht="15" customHeight="1" x14ac:dyDescent="0.2">
      <c r="A117" s="224">
        <v>833486</v>
      </c>
      <c r="B117" s="143" t="str">
        <f t="shared" si="0"/>
        <v>EPI, INC.</v>
      </c>
      <c r="C117" s="6" t="s">
        <v>1916</v>
      </c>
      <c r="D117" s="272"/>
      <c r="E117" s="272">
        <v>141106</v>
      </c>
      <c r="F117" s="44"/>
      <c r="G117" s="44" t="s">
        <v>134</v>
      </c>
      <c r="H117" s="17">
        <f t="shared" ref="H117:H151" si="44">IF(ISNA(VLOOKUP(A117,cgas9910,9,FALSE)),"na",VLOOKUP(A117,cgas9910,9,FALSE))</f>
        <v>0</v>
      </c>
      <c r="I117" s="17">
        <f t="shared" ref="I117:I151" si="45">IF(ISNA(VLOOKUP(A117,cgas9910,10,FALSE)),0,(VLOOKUP(A117,cgas9910,10,FALSE)))</f>
        <v>0</v>
      </c>
      <c r="J117" s="100">
        <f>$J$5</f>
        <v>2.14</v>
      </c>
      <c r="K117" s="17" t="str">
        <f t="shared" si="39"/>
        <v>N</v>
      </c>
      <c r="L117" s="17">
        <f t="shared" si="40"/>
        <v>0</v>
      </c>
      <c r="M117" s="106">
        <v>0</v>
      </c>
      <c r="N117" s="117">
        <f t="shared" si="43"/>
        <v>2.14</v>
      </c>
      <c r="O117" s="40">
        <f t="shared" ref="O117:O151" si="46">+H117*0.001</f>
        <v>0</v>
      </c>
      <c r="P117" s="211">
        <f t="shared" ref="P117:P182" si="47">IF(AND(A117&gt;700000,A117&lt;800000),+I117*0.001,0)</f>
        <v>0</v>
      </c>
      <c r="Q117" s="164">
        <f t="shared" si="36"/>
        <v>0</v>
      </c>
      <c r="R117" s="209">
        <f t="shared" si="42"/>
        <v>0</v>
      </c>
      <c r="S117" s="274">
        <f>-R117*0.045</f>
        <v>0</v>
      </c>
      <c r="T117" s="273">
        <f>+R117+S117</f>
        <v>0</v>
      </c>
    </row>
    <row r="118" spans="1:24" s="41" customFormat="1" ht="15" customHeight="1" x14ac:dyDescent="0.2">
      <c r="A118" s="224">
        <v>835043</v>
      </c>
      <c r="B118" s="143" t="str">
        <f t="shared" si="0"/>
        <v>EXXO RESOURCES</v>
      </c>
      <c r="C118" s="6" t="s">
        <v>1916</v>
      </c>
      <c r="D118" s="250" t="s">
        <v>1918</v>
      </c>
      <c r="E118" s="272">
        <v>141106</v>
      </c>
      <c r="F118" s="44"/>
      <c r="G118" s="44" t="s">
        <v>134</v>
      </c>
      <c r="H118" s="17">
        <f t="shared" si="44"/>
        <v>0</v>
      </c>
      <c r="I118" s="17">
        <f t="shared" si="45"/>
        <v>0</v>
      </c>
      <c r="J118" s="100">
        <f>$J$5</f>
        <v>2.14</v>
      </c>
      <c r="K118" s="17" t="str">
        <f t="shared" si="39"/>
        <v>N</v>
      </c>
      <c r="L118" s="17">
        <f t="shared" si="40"/>
        <v>0</v>
      </c>
      <c r="M118" s="106">
        <v>0</v>
      </c>
      <c r="N118" s="117">
        <f t="shared" si="43"/>
        <v>2.14</v>
      </c>
      <c r="O118" s="40">
        <f t="shared" si="46"/>
        <v>0</v>
      </c>
      <c r="P118" s="211">
        <f t="shared" si="47"/>
        <v>0</v>
      </c>
      <c r="Q118" s="164">
        <f t="shared" si="36"/>
        <v>0</v>
      </c>
      <c r="R118" s="209">
        <f t="shared" si="42"/>
        <v>0</v>
      </c>
      <c r="S118" s="274">
        <f>-R118*0.045</f>
        <v>0</v>
      </c>
      <c r="T118" s="273">
        <f>+R118+S118</f>
        <v>0</v>
      </c>
    </row>
    <row r="119" spans="1:24" s="41" customFormat="1" ht="15" customHeight="1" x14ac:dyDescent="0.2">
      <c r="A119" s="224">
        <v>835064</v>
      </c>
      <c r="B119" s="143" t="str">
        <f t="shared" si="0"/>
        <v>EVAN ENERGY</v>
      </c>
      <c r="C119" s="6" t="s">
        <v>1919</v>
      </c>
      <c r="D119" s="272"/>
      <c r="E119" s="272">
        <v>141122</v>
      </c>
      <c r="F119" s="44"/>
      <c r="G119" s="185" t="s">
        <v>1822</v>
      </c>
      <c r="H119" s="17">
        <f t="shared" si="44"/>
        <v>0</v>
      </c>
      <c r="I119" s="17">
        <f t="shared" si="45"/>
        <v>0</v>
      </c>
      <c r="J119" s="378" t="e">
        <f>+'Special Pricing'!$G$297</f>
        <v>#DIV/0!</v>
      </c>
      <c r="K119" s="17" t="str">
        <f t="shared" si="39"/>
        <v>N</v>
      </c>
      <c r="L119" s="17">
        <f t="shared" si="40"/>
        <v>0</v>
      </c>
      <c r="M119" s="106">
        <v>0</v>
      </c>
      <c r="N119" s="117" t="e">
        <f t="shared" si="43"/>
        <v>#DIV/0!</v>
      </c>
      <c r="O119" s="40">
        <f t="shared" si="46"/>
        <v>0</v>
      </c>
      <c r="P119" s="211">
        <f t="shared" si="47"/>
        <v>0</v>
      </c>
      <c r="Q119" s="164" t="e">
        <f t="shared" si="36"/>
        <v>#DIV/0!</v>
      </c>
      <c r="R119" s="209" t="e">
        <f t="shared" si="42"/>
        <v>#DIV/0!</v>
      </c>
    </row>
    <row r="120" spans="1:24" s="46" customFormat="1" ht="15" customHeight="1" x14ac:dyDescent="0.2">
      <c r="A120" s="224">
        <v>835802</v>
      </c>
      <c r="B120" s="143" t="str">
        <f t="shared" si="0"/>
        <v>EVAN ENERGY</v>
      </c>
      <c r="C120" s="6" t="s">
        <v>1919</v>
      </c>
      <c r="D120" s="272"/>
      <c r="E120" s="272">
        <v>246835</v>
      </c>
      <c r="F120" s="44"/>
      <c r="G120" s="185" t="s">
        <v>1822</v>
      </c>
      <c r="H120" s="17">
        <f t="shared" si="44"/>
        <v>0</v>
      </c>
      <c r="I120" s="17">
        <f t="shared" si="45"/>
        <v>0</v>
      </c>
      <c r="J120" s="378" t="e">
        <f>+'Special Pricing'!$G$297</f>
        <v>#DIV/0!</v>
      </c>
      <c r="K120" s="17" t="str">
        <f t="shared" si="39"/>
        <v>N</v>
      </c>
      <c r="L120" s="17">
        <f t="shared" si="40"/>
        <v>0</v>
      </c>
      <c r="M120" s="106">
        <v>0</v>
      </c>
      <c r="N120" s="117" t="e">
        <f t="shared" si="43"/>
        <v>#DIV/0!</v>
      </c>
      <c r="O120" s="40">
        <f t="shared" si="46"/>
        <v>0</v>
      </c>
      <c r="P120" s="211">
        <f t="shared" si="47"/>
        <v>0</v>
      </c>
      <c r="Q120" s="164" t="e">
        <f t="shared" si="36"/>
        <v>#DIV/0!</v>
      </c>
      <c r="R120" s="209" t="e">
        <f t="shared" ref="R120:R186" si="48">+(I120*N120)-P120</f>
        <v>#DIV/0!</v>
      </c>
      <c r="S120" s="41"/>
      <c r="T120" s="41"/>
      <c r="U120" s="41"/>
      <c r="V120" s="41"/>
      <c r="W120" s="41"/>
      <c r="X120" s="41"/>
    </row>
    <row r="121" spans="1:24" s="42" customFormat="1" ht="15" customHeight="1" x14ac:dyDescent="0.2">
      <c r="A121" s="1">
        <v>602559</v>
      </c>
      <c r="B121" s="143" t="str">
        <f t="shared" si="0"/>
        <v>MCCALL OIL &amp; GA</v>
      </c>
      <c r="C121" s="6" t="s">
        <v>1401</v>
      </c>
      <c r="D121" s="142" t="s">
        <v>461</v>
      </c>
      <c r="E121" s="38"/>
      <c r="F121" s="285"/>
      <c r="G121" s="578" t="s">
        <v>2296</v>
      </c>
      <c r="H121" s="17">
        <f>IF(ISNA(VLOOKUP(A121,cgas9910,9,FALSE)),"na",VLOOKUP(A121,cgas9910,9,FALSE))</f>
        <v>0</v>
      </c>
      <c r="I121" s="17">
        <f>IF(ISNA(VLOOKUP(A121,cgas9910,10,FALSE)),0,(VLOOKUP(A121,cgas9910,10,FALSE)))</f>
        <v>0</v>
      </c>
      <c r="J121" s="100">
        <f>$J$5-0.02</f>
        <v>2.12</v>
      </c>
      <c r="K121" s="17" t="str">
        <f t="shared" si="39"/>
        <v>I</v>
      </c>
      <c r="L121" s="17">
        <f t="shared" si="40"/>
        <v>0.27</v>
      </c>
      <c r="M121" s="106">
        <v>0</v>
      </c>
      <c r="N121" s="287">
        <f>+J121-L121-M121</f>
        <v>1.85</v>
      </c>
      <c r="O121" s="289">
        <f t="shared" si="46"/>
        <v>0</v>
      </c>
      <c r="P121" s="211">
        <f t="shared" si="47"/>
        <v>0</v>
      </c>
      <c r="Q121" s="290">
        <f t="shared" si="36"/>
        <v>0</v>
      </c>
      <c r="R121" s="209">
        <f>+(I121*N121)-P121</f>
        <v>0</v>
      </c>
      <c r="S121" s="41"/>
      <c r="T121" s="41"/>
      <c r="U121" s="108"/>
      <c r="V121" s="108"/>
      <c r="W121" s="198"/>
      <c r="X121" s="198"/>
    </row>
    <row r="122" spans="1:24" s="42" customFormat="1" ht="15" customHeight="1" x14ac:dyDescent="0.2">
      <c r="A122" s="1">
        <v>602562</v>
      </c>
      <c r="B122" s="143" t="str">
        <f t="shared" si="0"/>
        <v>MCCALL OIL &amp; GA</v>
      </c>
      <c r="C122" s="6" t="s">
        <v>1401</v>
      </c>
      <c r="D122" s="142" t="s">
        <v>461</v>
      </c>
      <c r="E122" s="38"/>
      <c r="F122" s="285"/>
      <c r="G122" s="578" t="s">
        <v>2296</v>
      </c>
      <c r="H122" s="17">
        <f>IF(ISNA(VLOOKUP(A122,cgas9910,9,FALSE)),"na",VLOOKUP(A122,cgas9910,9,FALSE))</f>
        <v>0</v>
      </c>
      <c r="I122" s="17">
        <f>IF(ISNA(VLOOKUP(A122,cgas9910,10,FALSE)),0,(VLOOKUP(A122,cgas9910,10,FALSE)))</f>
        <v>0</v>
      </c>
      <c r="J122" s="100">
        <f>$J$5-0.02</f>
        <v>2.12</v>
      </c>
      <c r="K122" s="17" t="str">
        <f t="shared" si="39"/>
        <v>I</v>
      </c>
      <c r="L122" s="17">
        <f t="shared" si="40"/>
        <v>0.27</v>
      </c>
      <c r="M122" s="106">
        <v>0</v>
      </c>
      <c r="N122" s="287">
        <f>+J122-L122-M122</f>
        <v>1.85</v>
      </c>
      <c r="O122" s="289">
        <f t="shared" si="46"/>
        <v>0</v>
      </c>
      <c r="P122" s="211">
        <f t="shared" si="47"/>
        <v>0</v>
      </c>
      <c r="Q122" s="290">
        <f t="shared" si="36"/>
        <v>0</v>
      </c>
      <c r="R122" s="209">
        <f t="shared" si="48"/>
        <v>0</v>
      </c>
      <c r="S122" s="41"/>
      <c r="T122" s="41"/>
      <c r="U122" s="108"/>
      <c r="V122" s="108"/>
      <c r="W122" s="198"/>
      <c r="X122" s="198"/>
    </row>
    <row r="123" spans="1:24" s="41" customFormat="1" ht="15" customHeight="1" x14ac:dyDescent="0.2">
      <c r="A123" s="224">
        <v>711108</v>
      </c>
      <c r="B123" s="143" t="str">
        <f t="shared" si="0"/>
        <v>FLOYD F DRAKE</v>
      </c>
      <c r="C123" s="6" t="s">
        <v>1884</v>
      </c>
      <c r="D123" s="38"/>
      <c r="E123" s="38">
        <v>164629</v>
      </c>
      <c r="F123" s="39"/>
      <c r="G123" s="578" t="s">
        <v>1421</v>
      </c>
      <c r="H123" s="17">
        <f t="shared" si="44"/>
        <v>0</v>
      </c>
      <c r="I123" s="17">
        <f t="shared" si="45"/>
        <v>0</v>
      </c>
      <c r="J123" s="100">
        <f>$J$5*0.97</f>
        <v>2.0758000000000001</v>
      </c>
      <c r="K123" s="17" t="str">
        <f t="shared" si="39"/>
        <v>I</v>
      </c>
      <c r="L123" s="17">
        <f t="shared" si="40"/>
        <v>0.27</v>
      </c>
      <c r="M123" s="106">
        <v>0</v>
      </c>
      <c r="N123" s="117">
        <f t="shared" si="43"/>
        <v>1.8058000000000001</v>
      </c>
      <c r="O123" s="40">
        <f t="shared" si="46"/>
        <v>0</v>
      </c>
      <c r="P123" s="211">
        <f t="shared" si="47"/>
        <v>0</v>
      </c>
      <c r="Q123" s="164">
        <f t="shared" ref="Q123:Q156" si="49">+N123*I123</f>
        <v>0</v>
      </c>
      <c r="R123" s="209">
        <f t="shared" si="48"/>
        <v>0</v>
      </c>
    </row>
    <row r="124" spans="1:24" s="41" customFormat="1" ht="15" customHeight="1" x14ac:dyDescent="0.2">
      <c r="A124" s="224">
        <v>800229</v>
      </c>
      <c r="B124" s="143" t="str">
        <f t="shared" si="0"/>
        <v>FRAME AND LEANY</v>
      </c>
      <c r="C124" s="6" t="s">
        <v>1745</v>
      </c>
      <c r="D124" s="38"/>
      <c r="E124" s="38">
        <v>168363</v>
      </c>
      <c r="F124" s="39"/>
      <c r="G124" s="578" t="s">
        <v>1427</v>
      </c>
      <c r="H124" s="17">
        <f t="shared" si="44"/>
        <v>0</v>
      </c>
      <c r="I124" s="17">
        <f t="shared" si="45"/>
        <v>0</v>
      </c>
      <c r="J124" s="100">
        <f>$J$5*0.98</f>
        <v>2.0972</v>
      </c>
      <c r="K124" s="17" t="str">
        <f t="shared" si="39"/>
        <v>I</v>
      </c>
      <c r="L124" s="17">
        <f t="shared" si="40"/>
        <v>0.27</v>
      </c>
      <c r="M124" s="106">
        <v>0</v>
      </c>
      <c r="N124" s="117">
        <f t="shared" si="43"/>
        <v>1.8271999999999999</v>
      </c>
      <c r="O124" s="40">
        <f t="shared" si="46"/>
        <v>0</v>
      </c>
      <c r="P124" s="211">
        <f t="shared" si="47"/>
        <v>0</v>
      </c>
      <c r="Q124" s="164">
        <f t="shared" si="49"/>
        <v>0</v>
      </c>
      <c r="R124" s="209">
        <f t="shared" si="48"/>
        <v>0</v>
      </c>
    </row>
    <row r="125" spans="1:24" s="41" customFormat="1" ht="15" customHeight="1" x14ac:dyDescent="0.2">
      <c r="A125" s="224">
        <v>801354</v>
      </c>
      <c r="B125" s="143" t="str">
        <f t="shared" si="0"/>
        <v>FRAME AND LEANY</v>
      </c>
      <c r="C125" s="6" t="s">
        <v>1745</v>
      </c>
      <c r="D125" s="38"/>
      <c r="E125" s="38">
        <v>168363</v>
      </c>
      <c r="F125" s="39"/>
      <c r="G125" s="578" t="s">
        <v>1427</v>
      </c>
      <c r="H125" s="17">
        <f t="shared" si="44"/>
        <v>0</v>
      </c>
      <c r="I125" s="17">
        <f t="shared" si="45"/>
        <v>0</v>
      </c>
      <c r="J125" s="100">
        <f>$J$5*0.98</f>
        <v>2.0972</v>
      </c>
      <c r="K125" s="17" t="str">
        <f t="shared" si="39"/>
        <v>N</v>
      </c>
      <c r="L125" s="17">
        <v>0.27</v>
      </c>
      <c r="M125" s="106">
        <v>0</v>
      </c>
      <c r="N125" s="117">
        <f t="shared" si="43"/>
        <v>1.8271999999999999</v>
      </c>
      <c r="O125" s="40">
        <f t="shared" si="46"/>
        <v>0</v>
      </c>
      <c r="P125" s="211">
        <f t="shared" si="47"/>
        <v>0</v>
      </c>
      <c r="Q125" s="164">
        <f t="shared" si="49"/>
        <v>0</v>
      </c>
      <c r="R125" s="209">
        <f t="shared" si="48"/>
        <v>0</v>
      </c>
    </row>
    <row r="126" spans="1:24" s="41" customFormat="1" ht="15" customHeight="1" x14ac:dyDescent="0.2">
      <c r="A126" s="224">
        <v>801978</v>
      </c>
      <c r="B126" s="143" t="str">
        <f t="shared" si="0"/>
        <v>FRAME AND LEANY</v>
      </c>
      <c r="C126" s="6" t="s">
        <v>1745</v>
      </c>
      <c r="E126" s="38">
        <v>168363</v>
      </c>
      <c r="F126" s="39"/>
      <c r="G126" s="578" t="s">
        <v>1427</v>
      </c>
      <c r="H126" s="17">
        <f t="shared" si="44"/>
        <v>0</v>
      </c>
      <c r="I126" s="17">
        <f t="shared" si="45"/>
        <v>0</v>
      </c>
      <c r="J126" s="100">
        <f>$J$5*0.98</f>
        <v>2.0972</v>
      </c>
      <c r="K126" s="17" t="str">
        <f t="shared" si="39"/>
        <v>I</v>
      </c>
      <c r="L126" s="17">
        <f t="shared" ref="L126:L136" si="50">IF(K126="N",0,0.27)</f>
        <v>0.27</v>
      </c>
      <c r="M126" s="106">
        <v>0</v>
      </c>
      <c r="N126" s="117">
        <f t="shared" si="43"/>
        <v>1.8271999999999999</v>
      </c>
      <c r="O126" s="40">
        <f t="shared" si="46"/>
        <v>0</v>
      </c>
      <c r="P126" s="211">
        <f t="shared" si="47"/>
        <v>0</v>
      </c>
      <c r="Q126" s="164">
        <f t="shared" si="49"/>
        <v>0</v>
      </c>
      <c r="R126" s="209">
        <f t="shared" si="48"/>
        <v>0</v>
      </c>
      <c r="S126" s="46"/>
      <c r="T126" s="46"/>
      <c r="U126" s="46"/>
      <c r="V126" s="46"/>
      <c r="W126" s="47"/>
      <c r="X126" s="47"/>
    </row>
    <row r="127" spans="1:24" s="41" customFormat="1" ht="15" customHeight="1" x14ac:dyDescent="0.2">
      <c r="A127" s="224">
        <v>620073</v>
      </c>
      <c r="B127" s="143" t="str">
        <f t="shared" si="0"/>
        <v>G &amp; G GAS INC</v>
      </c>
      <c r="C127" s="6" t="s">
        <v>1537</v>
      </c>
      <c r="D127" s="186" t="s">
        <v>1879</v>
      </c>
      <c r="E127" s="38">
        <v>140934</v>
      </c>
      <c r="F127" s="39"/>
      <c r="G127" s="578" t="s">
        <v>1424</v>
      </c>
      <c r="H127" s="17">
        <f>IF(ISNA(VLOOKUP(A127,cgas9910,9,FALSE)),"na",VLOOKUP(A127,cgas9910,9,FALSE))</f>
        <v>0</v>
      </c>
      <c r="I127" s="17">
        <f>IF(ISNA(VLOOKUP(A127,cgas9910,10,FALSE)),0,(VLOOKUP(A127,cgas9910,10,FALSE)))</f>
        <v>0</v>
      </c>
      <c r="J127" s="100">
        <f>$J$5</f>
        <v>2.14</v>
      </c>
      <c r="K127" s="17" t="str">
        <f>IF(ISNA(VLOOKUP(A127,cgas9910,7,FALSE)),0,(VLOOKUP(A127,cgas9910,7,FALSE)))</f>
        <v>I</v>
      </c>
      <c r="L127" s="17">
        <f t="shared" si="50"/>
        <v>0.27</v>
      </c>
      <c r="M127" s="106">
        <v>0</v>
      </c>
      <c r="N127" s="117">
        <f>J127-L127-M127</f>
        <v>1.87</v>
      </c>
      <c r="O127" s="40">
        <f>+H127*0.001</f>
        <v>0</v>
      </c>
      <c r="P127" s="211">
        <f>IF(AND(A127&gt;700000,A127&lt;800000),+I127*0.001,0)</f>
        <v>0</v>
      </c>
      <c r="Q127" s="164">
        <f>+N127*I127</f>
        <v>0</v>
      </c>
      <c r="R127" s="209">
        <f>+(I127*N127)-P127</f>
        <v>0</v>
      </c>
      <c r="U127" s="198"/>
      <c r="V127" s="198"/>
    </row>
    <row r="128" spans="1:24" s="41" customFormat="1" ht="15" customHeight="1" x14ac:dyDescent="0.2">
      <c r="A128" s="285">
        <v>719181</v>
      </c>
      <c r="B128" s="143" t="str">
        <f t="shared" si="0"/>
        <v>G &amp; O RESOURCES</v>
      </c>
      <c r="C128" s="286" t="s">
        <v>326</v>
      </c>
      <c r="D128" s="286"/>
      <c r="E128" s="38">
        <v>30953</v>
      </c>
      <c r="F128" s="285" t="s">
        <v>327</v>
      </c>
      <c r="G128" s="285" t="s">
        <v>328</v>
      </c>
      <c r="H128" s="17">
        <f t="shared" si="44"/>
        <v>0</v>
      </c>
      <c r="I128" s="17">
        <f t="shared" si="45"/>
        <v>162</v>
      </c>
      <c r="J128" s="287">
        <f>$J$5-0.03</f>
        <v>2.1100000000000003</v>
      </c>
      <c r="K128" s="17" t="str">
        <f t="shared" si="39"/>
        <v>N</v>
      </c>
      <c r="L128" s="17">
        <f t="shared" si="50"/>
        <v>0</v>
      </c>
      <c r="M128" s="288">
        <v>0</v>
      </c>
      <c r="N128" s="287">
        <f t="shared" ref="N128:N135" si="51">+J128-L128-M128</f>
        <v>2.1100000000000003</v>
      </c>
      <c r="O128" s="289">
        <f t="shared" si="46"/>
        <v>0</v>
      </c>
      <c r="P128" s="211">
        <f t="shared" si="47"/>
        <v>0.16200000000000001</v>
      </c>
      <c r="Q128" s="290">
        <f t="shared" si="49"/>
        <v>341.82000000000005</v>
      </c>
      <c r="R128" s="209">
        <f t="shared" si="48"/>
        <v>341.65800000000007</v>
      </c>
      <c r="U128" s="108"/>
      <c r="V128" s="108"/>
      <c r="W128" s="47"/>
      <c r="X128" s="47"/>
    </row>
    <row r="129" spans="1:24" s="41" customFormat="1" ht="15" customHeight="1" x14ac:dyDescent="0.2">
      <c r="A129" s="285">
        <v>723794</v>
      </c>
      <c r="B129" s="143" t="str">
        <f t="shared" si="0"/>
        <v>na</v>
      </c>
      <c r="C129" s="286" t="s">
        <v>326</v>
      </c>
      <c r="D129" s="286"/>
      <c r="E129" s="38">
        <v>30953</v>
      </c>
      <c r="F129" s="285" t="s">
        <v>327</v>
      </c>
      <c r="G129" s="285" t="s">
        <v>328</v>
      </c>
      <c r="H129" s="17" t="str">
        <f t="shared" si="44"/>
        <v>na</v>
      </c>
      <c r="I129" s="17">
        <f t="shared" si="45"/>
        <v>0</v>
      </c>
      <c r="J129" s="287">
        <f>$J$5-0.03</f>
        <v>2.1100000000000003</v>
      </c>
      <c r="K129" s="17">
        <f t="shared" si="39"/>
        <v>0</v>
      </c>
      <c r="L129" s="17">
        <f t="shared" si="50"/>
        <v>0.27</v>
      </c>
      <c r="M129" s="288">
        <v>0</v>
      </c>
      <c r="N129" s="287">
        <f t="shared" si="51"/>
        <v>1.8400000000000003</v>
      </c>
      <c r="O129" s="289" t="e">
        <f t="shared" si="46"/>
        <v>#VALUE!</v>
      </c>
      <c r="P129" s="211">
        <f t="shared" si="47"/>
        <v>0</v>
      </c>
      <c r="Q129" s="290">
        <f t="shared" si="49"/>
        <v>0</v>
      </c>
      <c r="R129" s="209">
        <f t="shared" si="48"/>
        <v>0</v>
      </c>
      <c r="U129" s="108"/>
      <c r="V129" s="108"/>
    </row>
    <row r="130" spans="1:24" s="41" customFormat="1" ht="15" customHeight="1" x14ac:dyDescent="0.2">
      <c r="A130" s="285">
        <v>732296</v>
      </c>
      <c r="B130" s="143" t="str">
        <f t="shared" si="0"/>
        <v>na</v>
      </c>
      <c r="C130" s="286" t="s">
        <v>326</v>
      </c>
      <c r="D130" s="286"/>
      <c r="E130" s="38">
        <v>30953</v>
      </c>
      <c r="F130" s="285" t="s">
        <v>327</v>
      </c>
      <c r="G130" s="285" t="s">
        <v>328</v>
      </c>
      <c r="H130" s="17" t="str">
        <f t="shared" si="44"/>
        <v>na</v>
      </c>
      <c r="I130" s="17">
        <f t="shared" si="45"/>
        <v>0</v>
      </c>
      <c r="J130" s="287">
        <f>$J$5-0.03</f>
        <v>2.1100000000000003</v>
      </c>
      <c r="K130" s="17">
        <f t="shared" si="39"/>
        <v>0</v>
      </c>
      <c r="L130" s="17">
        <f t="shared" si="50"/>
        <v>0.27</v>
      </c>
      <c r="M130" s="288">
        <v>0</v>
      </c>
      <c r="N130" s="287">
        <f t="shared" si="51"/>
        <v>1.8400000000000003</v>
      </c>
      <c r="O130" s="289" t="e">
        <f t="shared" si="46"/>
        <v>#VALUE!</v>
      </c>
      <c r="P130" s="211">
        <f t="shared" si="47"/>
        <v>0</v>
      </c>
      <c r="Q130" s="290">
        <f t="shared" si="49"/>
        <v>0</v>
      </c>
      <c r="R130" s="209">
        <f t="shared" si="48"/>
        <v>0</v>
      </c>
      <c r="U130" s="108"/>
      <c r="V130" s="108"/>
    </row>
    <row r="131" spans="1:24" s="41" customFormat="1" ht="15" customHeight="1" x14ac:dyDescent="0.2">
      <c r="A131" s="285">
        <v>708933</v>
      </c>
      <c r="B131" s="143" t="str">
        <f t="shared" si="0"/>
        <v>G&amp;O PIPE SUPPLY</v>
      </c>
      <c r="C131" s="286" t="s">
        <v>1010</v>
      </c>
      <c r="D131" s="38">
        <v>31418</v>
      </c>
      <c r="E131" s="298" t="s">
        <v>1011</v>
      </c>
      <c r="F131" s="298"/>
      <c r="G131" s="763" t="s">
        <v>1018</v>
      </c>
      <c r="H131" s="17">
        <f t="shared" si="44"/>
        <v>0</v>
      </c>
      <c r="I131" s="17">
        <f t="shared" si="45"/>
        <v>0</v>
      </c>
      <c r="J131" s="656">
        <f>$J$5</f>
        <v>2.14</v>
      </c>
      <c r="K131" s="17" t="str">
        <f t="shared" si="39"/>
        <v>I</v>
      </c>
      <c r="L131" s="17">
        <f t="shared" si="50"/>
        <v>0.27</v>
      </c>
      <c r="M131" s="288">
        <v>0</v>
      </c>
      <c r="N131" s="287">
        <f t="shared" si="51"/>
        <v>1.87</v>
      </c>
      <c r="O131" s="289">
        <f t="shared" si="46"/>
        <v>0</v>
      </c>
      <c r="P131" s="211">
        <f t="shared" si="47"/>
        <v>0</v>
      </c>
      <c r="Q131" s="290">
        <f t="shared" si="49"/>
        <v>0</v>
      </c>
      <c r="R131" s="209">
        <f t="shared" si="48"/>
        <v>0</v>
      </c>
      <c r="V131" s="42"/>
      <c r="W131" s="108">
        <v>0.27</v>
      </c>
      <c r="X131" s="108">
        <v>0</v>
      </c>
    </row>
    <row r="132" spans="1:24" s="41" customFormat="1" ht="15" customHeight="1" x14ac:dyDescent="0.2">
      <c r="A132" s="285">
        <v>834662</v>
      </c>
      <c r="B132" s="143" t="str">
        <f t="shared" si="0"/>
        <v>GEOEX</v>
      </c>
      <c r="C132" s="6" t="s">
        <v>618</v>
      </c>
      <c r="D132" s="144" t="s">
        <v>1019</v>
      </c>
      <c r="E132" s="291" t="s">
        <v>1020</v>
      </c>
      <c r="F132" s="291"/>
      <c r="G132" s="39" t="s">
        <v>1424</v>
      </c>
      <c r="H132" s="17">
        <f t="shared" si="44"/>
        <v>0</v>
      </c>
      <c r="I132" s="17">
        <f t="shared" si="45"/>
        <v>0</v>
      </c>
      <c r="J132" s="100">
        <f>$J$5</f>
        <v>2.14</v>
      </c>
      <c r="K132" s="17" t="str">
        <f t="shared" si="39"/>
        <v>N</v>
      </c>
      <c r="L132" s="17">
        <f t="shared" si="50"/>
        <v>0</v>
      </c>
      <c r="M132" s="288">
        <v>0.03</v>
      </c>
      <c r="N132" s="287">
        <f t="shared" si="51"/>
        <v>2.1100000000000003</v>
      </c>
      <c r="O132" s="289">
        <f t="shared" si="46"/>
        <v>0</v>
      </c>
      <c r="P132" s="211">
        <f t="shared" si="47"/>
        <v>0</v>
      </c>
      <c r="Q132" s="290">
        <f t="shared" si="49"/>
        <v>0</v>
      </c>
      <c r="R132" s="209">
        <f t="shared" si="48"/>
        <v>0</v>
      </c>
      <c r="W132" s="108">
        <v>0</v>
      </c>
      <c r="X132" s="108">
        <v>0.06</v>
      </c>
    </row>
    <row r="133" spans="1:24" s="41" customFormat="1" ht="15" customHeight="1" x14ac:dyDescent="0.2">
      <c r="A133" s="285">
        <v>835567</v>
      </c>
      <c r="B133" s="143" t="str">
        <f t="shared" si="0"/>
        <v>GEOEX</v>
      </c>
      <c r="C133" s="6" t="s">
        <v>618</v>
      </c>
      <c r="D133" s="17">
        <v>32403</v>
      </c>
      <c r="E133" s="291" t="s">
        <v>1020</v>
      </c>
      <c r="F133" s="291"/>
      <c r="G133" s="39" t="s">
        <v>1424</v>
      </c>
      <c r="H133" s="17">
        <f t="shared" si="44"/>
        <v>0</v>
      </c>
      <c r="I133" s="17">
        <f t="shared" si="45"/>
        <v>0</v>
      </c>
      <c r="J133" s="100">
        <f>$J$5</f>
        <v>2.14</v>
      </c>
      <c r="K133" s="17" t="str">
        <f t="shared" si="39"/>
        <v>N</v>
      </c>
      <c r="L133" s="17">
        <f t="shared" si="50"/>
        <v>0</v>
      </c>
      <c r="M133" s="288">
        <v>0.03</v>
      </c>
      <c r="N133" s="287">
        <f t="shared" si="51"/>
        <v>2.1100000000000003</v>
      </c>
      <c r="O133" s="289">
        <f t="shared" si="46"/>
        <v>0</v>
      </c>
      <c r="P133" s="211">
        <f t="shared" si="47"/>
        <v>0</v>
      </c>
      <c r="Q133" s="290">
        <f t="shared" si="49"/>
        <v>0</v>
      </c>
      <c r="R133" s="209">
        <f t="shared" si="48"/>
        <v>0</v>
      </c>
      <c r="V133" s="42"/>
      <c r="W133" s="108">
        <v>0</v>
      </c>
      <c r="X133" s="108">
        <v>0.06</v>
      </c>
    </row>
    <row r="134" spans="1:24" s="41" customFormat="1" ht="15" customHeight="1" x14ac:dyDescent="0.2">
      <c r="A134" s="285">
        <v>835717</v>
      </c>
      <c r="B134" s="143" t="str">
        <f t="shared" si="0"/>
        <v>GEOEX</v>
      </c>
      <c r="C134" s="6" t="s">
        <v>618</v>
      </c>
      <c r="D134" s="17">
        <v>32403</v>
      </c>
      <c r="E134" s="291" t="s">
        <v>1020</v>
      </c>
      <c r="F134" s="291"/>
      <c r="G134" s="39" t="s">
        <v>1424</v>
      </c>
      <c r="H134" s="17">
        <f t="shared" si="44"/>
        <v>0</v>
      </c>
      <c r="I134" s="17">
        <f t="shared" si="45"/>
        <v>0</v>
      </c>
      <c r="J134" s="100">
        <f>$J$5</f>
        <v>2.14</v>
      </c>
      <c r="K134" s="17" t="str">
        <f t="shared" si="39"/>
        <v>N</v>
      </c>
      <c r="L134" s="17">
        <f t="shared" si="50"/>
        <v>0</v>
      </c>
      <c r="M134" s="288">
        <v>0.03</v>
      </c>
      <c r="N134" s="287">
        <f t="shared" si="51"/>
        <v>2.1100000000000003</v>
      </c>
      <c r="O134" s="289">
        <f t="shared" si="46"/>
        <v>0</v>
      </c>
      <c r="P134" s="211">
        <f t="shared" si="47"/>
        <v>0</v>
      </c>
      <c r="Q134" s="290">
        <f t="shared" si="49"/>
        <v>0</v>
      </c>
      <c r="R134" s="209">
        <f t="shared" si="48"/>
        <v>0</v>
      </c>
      <c r="W134" s="108">
        <v>0</v>
      </c>
      <c r="X134" s="108">
        <v>0.06</v>
      </c>
    </row>
    <row r="135" spans="1:24" s="41" customFormat="1" ht="15" customHeight="1" x14ac:dyDescent="0.2">
      <c r="A135" s="285">
        <v>718417</v>
      </c>
      <c r="B135" s="143" t="str">
        <f t="shared" si="0"/>
        <v>EDWARD W GOEHLE</v>
      </c>
      <c r="C135" s="286" t="s">
        <v>329</v>
      </c>
      <c r="D135" s="286"/>
      <c r="E135" s="38" t="s">
        <v>330</v>
      </c>
      <c r="F135" s="285" t="s">
        <v>331</v>
      </c>
      <c r="G135" s="285" t="s">
        <v>332</v>
      </c>
      <c r="H135" s="17">
        <f t="shared" si="44"/>
        <v>0</v>
      </c>
      <c r="I135" s="17">
        <f t="shared" si="45"/>
        <v>0</v>
      </c>
      <c r="J135" s="287">
        <f>$J$5-0.1</f>
        <v>2.04</v>
      </c>
      <c r="K135" s="17" t="str">
        <f t="shared" si="39"/>
        <v>N</v>
      </c>
      <c r="L135" s="17">
        <f t="shared" si="50"/>
        <v>0</v>
      </c>
      <c r="M135" s="288">
        <v>0</v>
      </c>
      <c r="N135" s="287">
        <f t="shared" si="51"/>
        <v>2.04</v>
      </c>
      <c r="O135" s="289">
        <f t="shared" si="46"/>
        <v>0</v>
      </c>
      <c r="P135" s="211">
        <f t="shared" si="47"/>
        <v>0</v>
      </c>
      <c r="Q135" s="290">
        <f t="shared" si="49"/>
        <v>0</v>
      </c>
      <c r="R135" s="209">
        <f t="shared" si="48"/>
        <v>0</v>
      </c>
      <c r="U135" s="108"/>
      <c r="V135" s="108"/>
    </row>
    <row r="136" spans="1:24" s="41" customFormat="1" ht="15" customHeight="1" x14ac:dyDescent="0.2">
      <c r="A136" s="224">
        <v>722443</v>
      </c>
      <c r="B136" s="143" t="str">
        <f t="shared" si="0"/>
        <v>na</v>
      </c>
      <c r="C136" s="6" t="s">
        <v>1447</v>
      </c>
      <c r="D136" s="38"/>
      <c r="E136" s="38">
        <v>164637</v>
      </c>
      <c r="F136" s="39"/>
      <c r="G136" s="578" t="s">
        <v>1421</v>
      </c>
      <c r="H136" s="17" t="str">
        <f t="shared" si="44"/>
        <v>na</v>
      </c>
      <c r="I136" s="17">
        <f t="shared" si="45"/>
        <v>0</v>
      </c>
      <c r="J136" s="100">
        <f t="shared" ref="J136:J144" si="52">$J$5*0.97</f>
        <v>2.0758000000000001</v>
      </c>
      <c r="K136" s="17">
        <f t="shared" si="39"/>
        <v>0</v>
      </c>
      <c r="L136" s="17">
        <f t="shared" si="50"/>
        <v>0.27</v>
      </c>
      <c r="M136" s="106">
        <v>0</v>
      </c>
      <c r="N136" s="117">
        <f t="shared" ref="N136:N141" si="53">J136-L136-M136</f>
        <v>1.8058000000000001</v>
      </c>
      <c r="O136" s="40" t="e">
        <f t="shared" si="46"/>
        <v>#VALUE!</v>
      </c>
      <c r="P136" s="211">
        <f t="shared" si="47"/>
        <v>0</v>
      </c>
      <c r="Q136" s="164">
        <f t="shared" si="49"/>
        <v>0</v>
      </c>
      <c r="R136" s="209">
        <f t="shared" si="48"/>
        <v>0</v>
      </c>
    </row>
    <row r="137" spans="1:24" s="41" customFormat="1" ht="15" customHeight="1" x14ac:dyDescent="0.2">
      <c r="A137" s="224">
        <v>713078</v>
      </c>
      <c r="B137" s="143" t="str">
        <f t="shared" si="0"/>
        <v>na</v>
      </c>
      <c r="C137" s="6" t="s">
        <v>1886</v>
      </c>
      <c r="D137" s="38"/>
      <c r="E137" s="38">
        <v>165340</v>
      </c>
      <c r="F137" s="39"/>
      <c r="G137" s="578" t="s">
        <v>1421</v>
      </c>
      <c r="H137" s="17" t="str">
        <f t="shared" si="44"/>
        <v>na</v>
      </c>
      <c r="I137" s="17">
        <f t="shared" si="45"/>
        <v>0</v>
      </c>
      <c r="J137" s="100">
        <f t="shared" si="52"/>
        <v>2.0758000000000001</v>
      </c>
      <c r="K137" s="17">
        <f t="shared" si="39"/>
        <v>0</v>
      </c>
      <c r="L137" s="215">
        <v>0.27</v>
      </c>
      <c r="M137" s="106">
        <v>0</v>
      </c>
      <c r="N137" s="117">
        <f t="shared" si="53"/>
        <v>1.8058000000000001</v>
      </c>
      <c r="O137" s="40" t="e">
        <f t="shared" si="46"/>
        <v>#VALUE!</v>
      </c>
      <c r="P137" s="211">
        <f t="shared" si="47"/>
        <v>0</v>
      </c>
      <c r="Q137" s="164">
        <f t="shared" si="49"/>
        <v>0</v>
      </c>
      <c r="R137" s="209">
        <f t="shared" si="48"/>
        <v>0</v>
      </c>
    </row>
    <row r="138" spans="1:24" s="41" customFormat="1" ht="15" customHeight="1" x14ac:dyDescent="0.2">
      <c r="A138" s="224">
        <v>717297</v>
      </c>
      <c r="B138" s="143" t="str">
        <f t="shared" si="0"/>
        <v>na</v>
      </c>
      <c r="C138" s="6" t="s">
        <v>1886</v>
      </c>
      <c r="D138" s="38"/>
      <c r="E138" s="38">
        <v>220394</v>
      </c>
      <c r="F138" s="39"/>
      <c r="G138" s="578" t="s">
        <v>1421</v>
      </c>
      <c r="H138" s="17" t="str">
        <f t="shared" si="44"/>
        <v>na</v>
      </c>
      <c r="I138" s="17">
        <f t="shared" si="45"/>
        <v>0</v>
      </c>
      <c r="J138" s="100">
        <f t="shared" si="52"/>
        <v>2.0758000000000001</v>
      </c>
      <c r="K138" s="17">
        <f t="shared" si="39"/>
        <v>0</v>
      </c>
      <c r="L138" s="17">
        <f>IF(K138="N",0,0.27)</f>
        <v>0.27</v>
      </c>
      <c r="M138" s="106">
        <v>0</v>
      </c>
      <c r="N138" s="117">
        <f t="shared" si="53"/>
        <v>1.8058000000000001</v>
      </c>
      <c r="O138" s="40" t="e">
        <f t="shared" si="46"/>
        <v>#VALUE!</v>
      </c>
      <c r="P138" s="211">
        <f t="shared" si="47"/>
        <v>0</v>
      </c>
      <c r="Q138" s="164">
        <f t="shared" si="49"/>
        <v>0</v>
      </c>
      <c r="R138" s="209">
        <f t="shared" si="48"/>
        <v>0</v>
      </c>
      <c r="S138" s="47"/>
      <c r="T138" s="47"/>
      <c r="U138" s="47"/>
      <c r="V138" s="47"/>
      <c r="W138" s="46"/>
      <c r="X138" s="46"/>
    </row>
    <row r="139" spans="1:24" s="41" customFormat="1" ht="15" customHeight="1" x14ac:dyDescent="0.2">
      <c r="A139" s="224">
        <v>723668</v>
      </c>
      <c r="B139" s="143" t="str">
        <f t="shared" si="0"/>
        <v>GREEN GAS CO</v>
      </c>
      <c r="C139" s="6" t="s">
        <v>1886</v>
      </c>
      <c r="D139" s="38"/>
      <c r="E139" s="38">
        <v>165340</v>
      </c>
      <c r="F139" s="39"/>
      <c r="G139" s="578" t="s">
        <v>1421</v>
      </c>
      <c r="H139" s="17">
        <f t="shared" si="44"/>
        <v>0</v>
      </c>
      <c r="I139" s="17">
        <f t="shared" si="45"/>
        <v>0</v>
      </c>
      <c r="J139" s="100">
        <f t="shared" si="52"/>
        <v>2.0758000000000001</v>
      </c>
      <c r="K139" s="17" t="str">
        <f t="shared" si="39"/>
        <v>I</v>
      </c>
      <c r="L139" s="17">
        <f>IF(K139="N",0,0.27)</f>
        <v>0.27</v>
      </c>
      <c r="M139" s="106">
        <v>0</v>
      </c>
      <c r="N139" s="117">
        <f t="shared" si="53"/>
        <v>1.8058000000000001</v>
      </c>
      <c r="O139" s="40">
        <f t="shared" si="46"/>
        <v>0</v>
      </c>
      <c r="P139" s="211">
        <f t="shared" si="47"/>
        <v>0</v>
      </c>
      <c r="Q139" s="164">
        <f t="shared" si="49"/>
        <v>0</v>
      </c>
      <c r="R139" s="209">
        <f t="shared" si="48"/>
        <v>0</v>
      </c>
    </row>
    <row r="140" spans="1:24" s="41" customFormat="1" ht="15" customHeight="1" x14ac:dyDescent="0.2">
      <c r="A140" s="224">
        <v>724448</v>
      </c>
      <c r="B140" s="143" t="str">
        <f t="shared" si="0"/>
        <v>na</v>
      </c>
      <c r="C140" s="6" t="s">
        <v>1886</v>
      </c>
      <c r="D140" s="38"/>
      <c r="E140" s="38">
        <v>165340</v>
      </c>
      <c r="F140" s="39"/>
      <c r="G140" s="578" t="s">
        <v>1421</v>
      </c>
      <c r="H140" s="17" t="str">
        <f t="shared" si="44"/>
        <v>na</v>
      </c>
      <c r="I140" s="17">
        <f t="shared" si="45"/>
        <v>0</v>
      </c>
      <c r="J140" s="100">
        <f t="shared" si="52"/>
        <v>2.0758000000000001</v>
      </c>
      <c r="K140" s="17">
        <f t="shared" si="39"/>
        <v>0</v>
      </c>
      <c r="L140" s="17">
        <f t="shared" ref="L140:L152" si="54">IF(K140="N",0,0.27)</f>
        <v>0.27</v>
      </c>
      <c r="M140" s="106">
        <v>0</v>
      </c>
      <c r="N140" s="117">
        <f t="shared" si="53"/>
        <v>1.8058000000000001</v>
      </c>
      <c r="O140" s="40" t="e">
        <f t="shared" si="46"/>
        <v>#VALUE!</v>
      </c>
      <c r="P140" s="211">
        <f t="shared" si="47"/>
        <v>0</v>
      </c>
      <c r="Q140" s="164">
        <f t="shared" si="49"/>
        <v>0</v>
      </c>
      <c r="R140" s="209">
        <f t="shared" si="48"/>
        <v>0</v>
      </c>
    </row>
    <row r="141" spans="1:24" s="41" customFormat="1" ht="15" customHeight="1" x14ac:dyDescent="0.2">
      <c r="A141" s="828">
        <v>634679</v>
      </c>
      <c r="B141" s="829" t="str">
        <f t="shared" si="0"/>
        <v>GREENE ENERGY</v>
      </c>
      <c r="C141" s="6" t="s">
        <v>1634</v>
      </c>
      <c r="D141" s="779"/>
      <c r="E141" s="779">
        <v>141181</v>
      </c>
      <c r="F141" s="780"/>
      <c r="G141" s="830" t="s">
        <v>1635</v>
      </c>
      <c r="H141" s="536">
        <f t="shared" si="44"/>
        <v>0</v>
      </c>
      <c r="I141" s="536">
        <f t="shared" si="45"/>
        <v>0</v>
      </c>
      <c r="J141" s="831">
        <f>$J$5</f>
        <v>2.14</v>
      </c>
      <c r="K141" s="536" t="str">
        <f>IF(ISNA(VLOOKUP(A141,cgas9910,7,FALSE)),0,(VLOOKUP(A141,cgas9910,7,FALSE)))</f>
        <v>N</v>
      </c>
      <c r="L141" s="536">
        <f t="shared" si="54"/>
        <v>0</v>
      </c>
      <c r="M141" s="781">
        <v>0</v>
      </c>
      <c r="N141" s="782">
        <f t="shared" si="53"/>
        <v>2.14</v>
      </c>
      <c r="O141" s="783">
        <f t="shared" si="46"/>
        <v>0</v>
      </c>
      <c r="P141" s="784">
        <f t="shared" si="47"/>
        <v>0</v>
      </c>
      <c r="Q141" s="785">
        <f t="shared" si="49"/>
        <v>0</v>
      </c>
      <c r="R141" s="832">
        <f t="shared" si="48"/>
        <v>0</v>
      </c>
      <c r="S141" s="833" t="s">
        <v>1635</v>
      </c>
      <c r="T141" s="273"/>
    </row>
    <row r="142" spans="1:24" s="41" customFormat="1" ht="15" customHeight="1" x14ac:dyDescent="0.2">
      <c r="A142" s="285">
        <v>713095</v>
      </c>
      <c r="B142" s="143" t="str">
        <f t="shared" si="0"/>
        <v>CHARLES O LIGH</v>
      </c>
      <c r="C142" s="286" t="s">
        <v>1759</v>
      </c>
      <c r="D142" s="286"/>
      <c r="E142" s="38">
        <v>63690</v>
      </c>
      <c r="F142" s="285" t="s">
        <v>334</v>
      </c>
      <c r="G142" s="39" t="s">
        <v>1421</v>
      </c>
      <c r="H142" s="17">
        <f t="shared" si="44"/>
        <v>0</v>
      </c>
      <c r="I142" s="17">
        <f t="shared" si="45"/>
        <v>0</v>
      </c>
      <c r="J142" s="100">
        <f t="shared" si="52"/>
        <v>2.0758000000000001</v>
      </c>
      <c r="K142" s="17" t="str">
        <f t="shared" si="39"/>
        <v>N</v>
      </c>
      <c r="L142" s="17">
        <f t="shared" si="54"/>
        <v>0</v>
      </c>
      <c r="M142" s="288">
        <v>0</v>
      </c>
      <c r="N142" s="287">
        <f t="shared" ref="N142:N152" si="55">+J142-L142-M142</f>
        <v>2.0758000000000001</v>
      </c>
      <c r="O142" s="289">
        <f t="shared" si="46"/>
        <v>0</v>
      </c>
      <c r="P142" s="211">
        <f t="shared" si="47"/>
        <v>0</v>
      </c>
      <c r="Q142" s="290">
        <f t="shared" si="49"/>
        <v>0</v>
      </c>
      <c r="R142" s="209">
        <f t="shared" si="48"/>
        <v>0</v>
      </c>
      <c r="U142" s="108"/>
      <c r="V142" s="108"/>
    </row>
    <row r="143" spans="1:24" s="41" customFormat="1" ht="15" customHeight="1" x14ac:dyDescent="0.2">
      <c r="A143" s="285">
        <v>719495</v>
      </c>
      <c r="B143" s="143" t="str">
        <f t="shared" si="0"/>
        <v>CHARLES O LIGH</v>
      </c>
      <c r="C143" s="286" t="s">
        <v>1759</v>
      </c>
      <c r="D143" s="286"/>
      <c r="E143" s="38">
        <v>63690</v>
      </c>
      <c r="F143" s="285" t="s">
        <v>334</v>
      </c>
      <c r="G143" s="39" t="s">
        <v>1421</v>
      </c>
      <c r="H143" s="17">
        <f t="shared" si="44"/>
        <v>0</v>
      </c>
      <c r="I143" s="17">
        <f t="shared" si="45"/>
        <v>0</v>
      </c>
      <c r="J143" s="100">
        <f t="shared" si="52"/>
        <v>2.0758000000000001</v>
      </c>
      <c r="K143" s="17" t="str">
        <f t="shared" si="39"/>
        <v>I</v>
      </c>
      <c r="L143" s="17">
        <f t="shared" si="54"/>
        <v>0.27</v>
      </c>
      <c r="M143" s="288">
        <v>0</v>
      </c>
      <c r="N143" s="287">
        <f t="shared" si="55"/>
        <v>1.8058000000000001</v>
      </c>
      <c r="O143" s="289">
        <f t="shared" si="46"/>
        <v>0</v>
      </c>
      <c r="P143" s="211">
        <f t="shared" si="47"/>
        <v>0</v>
      </c>
      <c r="Q143" s="290">
        <f t="shared" si="49"/>
        <v>0</v>
      </c>
      <c r="R143" s="209">
        <f t="shared" si="48"/>
        <v>0</v>
      </c>
      <c r="U143" s="108"/>
      <c r="V143" s="108"/>
    </row>
    <row r="144" spans="1:24" s="41" customFormat="1" ht="15" customHeight="1" x14ac:dyDescent="0.2">
      <c r="A144" s="285">
        <v>734403</v>
      </c>
      <c r="B144" s="143" t="str">
        <f t="shared" si="0"/>
        <v>CHARLES O LIGH</v>
      </c>
      <c r="C144" s="286" t="s">
        <v>1759</v>
      </c>
      <c r="D144" s="286"/>
      <c r="E144" s="38">
        <v>63690</v>
      </c>
      <c r="F144" s="285" t="s">
        <v>334</v>
      </c>
      <c r="G144" s="39" t="s">
        <v>1421</v>
      </c>
      <c r="H144" s="17">
        <f t="shared" si="44"/>
        <v>0</v>
      </c>
      <c r="I144" s="17">
        <f t="shared" si="45"/>
        <v>0</v>
      </c>
      <c r="J144" s="100">
        <f t="shared" si="52"/>
        <v>2.0758000000000001</v>
      </c>
      <c r="K144" s="17" t="str">
        <f t="shared" si="39"/>
        <v>N</v>
      </c>
      <c r="L144" s="17">
        <f t="shared" si="54"/>
        <v>0</v>
      </c>
      <c r="M144" s="288">
        <v>0</v>
      </c>
      <c r="N144" s="287">
        <f t="shared" si="55"/>
        <v>2.0758000000000001</v>
      </c>
      <c r="O144" s="289">
        <f t="shared" si="46"/>
        <v>0</v>
      </c>
      <c r="P144" s="211">
        <f t="shared" si="47"/>
        <v>0</v>
      </c>
      <c r="Q144" s="290">
        <f t="shared" si="49"/>
        <v>0</v>
      </c>
      <c r="R144" s="209">
        <f t="shared" si="48"/>
        <v>0</v>
      </c>
      <c r="U144" s="108"/>
      <c r="V144" s="108"/>
    </row>
    <row r="145" spans="1:32" s="47" customFormat="1" ht="15" customHeight="1" x14ac:dyDescent="0.2">
      <c r="A145" s="285">
        <v>733704</v>
      </c>
      <c r="B145" s="143" t="str">
        <f t="shared" si="0"/>
        <v>KILBARGER CONST</v>
      </c>
      <c r="C145" s="286" t="s">
        <v>341</v>
      </c>
      <c r="D145" s="286"/>
      <c r="E145" s="38">
        <v>82756</v>
      </c>
      <c r="F145" s="285" t="s">
        <v>342</v>
      </c>
      <c r="G145" s="654" t="s">
        <v>343</v>
      </c>
      <c r="H145" s="17">
        <f t="shared" si="44"/>
        <v>0</v>
      </c>
      <c r="I145" s="17">
        <f t="shared" si="45"/>
        <v>0</v>
      </c>
      <c r="J145" s="537">
        <f>$J$5</f>
        <v>2.14</v>
      </c>
      <c r="K145" s="17" t="str">
        <f t="shared" si="39"/>
        <v>N</v>
      </c>
      <c r="L145" s="17">
        <f t="shared" si="54"/>
        <v>0</v>
      </c>
      <c r="M145" s="288">
        <v>0</v>
      </c>
      <c r="N145" s="287">
        <f t="shared" si="55"/>
        <v>2.14</v>
      </c>
      <c r="O145" s="289">
        <f t="shared" si="46"/>
        <v>0</v>
      </c>
      <c r="P145" s="211">
        <f t="shared" si="47"/>
        <v>0</v>
      </c>
      <c r="Q145" s="290">
        <f t="shared" si="49"/>
        <v>0</v>
      </c>
      <c r="R145" s="209">
        <f t="shared" si="48"/>
        <v>0</v>
      </c>
      <c r="S145" s="41"/>
      <c r="T145" s="41"/>
      <c r="U145" s="108"/>
      <c r="V145" s="108"/>
      <c r="W145" s="41"/>
      <c r="X145" s="41"/>
    </row>
    <row r="146" spans="1:32" s="41" customFormat="1" ht="15" customHeight="1" x14ac:dyDescent="0.2">
      <c r="A146" s="285">
        <v>731945</v>
      </c>
      <c r="B146" s="143" t="str">
        <f t="shared" si="0"/>
        <v>na</v>
      </c>
      <c r="C146" s="286" t="s">
        <v>344</v>
      </c>
      <c r="D146" s="286"/>
      <c r="E146" s="38" t="s">
        <v>345</v>
      </c>
      <c r="F146" s="285" t="s">
        <v>346</v>
      </c>
      <c r="G146" s="285" t="s">
        <v>347</v>
      </c>
      <c r="H146" s="17" t="str">
        <f t="shared" si="44"/>
        <v>na</v>
      </c>
      <c r="I146" s="17">
        <f t="shared" si="45"/>
        <v>0</v>
      </c>
      <c r="J146" s="287">
        <f>$J$5-0.01</f>
        <v>2.1300000000000003</v>
      </c>
      <c r="K146" s="17">
        <f t="shared" si="39"/>
        <v>0</v>
      </c>
      <c r="L146" s="17">
        <f t="shared" si="54"/>
        <v>0.27</v>
      </c>
      <c r="M146" s="288">
        <v>0</v>
      </c>
      <c r="N146" s="287">
        <f t="shared" si="55"/>
        <v>1.8600000000000003</v>
      </c>
      <c r="O146" s="289" t="e">
        <f t="shared" si="46"/>
        <v>#VALUE!</v>
      </c>
      <c r="P146" s="211">
        <f t="shared" si="47"/>
        <v>0</v>
      </c>
      <c r="Q146" s="290">
        <f t="shared" si="49"/>
        <v>0</v>
      </c>
      <c r="R146" s="209">
        <f t="shared" si="48"/>
        <v>0</v>
      </c>
      <c r="S146" s="47"/>
      <c r="T146" s="47"/>
      <c r="U146" s="108"/>
      <c r="V146" s="108"/>
    </row>
    <row r="147" spans="1:32" s="41" customFormat="1" ht="15" customHeight="1" x14ac:dyDescent="0.2">
      <c r="A147" s="285">
        <v>713117</v>
      </c>
      <c r="B147" s="143" t="str">
        <f t="shared" si="0"/>
        <v>na</v>
      </c>
      <c r="C147" s="286" t="s">
        <v>348</v>
      </c>
      <c r="D147" s="286"/>
      <c r="E147" s="38" t="s">
        <v>345</v>
      </c>
      <c r="F147" s="285" t="s">
        <v>346</v>
      </c>
      <c r="G147" s="285" t="s">
        <v>347</v>
      </c>
      <c r="H147" s="17" t="str">
        <f t="shared" si="44"/>
        <v>na</v>
      </c>
      <c r="I147" s="17">
        <f t="shared" si="45"/>
        <v>0</v>
      </c>
      <c r="J147" s="287">
        <f>$J$5-0.01</f>
        <v>2.1300000000000003</v>
      </c>
      <c r="K147" s="17">
        <f t="shared" si="39"/>
        <v>0</v>
      </c>
      <c r="L147" s="17">
        <f t="shared" si="54"/>
        <v>0.27</v>
      </c>
      <c r="M147" s="288">
        <v>0</v>
      </c>
      <c r="N147" s="287">
        <f t="shared" si="55"/>
        <v>1.8600000000000003</v>
      </c>
      <c r="O147" s="289" t="e">
        <f t="shared" si="46"/>
        <v>#VALUE!</v>
      </c>
      <c r="P147" s="211">
        <f t="shared" si="47"/>
        <v>0</v>
      </c>
      <c r="Q147" s="290">
        <f t="shared" si="49"/>
        <v>0</v>
      </c>
      <c r="R147" s="209">
        <f t="shared" si="48"/>
        <v>0</v>
      </c>
      <c r="S147" s="47"/>
      <c r="T147" s="47"/>
      <c r="U147" s="108"/>
      <c r="V147" s="108"/>
    </row>
    <row r="148" spans="1:32" s="41" customFormat="1" ht="15" customHeight="1" x14ac:dyDescent="0.2">
      <c r="A148" s="285">
        <v>602661</v>
      </c>
      <c r="B148" s="143" t="str">
        <f t="shared" si="0"/>
        <v>CE &amp; JM HORNER</v>
      </c>
      <c r="C148" s="286" t="s">
        <v>349</v>
      </c>
      <c r="D148" s="286"/>
      <c r="E148" s="38">
        <v>41301</v>
      </c>
      <c r="F148" s="285" t="s">
        <v>350</v>
      </c>
      <c r="G148" s="285" t="s">
        <v>1421</v>
      </c>
      <c r="H148" s="17">
        <f t="shared" si="44"/>
        <v>0</v>
      </c>
      <c r="I148" s="17">
        <f t="shared" si="45"/>
        <v>0</v>
      </c>
      <c r="J148" s="287">
        <f>$J$5*0.97</f>
        <v>2.0758000000000001</v>
      </c>
      <c r="K148" s="17" t="str">
        <f t="shared" si="39"/>
        <v>I</v>
      </c>
      <c r="L148" s="17">
        <f t="shared" si="54"/>
        <v>0.27</v>
      </c>
      <c r="M148" s="288">
        <v>0.03</v>
      </c>
      <c r="N148" s="287">
        <f t="shared" si="55"/>
        <v>1.7758</v>
      </c>
      <c r="O148" s="289">
        <f t="shared" si="46"/>
        <v>0</v>
      </c>
      <c r="P148" s="211">
        <f t="shared" si="47"/>
        <v>0</v>
      </c>
      <c r="Q148" s="290">
        <f t="shared" si="49"/>
        <v>0</v>
      </c>
      <c r="R148" s="209">
        <f t="shared" si="48"/>
        <v>0</v>
      </c>
      <c r="U148" s="108"/>
      <c r="V148" s="108"/>
    </row>
    <row r="149" spans="1:32" s="41" customFormat="1" ht="15" customHeight="1" x14ac:dyDescent="0.2">
      <c r="A149" s="285">
        <v>602662</v>
      </c>
      <c r="B149" s="143" t="str">
        <f t="shared" si="0"/>
        <v>CE &amp; JM HORNER</v>
      </c>
      <c r="C149" s="286" t="s">
        <v>349</v>
      </c>
      <c r="D149" s="286"/>
      <c r="E149" s="38">
        <v>41301</v>
      </c>
      <c r="F149" s="285" t="s">
        <v>350</v>
      </c>
      <c r="G149" s="285" t="s">
        <v>1421</v>
      </c>
      <c r="H149" s="17">
        <f t="shared" si="44"/>
        <v>0</v>
      </c>
      <c r="I149" s="17">
        <f t="shared" si="45"/>
        <v>0</v>
      </c>
      <c r="J149" s="287">
        <f>$J$5*0.97</f>
        <v>2.0758000000000001</v>
      </c>
      <c r="K149" s="17" t="str">
        <f t="shared" si="39"/>
        <v>I</v>
      </c>
      <c r="L149" s="17">
        <f t="shared" si="54"/>
        <v>0.27</v>
      </c>
      <c r="M149" s="288">
        <v>0.03</v>
      </c>
      <c r="N149" s="287">
        <f t="shared" si="55"/>
        <v>1.7758</v>
      </c>
      <c r="O149" s="289">
        <f t="shared" si="46"/>
        <v>0</v>
      </c>
      <c r="P149" s="211">
        <f t="shared" si="47"/>
        <v>0</v>
      </c>
      <c r="Q149" s="290">
        <f t="shared" si="49"/>
        <v>0</v>
      </c>
      <c r="R149" s="209">
        <f t="shared" si="48"/>
        <v>0</v>
      </c>
      <c r="U149" s="108"/>
      <c r="V149" s="108"/>
    </row>
    <row r="150" spans="1:32" s="41" customFormat="1" ht="15" customHeight="1" x14ac:dyDescent="0.2">
      <c r="A150" s="285">
        <v>602663</v>
      </c>
      <c r="B150" s="143" t="str">
        <f t="shared" si="0"/>
        <v>CE &amp; JM HORNER</v>
      </c>
      <c r="C150" s="286" t="s">
        <v>349</v>
      </c>
      <c r="D150" s="286"/>
      <c r="E150" s="38">
        <v>41301</v>
      </c>
      <c r="F150" s="285" t="s">
        <v>350</v>
      </c>
      <c r="G150" s="285" t="s">
        <v>1421</v>
      </c>
      <c r="H150" s="17">
        <f t="shared" si="44"/>
        <v>0</v>
      </c>
      <c r="I150" s="17">
        <f t="shared" si="45"/>
        <v>0</v>
      </c>
      <c r="J150" s="287">
        <f>$J$5*0.97</f>
        <v>2.0758000000000001</v>
      </c>
      <c r="K150" s="17" t="str">
        <f t="shared" si="39"/>
        <v>I</v>
      </c>
      <c r="L150" s="17">
        <f t="shared" si="54"/>
        <v>0.27</v>
      </c>
      <c r="M150" s="288">
        <v>0.03</v>
      </c>
      <c r="N150" s="287">
        <f t="shared" si="55"/>
        <v>1.7758</v>
      </c>
      <c r="O150" s="289">
        <f t="shared" si="46"/>
        <v>0</v>
      </c>
      <c r="P150" s="211">
        <f t="shared" si="47"/>
        <v>0</v>
      </c>
      <c r="Q150" s="290">
        <f t="shared" si="49"/>
        <v>0</v>
      </c>
      <c r="R150" s="209">
        <f t="shared" si="48"/>
        <v>0</v>
      </c>
      <c r="U150" s="108"/>
      <c r="V150" s="108"/>
    </row>
    <row r="151" spans="1:32" s="41" customFormat="1" ht="15" customHeight="1" x14ac:dyDescent="0.2">
      <c r="A151" s="285">
        <v>602664</v>
      </c>
      <c r="B151" s="143" t="str">
        <f t="shared" si="0"/>
        <v>CE &amp; JM HORNER</v>
      </c>
      <c r="C151" s="286" t="s">
        <v>349</v>
      </c>
      <c r="D151" s="286"/>
      <c r="E151" s="38">
        <v>41301</v>
      </c>
      <c r="F151" s="285" t="s">
        <v>350</v>
      </c>
      <c r="G151" s="285" t="s">
        <v>1421</v>
      </c>
      <c r="H151" s="17">
        <f t="shared" si="44"/>
        <v>0</v>
      </c>
      <c r="I151" s="17">
        <f t="shared" si="45"/>
        <v>0</v>
      </c>
      <c r="J151" s="287">
        <f>$J$5*0.97</f>
        <v>2.0758000000000001</v>
      </c>
      <c r="K151" s="17" t="str">
        <f t="shared" si="39"/>
        <v>I</v>
      </c>
      <c r="L151" s="17">
        <f t="shared" si="54"/>
        <v>0.27</v>
      </c>
      <c r="M151" s="288">
        <v>0.03</v>
      </c>
      <c r="N151" s="287">
        <f t="shared" si="55"/>
        <v>1.7758</v>
      </c>
      <c r="O151" s="289">
        <f t="shared" si="46"/>
        <v>0</v>
      </c>
      <c r="P151" s="211">
        <f t="shared" si="47"/>
        <v>0</v>
      </c>
      <c r="Q151" s="290">
        <f t="shared" si="49"/>
        <v>0</v>
      </c>
      <c r="R151" s="209">
        <f t="shared" si="48"/>
        <v>0</v>
      </c>
      <c r="U151" s="108"/>
      <c r="V151" s="108"/>
    </row>
    <row r="152" spans="1:32" s="41" customFormat="1" ht="15" customHeight="1" x14ac:dyDescent="0.2">
      <c r="A152" s="285">
        <v>635268</v>
      </c>
      <c r="B152" s="143" t="str">
        <f t="shared" si="0"/>
        <v>HORNER'S O&amp;G</v>
      </c>
      <c r="C152" s="286" t="s">
        <v>349</v>
      </c>
      <c r="D152" s="286"/>
      <c r="E152" s="38">
        <v>41301</v>
      </c>
      <c r="F152" s="285" t="s">
        <v>350</v>
      </c>
      <c r="G152" s="285" t="s">
        <v>1421</v>
      </c>
      <c r="H152" s="17">
        <f t="shared" ref="H152:H186" si="56">IF(ISNA(VLOOKUP(A152,cgas9910,9,FALSE)),"na",VLOOKUP(A152,cgas9910,9,FALSE))</f>
        <v>0</v>
      </c>
      <c r="I152" s="17">
        <f t="shared" ref="I152:I186" si="57">IF(ISNA(VLOOKUP(A152,cgas9910,10,FALSE)),0,(VLOOKUP(A152,cgas9910,10,FALSE)))</f>
        <v>0</v>
      </c>
      <c r="J152" s="287">
        <f>$J$5*0.97</f>
        <v>2.0758000000000001</v>
      </c>
      <c r="K152" s="17" t="str">
        <f t="shared" si="39"/>
        <v>I</v>
      </c>
      <c r="L152" s="17">
        <f t="shared" si="54"/>
        <v>0.27</v>
      </c>
      <c r="M152" s="288">
        <v>0.03</v>
      </c>
      <c r="N152" s="287">
        <f t="shared" si="55"/>
        <v>1.7758</v>
      </c>
      <c r="O152" s="289">
        <f t="shared" ref="O152:O170" si="58">+H152*0.001</f>
        <v>0</v>
      </c>
      <c r="P152" s="211">
        <f t="shared" si="47"/>
        <v>0</v>
      </c>
      <c r="Q152" s="290">
        <f t="shared" si="49"/>
        <v>0</v>
      </c>
      <c r="R152" s="209">
        <f t="shared" si="48"/>
        <v>0</v>
      </c>
      <c r="U152" s="108"/>
      <c r="V152" s="108"/>
    </row>
    <row r="153" spans="1:32" s="41" customFormat="1" ht="15" customHeight="1" x14ac:dyDescent="0.2">
      <c r="A153" s="285">
        <v>723517</v>
      </c>
      <c r="B153" s="143" t="str">
        <f t="shared" si="0"/>
        <v>HUBBARD</v>
      </c>
      <c r="C153" s="286" t="s">
        <v>351</v>
      </c>
      <c r="D153" s="286"/>
      <c r="E153" s="38" t="s">
        <v>352</v>
      </c>
      <c r="F153" s="285" t="s">
        <v>353</v>
      </c>
      <c r="G153" s="285" t="s">
        <v>354</v>
      </c>
      <c r="H153" s="17">
        <f t="shared" si="56"/>
        <v>0</v>
      </c>
      <c r="I153" s="17">
        <f t="shared" si="57"/>
        <v>567</v>
      </c>
      <c r="J153" s="287">
        <f>$J$5-0.08</f>
        <v>2.06</v>
      </c>
      <c r="K153" s="17" t="str">
        <f t="shared" si="39"/>
        <v>I</v>
      </c>
      <c r="L153" s="17">
        <f t="shared" ref="L153:L168" si="59">IF(K153="N",0,0.27)</f>
        <v>0.27</v>
      </c>
      <c r="M153" s="288">
        <v>0</v>
      </c>
      <c r="N153" s="287">
        <f>+J153-L153-M153</f>
        <v>1.79</v>
      </c>
      <c r="O153" s="289">
        <f t="shared" si="58"/>
        <v>0</v>
      </c>
      <c r="P153" s="211">
        <f t="shared" si="47"/>
        <v>0.56700000000000006</v>
      </c>
      <c r="Q153" s="290">
        <f t="shared" si="49"/>
        <v>1014.9300000000001</v>
      </c>
      <c r="R153" s="209">
        <f t="shared" si="48"/>
        <v>1014.3630000000001</v>
      </c>
      <c r="U153" s="108"/>
      <c r="V153" s="108"/>
    </row>
    <row r="154" spans="1:32" s="42" customFormat="1" ht="15" customHeight="1" x14ac:dyDescent="0.2">
      <c r="A154" s="870">
        <v>800875</v>
      </c>
      <c r="B154" s="808" t="str">
        <f t="shared" si="0"/>
        <v>na</v>
      </c>
      <c r="C154" s="286" t="s">
        <v>1977</v>
      </c>
      <c r="D154" s="871" t="s">
        <v>270</v>
      </c>
      <c r="E154" s="809" t="s">
        <v>271</v>
      </c>
      <c r="F154" s="870" t="s">
        <v>272</v>
      </c>
      <c r="G154" s="870" t="s">
        <v>273</v>
      </c>
      <c r="H154" s="735" t="str">
        <f t="shared" si="56"/>
        <v>na</v>
      </c>
      <c r="I154" s="735">
        <f t="shared" si="57"/>
        <v>0</v>
      </c>
      <c r="J154" s="872">
        <f>$J$4*0.95</f>
        <v>2.0044999999999997</v>
      </c>
      <c r="K154" s="735">
        <f t="shared" si="39"/>
        <v>0</v>
      </c>
      <c r="L154" s="735">
        <f t="shared" si="59"/>
        <v>0.27</v>
      </c>
      <c r="M154" s="873">
        <v>0.03</v>
      </c>
      <c r="N154" s="813">
        <f>J154-L154-M154</f>
        <v>1.7044999999999997</v>
      </c>
      <c r="O154" s="874" t="e">
        <f t="shared" si="58"/>
        <v>#VALUE!</v>
      </c>
      <c r="P154" s="815">
        <f t="shared" si="47"/>
        <v>0</v>
      </c>
      <c r="Q154" s="875">
        <f t="shared" si="49"/>
        <v>0</v>
      </c>
      <c r="R154" s="789">
        <f t="shared" si="48"/>
        <v>0</v>
      </c>
      <c r="S154" s="790">
        <f>-R154*0.045</f>
        <v>0</v>
      </c>
      <c r="T154" s="791">
        <f>+R154+S154</f>
        <v>0</v>
      </c>
      <c r="U154" s="309" t="s">
        <v>1757</v>
      </c>
      <c r="V154" s="309"/>
      <c r="W154"/>
      <c r="X154"/>
      <c r="Y154"/>
      <c r="Z154"/>
      <c r="AA154"/>
      <c r="AB154"/>
      <c r="AC154"/>
      <c r="AD154"/>
      <c r="AE154"/>
      <c r="AF154"/>
    </row>
    <row r="155" spans="1:32" s="42" customFormat="1" ht="15" customHeight="1" x14ac:dyDescent="0.2">
      <c r="A155" s="870">
        <v>816117</v>
      </c>
      <c r="B155" s="808" t="str">
        <f t="shared" si="0"/>
        <v>na</v>
      </c>
      <c r="C155" s="286" t="s">
        <v>1977</v>
      </c>
      <c r="D155" s="871" t="s">
        <v>270</v>
      </c>
      <c r="E155" s="809" t="s">
        <v>271</v>
      </c>
      <c r="F155" s="870" t="s">
        <v>272</v>
      </c>
      <c r="G155" s="870" t="s">
        <v>273</v>
      </c>
      <c r="H155" s="735" t="str">
        <f t="shared" si="56"/>
        <v>na</v>
      </c>
      <c r="I155" s="735">
        <f t="shared" si="57"/>
        <v>0</v>
      </c>
      <c r="J155" s="872">
        <f>$J$4*0.95</f>
        <v>2.0044999999999997</v>
      </c>
      <c r="K155" s="735">
        <f t="shared" si="39"/>
        <v>0</v>
      </c>
      <c r="L155" s="735">
        <f t="shared" si="59"/>
        <v>0.27</v>
      </c>
      <c r="M155" s="873">
        <v>0.03</v>
      </c>
      <c r="N155" s="813">
        <f>J155-L155-M155</f>
        <v>1.7044999999999997</v>
      </c>
      <c r="O155" s="874" t="e">
        <f t="shared" si="58"/>
        <v>#VALUE!</v>
      </c>
      <c r="P155" s="815">
        <f t="shared" si="47"/>
        <v>0</v>
      </c>
      <c r="Q155" s="875">
        <f t="shared" si="49"/>
        <v>0</v>
      </c>
      <c r="R155" s="789">
        <f t="shared" si="48"/>
        <v>0</v>
      </c>
      <c r="S155" s="790">
        <f>-R155*0.045</f>
        <v>0</v>
      </c>
      <c r="T155" s="791">
        <f>+R155+S155</f>
        <v>0</v>
      </c>
      <c r="U155" s="309" t="s">
        <v>1757</v>
      </c>
      <c r="V155" s="309"/>
      <c r="W155"/>
      <c r="X155"/>
      <c r="Y155"/>
      <c r="Z155"/>
      <c r="AA155"/>
      <c r="AB155"/>
      <c r="AC155"/>
      <c r="AD155"/>
      <c r="AE155"/>
      <c r="AF155"/>
    </row>
    <row r="156" spans="1:32" s="41" customFormat="1" ht="15" customHeight="1" x14ac:dyDescent="0.2">
      <c r="A156" s="224">
        <v>602670</v>
      </c>
      <c r="B156" s="143" t="str">
        <f t="shared" si="0"/>
        <v>J C BAKER</v>
      </c>
      <c r="C156" s="6" t="s">
        <v>1853</v>
      </c>
      <c r="D156" s="186" t="s">
        <v>1853</v>
      </c>
      <c r="E156" s="38">
        <v>270104</v>
      </c>
      <c r="F156" s="39"/>
      <c r="G156" s="578" t="s">
        <v>1424</v>
      </c>
      <c r="H156" s="17">
        <f t="shared" si="56"/>
        <v>0</v>
      </c>
      <c r="I156" s="17">
        <f t="shared" si="57"/>
        <v>142</v>
      </c>
      <c r="J156" s="100">
        <f>$J$5</f>
        <v>2.14</v>
      </c>
      <c r="K156" s="17" t="str">
        <f t="shared" si="39"/>
        <v>N</v>
      </c>
      <c r="L156" s="17">
        <f t="shared" si="59"/>
        <v>0</v>
      </c>
      <c r="M156" s="106">
        <v>0</v>
      </c>
      <c r="N156" s="117">
        <f>J156-L156-M156</f>
        <v>2.14</v>
      </c>
      <c r="O156" s="40">
        <f t="shared" si="58"/>
        <v>0</v>
      </c>
      <c r="P156" s="211">
        <f t="shared" si="47"/>
        <v>0</v>
      </c>
      <c r="Q156" s="164">
        <f t="shared" si="49"/>
        <v>303.88</v>
      </c>
      <c r="R156" s="209">
        <f t="shared" si="48"/>
        <v>303.88</v>
      </c>
    </row>
    <row r="157" spans="1:32" s="41" customFormat="1" ht="15" customHeight="1" x14ac:dyDescent="0.2">
      <c r="A157" s="224">
        <v>602671</v>
      </c>
      <c r="B157" s="143" t="str">
        <f t="shared" si="0"/>
        <v>J C BAKER</v>
      </c>
      <c r="C157" s="461" t="s">
        <v>1853</v>
      </c>
      <c r="D157" s="186" t="s">
        <v>1853</v>
      </c>
      <c r="E157" s="197">
        <v>270104</v>
      </c>
      <c r="F157" s="45"/>
      <c r="G157" s="578" t="s">
        <v>1424</v>
      </c>
      <c r="H157" s="17">
        <f t="shared" si="56"/>
        <v>0</v>
      </c>
      <c r="I157" s="17">
        <f t="shared" si="57"/>
        <v>385</v>
      </c>
      <c r="J157" s="100">
        <f>$J$5</f>
        <v>2.14</v>
      </c>
      <c r="K157" s="17" t="str">
        <f t="shared" si="39"/>
        <v>I</v>
      </c>
      <c r="L157" s="17">
        <f t="shared" si="59"/>
        <v>0.27</v>
      </c>
      <c r="M157" s="106">
        <v>0</v>
      </c>
      <c r="N157" s="117">
        <f>J157-L157-M157</f>
        <v>1.87</v>
      </c>
      <c r="O157" s="40">
        <f t="shared" si="58"/>
        <v>0</v>
      </c>
      <c r="P157" s="211">
        <f t="shared" si="47"/>
        <v>0</v>
      </c>
      <c r="Q157" s="164">
        <f t="shared" ref="Q157:Q170" si="60">+N157*I157</f>
        <v>719.95</v>
      </c>
      <c r="R157" s="209">
        <f t="shared" si="48"/>
        <v>719.95</v>
      </c>
    </row>
    <row r="158" spans="1:32" s="41" customFormat="1" ht="15" customHeight="1" x14ac:dyDescent="0.2">
      <c r="A158" s="285">
        <v>726981</v>
      </c>
      <c r="B158" s="143" t="str">
        <f t="shared" si="0"/>
        <v>na</v>
      </c>
      <c r="C158" s="394" t="s">
        <v>355</v>
      </c>
      <c r="D158" s="286"/>
      <c r="E158" s="38">
        <v>44778</v>
      </c>
      <c r="F158" s="285" t="s">
        <v>356</v>
      </c>
      <c r="G158" s="285" t="s">
        <v>357</v>
      </c>
      <c r="H158" s="17" t="str">
        <f t="shared" si="56"/>
        <v>na</v>
      </c>
      <c r="I158" s="17">
        <f t="shared" si="57"/>
        <v>0</v>
      </c>
      <c r="J158" s="287">
        <f>$J$5+0.01</f>
        <v>2.15</v>
      </c>
      <c r="K158" s="17">
        <f t="shared" si="39"/>
        <v>0</v>
      </c>
      <c r="L158" s="17">
        <f t="shared" si="59"/>
        <v>0.27</v>
      </c>
      <c r="M158" s="288">
        <v>0</v>
      </c>
      <c r="N158" s="287">
        <f>+J158-L158-M158</f>
        <v>1.88</v>
      </c>
      <c r="O158" s="289" t="e">
        <f t="shared" si="58"/>
        <v>#VALUE!</v>
      </c>
      <c r="P158" s="211">
        <f t="shared" si="47"/>
        <v>0</v>
      </c>
      <c r="Q158" s="290">
        <f t="shared" si="60"/>
        <v>0</v>
      </c>
      <c r="R158" s="209">
        <f t="shared" si="48"/>
        <v>0</v>
      </c>
      <c r="U158" s="108"/>
      <c r="V158" s="108"/>
    </row>
    <row r="159" spans="1:32" s="41" customFormat="1" ht="15" customHeight="1" x14ac:dyDescent="0.2">
      <c r="A159" s="285">
        <v>733408</v>
      </c>
      <c r="B159" s="143" t="str">
        <f t="shared" si="0"/>
        <v>na</v>
      </c>
      <c r="C159" s="394" t="s">
        <v>355</v>
      </c>
      <c r="D159" s="286"/>
      <c r="E159" s="38">
        <v>44778</v>
      </c>
      <c r="F159" s="285" t="s">
        <v>356</v>
      </c>
      <c r="G159" s="285" t="s">
        <v>357</v>
      </c>
      <c r="H159" s="17" t="str">
        <f t="shared" si="56"/>
        <v>na</v>
      </c>
      <c r="I159" s="17">
        <f t="shared" si="57"/>
        <v>0</v>
      </c>
      <c r="J159" s="287">
        <f>$J$5+0.01</f>
        <v>2.15</v>
      </c>
      <c r="K159" s="17">
        <f t="shared" si="39"/>
        <v>0</v>
      </c>
      <c r="L159" s="17">
        <f t="shared" si="59"/>
        <v>0.27</v>
      </c>
      <c r="M159" s="288">
        <v>0</v>
      </c>
      <c r="N159" s="287">
        <f>+J159-L159-M159</f>
        <v>1.88</v>
      </c>
      <c r="O159" s="289" t="e">
        <f t="shared" si="58"/>
        <v>#VALUE!</v>
      </c>
      <c r="P159" s="211">
        <f t="shared" si="47"/>
        <v>0</v>
      </c>
      <c r="Q159" s="290">
        <f t="shared" si="60"/>
        <v>0</v>
      </c>
      <c r="R159" s="209">
        <f t="shared" si="48"/>
        <v>0</v>
      </c>
      <c r="U159" s="108"/>
      <c r="V159" s="108"/>
    </row>
    <row r="160" spans="1:32" s="41" customFormat="1" ht="15" customHeight="1" x14ac:dyDescent="0.2">
      <c r="A160" s="285">
        <v>733409</v>
      </c>
      <c r="B160" s="143" t="str">
        <f t="shared" si="0"/>
        <v>na</v>
      </c>
      <c r="C160" s="394" t="s">
        <v>355</v>
      </c>
      <c r="D160" s="286"/>
      <c r="E160" s="38">
        <v>44778</v>
      </c>
      <c r="F160" s="285" t="s">
        <v>356</v>
      </c>
      <c r="G160" s="285" t="s">
        <v>357</v>
      </c>
      <c r="H160" s="17" t="str">
        <f t="shared" si="56"/>
        <v>na</v>
      </c>
      <c r="I160" s="17">
        <f t="shared" si="57"/>
        <v>0</v>
      </c>
      <c r="J160" s="287">
        <f>$J$5+0.01</f>
        <v>2.15</v>
      </c>
      <c r="K160" s="17">
        <f t="shared" si="39"/>
        <v>0</v>
      </c>
      <c r="L160" s="17">
        <f t="shared" si="59"/>
        <v>0.27</v>
      </c>
      <c r="M160" s="288">
        <v>0</v>
      </c>
      <c r="N160" s="287">
        <f>+J160-L160-M160</f>
        <v>1.88</v>
      </c>
      <c r="O160" s="289" t="e">
        <f t="shared" si="58"/>
        <v>#VALUE!</v>
      </c>
      <c r="P160" s="211">
        <f t="shared" si="47"/>
        <v>0</v>
      </c>
      <c r="Q160" s="290">
        <f t="shared" si="60"/>
        <v>0</v>
      </c>
      <c r="R160" s="209">
        <f t="shared" si="48"/>
        <v>0</v>
      </c>
      <c r="U160" s="108"/>
      <c r="V160" s="108"/>
    </row>
    <row r="161" spans="1:24" s="41" customFormat="1" ht="15" customHeight="1" x14ac:dyDescent="0.2">
      <c r="A161" s="224">
        <v>622012</v>
      </c>
      <c r="B161" s="143" t="str">
        <f t="shared" si="0"/>
        <v>na</v>
      </c>
      <c r="C161" s="461" t="s">
        <v>1866</v>
      </c>
      <c r="D161" s="398"/>
      <c r="E161" s="43"/>
      <c r="F161" s="39"/>
      <c r="G161" s="39" t="s">
        <v>1424</v>
      </c>
      <c r="H161" s="17" t="str">
        <f t="shared" si="56"/>
        <v>na</v>
      </c>
      <c r="I161" s="17">
        <f t="shared" si="57"/>
        <v>0</v>
      </c>
      <c r="J161" s="100">
        <f>$J$5</f>
        <v>2.14</v>
      </c>
      <c r="K161" s="17">
        <f t="shared" si="39"/>
        <v>0</v>
      </c>
      <c r="L161" s="17">
        <f t="shared" si="59"/>
        <v>0.27</v>
      </c>
      <c r="M161" s="106">
        <v>0</v>
      </c>
      <c r="N161" s="117">
        <f>J161-L161-M161</f>
        <v>1.87</v>
      </c>
      <c r="O161" s="40" t="e">
        <f t="shared" si="58"/>
        <v>#VALUE!</v>
      </c>
      <c r="P161" s="211">
        <f t="shared" si="47"/>
        <v>0</v>
      </c>
      <c r="Q161" s="164">
        <f t="shared" si="60"/>
        <v>0</v>
      </c>
      <c r="R161" s="209">
        <f t="shared" si="48"/>
        <v>0</v>
      </c>
    </row>
    <row r="162" spans="1:24" s="41" customFormat="1" ht="15" customHeight="1" x14ac:dyDescent="0.2">
      <c r="A162" s="224">
        <v>706283</v>
      </c>
      <c r="B162" s="143" t="str">
        <f t="shared" si="0"/>
        <v>na</v>
      </c>
      <c r="C162" s="461" t="s">
        <v>626</v>
      </c>
      <c r="D162" s="580"/>
      <c r="E162" s="295">
        <v>164627</v>
      </c>
      <c r="F162" s="581"/>
      <c r="G162" s="581" t="s">
        <v>1456</v>
      </c>
      <c r="H162" s="582" t="str">
        <f t="shared" si="56"/>
        <v>na</v>
      </c>
      <c r="I162" s="582">
        <f t="shared" si="57"/>
        <v>0</v>
      </c>
      <c r="J162" s="579">
        <f>$J$5*0.95</f>
        <v>2.0329999999999999</v>
      </c>
      <c r="K162" s="17">
        <f t="shared" si="39"/>
        <v>0</v>
      </c>
      <c r="L162" s="17">
        <f t="shared" si="59"/>
        <v>0.27</v>
      </c>
      <c r="M162" s="106">
        <v>0</v>
      </c>
      <c r="N162" s="117">
        <f>J162-L162-M162</f>
        <v>1.7629999999999999</v>
      </c>
      <c r="O162" s="40" t="e">
        <f t="shared" si="58"/>
        <v>#VALUE!</v>
      </c>
      <c r="P162" s="211">
        <f t="shared" si="47"/>
        <v>0</v>
      </c>
      <c r="Q162" s="164">
        <f t="shared" si="60"/>
        <v>0</v>
      </c>
      <c r="R162" s="209">
        <f t="shared" si="48"/>
        <v>0</v>
      </c>
    </row>
    <row r="163" spans="1:24" s="41" customFormat="1" ht="15" customHeight="1" x14ac:dyDescent="0.2">
      <c r="A163" s="285">
        <v>833596</v>
      </c>
      <c r="B163" s="143" t="str">
        <f t="shared" si="0"/>
        <v>na</v>
      </c>
      <c r="C163" s="394" t="s">
        <v>358</v>
      </c>
      <c r="D163" s="286"/>
      <c r="E163" s="38" t="s">
        <v>359</v>
      </c>
      <c r="F163" s="285" t="s">
        <v>360</v>
      </c>
      <c r="G163" s="285" t="s">
        <v>361</v>
      </c>
      <c r="H163" s="17" t="str">
        <f t="shared" si="56"/>
        <v>na</v>
      </c>
      <c r="I163" s="17">
        <f t="shared" si="57"/>
        <v>0</v>
      </c>
      <c r="J163" s="287">
        <f>$J$5-0.05</f>
        <v>2.0900000000000003</v>
      </c>
      <c r="K163" s="17">
        <f t="shared" si="39"/>
        <v>0</v>
      </c>
      <c r="L163" s="17">
        <f t="shared" si="59"/>
        <v>0.27</v>
      </c>
      <c r="M163" s="288">
        <v>0.06</v>
      </c>
      <c r="N163" s="287">
        <f>+J163-L163-M163</f>
        <v>1.7600000000000002</v>
      </c>
      <c r="O163" s="289" t="e">
        <f t="shared" si="58"/>
        <v>#VALUE!</v>
      </c>
      <c r="P163" s="211">
        <f t="shared" si="47"/>
        <v>0</v>
      </c>
      <c r="Q163" s="290">
        <f t="shared" si="60"/>
        <v>0</v>
      </c>
      <c r="R163" s="209">
        <f t="shared" si="48"/>
        <v>0</v>
      </c>
      <c r="U163" s="108"/>
      <c r="V163" s="108"/>
      <c r="W163" s="47"/>
      <c r="X163" s="47"/>
    </row>
    <row r="164" spans="1:24" s="41" customFormat="1" ht="15" customHeight="1" x14ac:dyDescent="0.2">
      <c r="A164" s="224">
        <v>804777</v>
      </c>
      <c r="B164" s="143" t="str">
        <f t="shared" si="0"/>
        <v>na</v>
      </c>
      <c r="C164" s="6" t="s">
        <v>1913</v>
      </c>
      <c r="D164" s="761"/>
      <c r="E164" s="761">
        <v>140928</v>
      </c>
      <c r="F164" s="581"/>
      <c r="G164" s="581" t="s">
        <v>2289</v>
      </c>
      <c r="H164" s="582" t="str">
        <f t="shared" si="56"/>
        <v>na</v>
      </c>
      <c r="I164" s="582">
        <f t="shared" si="57"/>
        <v>0</v>
      </c>
      <c r="J164" s="579">
        <f>+'Special Pricing'!$G$399</f>
        <v>2.64</v>
      </c>
      <c r="K164" s="17">
        <f t="shared" si="39"/>
        <v>0</v>
      </c>
      <c r="L164" s="17">
        <f t="shared" si="59"/>
        <v>0.27</v>
      </c>
      <c r="M164" s="106">
        <v>0</v>
      </c>
      <c r="N164" s="117">
        <f t="shared" ref="N164:N203" si="61">J164-L164-M164</f>
        <v>2.37</v>
      </c>
      <c r="O164" s="40" t="e">
        <f t="shared" si="58"/>
        <v>#VALUE!</v>
      </c>
      <c r="P164" s="211">
        <f t="shared" si="47"/>
        <v>0</v>
      </c>
      <c r="Q164" s="164">
        <f t="shared" si="60"/>
        <v>0</v>
      </c>
      <c r="R164" s="209">
        <f t="shared" si="48"/>
        <v>0</v>
      </c>
    </row>
    <row r="165" spans="1:24" s="41" customFormat="1" ht="15" customHeight="1" x14ac:dyDescent="0.2">
      <c r="A165" s="224">
        <v>802049</v>
      </c>
      <c r="B165" s="143" t="str">
        <f t="shared" si="0"/>
        <v>JENKINS &amp; ARCHE</v>
      </c>
      <c r="C165" s="6" t="s">
        <v>1624</v>
      </c>
      <c r="D165" s="38"/>
      <c r="E165" s="38">
        <v>168362</v>
      </c>
      <c r="F165" s="39"/>
      <c r="G165" s="578" t="s">
        <v>1427</v>
      </c>
      <c r="H165" s="17">
        <f t="shared" si="56"/>
        <v>0</v>
      </c>
      <c r="I165" s="17">
        <f t="shared" si="57"/>
        <v>0</v>
      </c>
      <c r="J165" s="100">
        <f>$J$5*0.98</f>
        <v>2.0972</v>
      </c>
      <c r="K165" s="17" t="str">
        <f t="shared" si="39"/>
        <v>N</v>
      </c>
      <c r="L165" s="17">
        <f t="shared" si="59"/>
        <v>0</v>
      </c>
      <c r="M165" s="106">
        <v>0</v>
      </c>
      <c r="N165" s="117">
        <f t="shared" si="61"/>
        <v>2.0972</v>
      </c>
      <c r="O165" s="40">
        <f t="shared" si="58"/>
        <v>0</v>
      </c>
      <c r="P165" s="211">
        <f t="shared" si="47"/>
        <v>0</v>
      </c>
      <c r="Q165" s="164">
        <f t="shared" si="60"/>
        <v>0</v>
      </c>
      <c r="R165" s="209">
        <f t="shared" si="48"/>
        <v>0</v>
      </c>
      <c r="S165" s="274">
        <f>-R165*0.045</f>
        <v>0</v>
      </c>
      <c r="T165" s="273">
        <f>+R165+S165</f>
        <v>0</v>
      </c>
    </row>
    <row r="166" spans="1:24" s="41" customFormat="1" ht="15" customHeight="1" x14ac:dyDescent="0.2">
      <c r="A166" s="224">
        <v>602350</v>
      </c>
      <c r="B166" s="143" t="str">
        <f t="shared" si="0"/>
        <v>ROY BERN CRAWFO</v>
      </c>
      <c r="C166" s="6" t="s">
        <v>13</v>
      </c>
      <c r="D166" s="186" t="s">
        <v>1841</v>
      </c>
      <c r="E166" s="38">
        <v>140966</v>
      </c>
      <c r="F166" s="39"/>
      <c r="G166" s="578" t="s">
        <v>2296</v>
      </c>
      <c r="H166" s="17">
        <f t="shared" si="56"/>
        <v>0</v>
      </c>
      <c r="I166" s="17">
        <f t="shared" si="57"/>
        <v>0</v>
      </c>
      <c r="J166" s="100">
        <f>$J$5-0.02</f>
        <v>2.12</v>
      </c>
      <c r="K166" s="17" t="str">
        <f t="shared" si="39"/>
        <v>I</v>
      </c>
      <c r="L166" s="17">
        <f t="shared" si="59"/>
        <v>0.27</v>
      </c>
      <c r="M166" s="106">
        <v>0</v>
      </c>
      <c r="N166" s="117">
        <f t="shared" si="61"/>
        <v>1.85</v>
      </c>
      <c r="O166" s="40">
        <f t="shared" si="58"/>
        <v>0</v>
      </c>
      <c r="P166" s="211">
        <f t="shared" si="47"/>
        <v>0</v>
      </c>
      <c r="Q166" s="164">
        <f t="shared" si="60"/>
        <v>0</v>
      </c>
      <c r="R166" s="209">
        <f t="shared" si="48"/>
        <v>0</v>
      </c>
    </row>
    <row r="167" spans="1:24" s="41" customFormat="1" ht="15" customHeight="1" x14ac:dyDescent="0.2">
      <c r="A167" s="224">
        <v>602411</v>
      </c>
      <c r="B167" s="143" t="str">
        <f t="shared" si="0"/>
        <v>JOSEPH DUNN</v>
      </c>
      <c r="C167" s="6" t="s">
        <v>1844</v>
      </c>
      <c r="D167" s="38"/>
      <c r="E167" s="38">
        <v>141941</v>
      </c>
      <c r="F167" s="39"/>
      <c r="G167" s="578" t="s">
        <v>1427</v>
      </c>
      <c r="H167" s="17">
        <f t="shared" si="56"/>
        <v>0</v>
      </c>
      <c r="I167" s="17">
        <f t="shared" si="57"/>
        <v>0</v>
      </c>
      <c r="J167" s="100">
        <f>$J$5*0.98</f>
        <v>2.0972</v>
      </c>
      <c r="K167" s="17" t="str">
        <f t="shared" si="39"/>
        <v>I</v>
      </c>
      <c r="L167" s="17">
        <f t="shared" si="59"/>
        <v>0.27</v>
      </c>
      <c r="M167" s="106">
        <v>0</v>
      </c>
      <c r="N167" s="117">
        <f t="shared" si="61"/>
        <v>1.8271999999999999</v>
      </c>
      <c r="O167" s="40">
        <f t="shared" si="58"/>
        <v>0</v>
      </c>
      <c r="P167" s="211">
        <f t="shared" si="47"/>
        <v>0</v>
      </c>
      <c r="Q167" s="164">
        <f t="shared" si="60"/>
        <v>0</v>
      </c>
      <c r="R167" s="209">
        <f t="shared" si="48"/>
        <v>0</v>
      </c>
    </row>
    <row r="168" spans="1:24" s="41" customFormat="1" ht="15" customHeight="1" x14ac:dyDescent="0.2">
      <c r="A168" s="224">
        <v>602455</v>
      </c>
      <c r="B168" s="143" t="str">
        <f t="shared" si="0"/>
        <v>KAIB AND KAIB</v>
      </c>
      <c r="C168" s="6" t="s">
        <v>1847</v>
      </c>
      <c r="D168" s="38"/>
      <c r="E168" s="38">
        <v>141120</v>
      </c>
      <c r="F168" s="39"/>
      <c r="G168" s="578" t="s">
        <v>1427</v>
      </c>
      <c r="H168" s="17">
        <f t="shared" si="56"/>
        <v>0</v>
      </c>
      <c r="I168" s="17">
        <f t="shared" si="57"/>
        <v>0</v>
      </c>
      <c r="J168" s="100">
        <f>$J$5*0.98</f>
        <v>2.0972</v>
      </c>
      <c r="K168" s="17" t="str">
        <f t="shared" si="39"/>
        <v>I</v>
      </c>
      <c r="L168" s="17">
        <f t="shared" si="59"/>
        <v>0.27</v>
      </c>
      <c r="M168" s="106">
        <v>0</v>
      </c>
      <c r="N168" s="117">
        <f t="shared" si="61"/>
        <v>1.8271999999999999</v>
      </c>
      <c r="O168" s="40">
        <f t="shared" si="58"/>
        <v>0</v>
      </c>
      <c r="P168" s="211">
        <f t="shared" si="47"/>
        <v>0</v>
      </c>
      <c r="Q168" s="164">
        <f t="shared" si="60"/>
        <v>0</v>
      </c>
      <c r="R168" s="209">
        <f t="shared" si="48"/>
        <v>0</v>
      </c>
    </row>
    <row r="169" spans="1:24" s="41" customFormat="1" ht="15" customHeight="1" x14ac:dyDescent="0.2">
      <c r="A169" s="224">
        <v>602456</v>
      </c>
      <c r="B169" s="143" t="str">
        <f t="shared" si="0"/>
        <v>KAIB AND KAIB</v>
      </c>
      <c r="C169" s="6" t="s">
        <v>1847</v>
      </c>
      <c r="D169" s="38"/>
      <c r="E169" s="38">
        <v>141120</v>
      </c>
      <c r="F169" s="39"/>
      <c r="G169" s="578" t="s">
        <v>1427</v>
      </c>
      <c r="H169" s="17">
        <f t="shared" si="56"/>
        <v>0</v>
      </c>
      <c r="I169" s="17">
        <f t="shared" si="57"/>
        <v>0</v>
      </c>
      <c r="J169" s="100">
        <f>$J$5*0.98</f>
        <v>2.0972</v>
      </c>
      <c r="K169" s="17" t="str">
        <f t="shared" si="39"/>
        <v>N</v>
      </c>
      <c r="L169" s="215">
        <v>0.27</v>
      </c>
      <c r="M169" s="106">
        <v>0</v>
      </c>
      <c r="N169" s="117">
        <f t="shared" si="61"/>
        <v>1.8271999999999999</v>
      </c>
      <c r="O169" s="40">
        <f t="shared" si="58"/>
        <v>0</v>
      </c>
      <c r="P169" s="211">
        <f t="shared" si="47"/>
        <v>0</v>
      </c>
      <c r="Q169" s="164">
        <f t="shared" si="60"/>
        <v>0</v>
      </c>
      <c r="R169" s="209">
        <f t="shared" si="48"/>
        <v>0</v>
      </c>
    </row>
    <row r="170" spans="1:24" s="41" customFormat="1" ht="15" customHeight="1" x14ac:dyDescent="0.2">
      <c r="A170" s="224">
        <v>602457</v>
      </c>
      <c r="B170" s="143" t="str">
        <f t="shared" si="0"/>
        <v>KAIB AND KAIB</v>
      </c>
      <c r="C170" s="6" t="s">
        <v>1847</v>
      </c>
      <c r="D170" s="38"/>
      <c r="E170" s="38">
        <v>141120</v>
      </c>
      <c r="F170" s="45"/>
      <c r="G170" s="578" t="s">
        <v>1427</v>
      </c>
      <c r="H170" s="17">
        <f t="shared" si="56"/>
        <v>0</v>
      </c>
      <c r="I170" s="17">
        <f t="shared" si="57"/>
        <v>0</v>
      </c>
      <c r="J170" s="100">
        <f>$J$5*0.98</f>
        <v>2.0972</v>
      </c>
      <c r="K170" s="17" t="str">
        <f t="shared" si="39"/>
        <v>I</v>
      </c>
      <c r="L170" s="17">
        <f t="shared" ref="L170:L203" si="62">IF(K170="N",0,0.27)</f>
        <v>0.27</v>
      </c>
      <c r="M170" s="106">
        <v>0</v>
      </c>
      <c r="N170" s="117">
        <f t="shared" si="61"/>
        <v>1.8271999999999999</v>
      </c>
      <c r="O170" s="40">
        <f t="shared" si="58"/>
        <v>0</v>
      </c>
      <c r="P170" s="211">
        <f t="shared" si="47"/>
        <v>0</v>
      </c>
      <c r="Q170" s="164">
        <f t="shared" si="60"/>
        <v>0</v>
      </c>
      <c r="R170" s="209">
        <f t="shared" si="48"/>
        <v>0</v>
      </c>
    </row>
    <row r="171" spans="1:24" s="41" customFormat="1" ht="15" customHeight="1" x14ac:dyDescent="0.2">
      <c r="A171" s="265">
        <v>732038</v>
      </c>
      <c r="B171" s="701" t="str">
        <f t="shared" si="0"/>
        <v>KAPLAN INTEREST</v>
      </c>
      <c r="C171" s="286" t="s">
        <v>362</v>
      </c>
      <c r="D171" s="447"/>
      <c r="E171" s="272" t="s">
        <v>363</v>
      </c>
      <c r="F171" s="265" t="s">
        <v>365</v>
      </c>
      <c r="G171" s="159" t="s">
        <v>1360</v>
      </c>
      <c r="H171" s="159">
        <f t="shared" si="56"/>
        <v>0</v>
      </c>
      <c r="I171" s="159">
        <f t="shared" si="57"/>
        <v>0</v>
      </c>
      <c r="J171" s="421">
        <f>+'Special Pricing'!$G$421</f>
        <v>4.49</v>
      </c>
      <c r="K171" s="17" t="str">
        <f t="shared" si="39"/>
        <v>N</v>
      </c>
      <c r="L171" s="17">
        <f t="shared" si="62"/>
        <v>0</v>
      </c>
      <c r="M171" s="288">
        <v>0</v>
      </c>
      <c r="N171" s="287">
        <f t="shared" si="61"/>
        <v>4.49</v>
      </c>
      <c r="O171" s="289">
        <f>H171*0.001</f>
        <v>0</v>
      </c>
      <c r="P171" s="211">
        <f t="shared" si="47"/>
        <v>0</v>
      </c>
      <c r="Q171" s="290">
        <f>(I171*N171)-O171</f>
        <v>0</v>
      </c>
      <c r="R171" s="209">
        <f t="shared" si="48"/>
        <v>0</v>
      </c>
      <c r="U171" s="108"/>
      <c r="V171" s="108"/>
    </row>
    <row r="172" spans="1:24" s="41" customFormat="1" ht="15" customHeight="1" x14ac:dyDescent="0.2">
      <c r="A172" s="224">
        <v>602280</v>
      </c>
      <c r="B172" s="143" t="str">
        <f t="shared" si="0"/>
        <v>KAY D. BARNHART</v>
      </c>
      <c r="C172" s="6" t="s">
        <v>1838</v>
      </c>
      <c r="D172" s="38"/>
      <c r="E172" s="38">
        <v>164507</v>
      </c>
      <c r="F172" s="39"/>
      <c r="G172" s="578" t="s">
        <v>1424</v>
      </c>
      <c r="H172" s="17">
        <f t="shared" si="56"/>
        <v>0</v>
      </c>
      <c r="I172" s="17">
        <f t="shared" si="57"/>
        <v>283</v>
      </c>
      <c r="J172" s="100">
        <f>$J$5</f>
        <v>2.14</v>
      </c>
      <c r="K172" s="17" t="str">
        <f t="shared" si="39"/>
        <v>I</v>
      </c>
      <c r="L172" s="17">
        <f t="shared" si="62"/>
        <v>0.27</v>
      </c>
      <c r="M172" s="106">
        <v>0</v>
      </c>
      <c r="N172" s="117">
        <f t="shared" si="61"/>
        <v>1.87</v>
      </c>
      <c r="O172" s="40">
        <f t="shared" ref="O172:O203" si="63">+H172*0.001</f>
        <v>0</v>
      </c>
      <c r="P172" s="211">
        <f t="shared" si="47"/>
        <v>0</v>
      </c>
      <c r="Q172" s="164">
        <f t="shared" ref="Q172:Q203" si="64">+N172*I172</f>
        <v>529.21</v>
      </c>
      <c r="R172" s="209">
        <f t="shared" si="48"/>
        <v>529.21</v>
      </c>
    </row>
    <row r="173" spans="1:24" s="41" customFormat="1" ht="15" customHeight="1" x14ac:dyDescent="0.2">
      <c r="A173" s="224">
        <v>602598</v>
      </c>
      <c r="B173" s="143" t="str">
        <f t="shared" si="0"/>
        <v>KAY D. BARNHART</v>
      </c>
      <c r="C173" s="6" t="s">
        <v>1838</v>
      </c>
      <c r="D173" s="38"/>
      <c r="E173" s="38">
        <v>164507</v>
      </c>
      <c r="F173" s="39"/>
      <c r="G173" s="578" t="s">
        <v>1424</v>
      </c>
      <c r="H173" s="17">
        <f t="shared" si="56"/>
        <v>0</v>
      </c>
      <c r="I173" s="17">
        <f t="shared" si="57"/>
        <v>91</v>
      </c>
      <c r="J173" s="100">
        <f>$J$5</f>
        <v>2.14</v>
      </c>
      <c r="K173" s="17" t="str">
        <f t="shared" ref="K173:K236" si="65">IF(ISNA(VLOOKUP(A173,cgas9910,7,FALSE)),0,(VLOOKUP(A173,cgas9910,7,FALSE)))</f>
        <v>I</v>
      </c>
      <c r="L173" s="17">
        <f t="shared" si="62"/>
        <v>0.27</v>
      </c>
      <c r="M173" s="106">
        <v>0</v>
      </c>
      <c r="N173" s="117">
        <f t="shared" si="61"/>
        <v>1.87</v>
      </c>
      <c r="O173" s="40">
        <f t="shared" si="63"/>
        <v>0</v>
      </c>
      <c r="P173" s="211">
        <f t="shared" si="47"/>
        <v>0</v>
      </c>
      <c r="Q173" s="164">
        <f t="shared" si="64"/>
        <v>170.17000000000002</v>
      </c>
      <c r="R173" s="209">
        <f t="shared" si="48"/>
        <v>170.17000000000002</v>
      </c>
    </row>
    <row r="174" spans="1:24" s="41" customFormat="1" ht="15" customHeight="1" x14ac:dyDescent="0.2">
      <c r="A174" s="224">
        <v>713762</v>
      </c>
      <c r="B174" s="143" t="str">
        <f t="shared" si="0"/>
        <v>KENOIL</v>
      </c>
      <c r="C174" s="6" t="s">
        <v>1426</v>
      </c>
      <c r="D174" s="272"/>
      <c r="E174" s="272">
        <v>270663</v>
      </c>
      <c r="F174" s="44"/>
      <c r="G174" s="44" t="s">
        <v>2290</v>
      </c>
      <c r="H174" s="17">
        <f t="shared" si="56"/>
        <v>0</v>
      </c>
      <c r="I174" s="17">
        <f t="shared" si="57"/>
        <v>0</v>
      </c>
      <c r="J174" s="418" t="e">
        <f>+'Special Pricing'!$G$434</f>
        <v>#DIV/0!</v>
      </c>
      <c r="K174" s="17" t="str">
        <f t="shared" si="65"/>
        <v>I</v>
      </c>
      <c r="L174" s="17">
        <f t="shared" si="62"/>
        <v>0.27</v>
      </c>
      <c r="M174" s="106">
        <v>0</v>
      </c>
      <c r="N174" s="117" t="e">
        <f t="shared" si="61"/>
        <v>#DIV/0!</v>
      </c>
      <c r="O174" s="40">
        <f t="shared" si="63"/>
        <v>0</v>
      </c>
      <c r="P174" s="211">
        <f t="shared" si="47"/>
        <v>0</v>
      </c>
      <c r="Q174" s="164" t="e">
        <f t="shared" si="64"/>
        <v>#DIV/0!</v>
      </c>
      <c r="R174" s="209" t="e">
        <f t="shared" si="48"/>
        <v>#DIV/0!</v>
      </c>
    </row>
    <row r="175" spans="1:24" s="41" customFormat="1" ht="15" customHeight="1" x14ac:dyDescent="0.2">
      <c r="A175" s="224">
        <v>717037</v>
      </c>
      <c r="B175" s="143" t="str">
        <f t="shared" si="0"/>
        <v>KENOIL</v>
      </c>
      <c r="C175" s="6" t="s">
        <v>1426</v>
      </c>
      <c r="D175" s="272"/>
      <c r="E175" s="272">
        <v>270663</v>
      </c>
      <c r="F175" s="44"/>
      <c r="G175" s="44" t="s">
        <v>2290</v>
      </c>
      <c r="H175" s="17">
        <f t="shared" si="56"/>
        <v>0</v>
      </c>
      <c r="I175" s="17">
        <f t="shared" si="57"/>
        <v>0</v>
      </c>
      <c r="J175" s="418" t="e">
        <f>+'Special Pricing'!$G$434</f>
        <v>#DIV/0!</v>
      </c>
      <c r="K175" s="17" t="str">
        <f t="shared" si="65"/>
        <v>N</v>
      </c>
      <c r="L175" s="17">
        <f t="shared" si="62"/>
        <v>0</v>
      </c>
      <c r="M175" s="106">
        <v>0</v>
      </c>
      <c r="N175" s="117" t="e">
        <f t="shared" si="61"/>
        <v>#DIV/0!</v>
      </c>
      <c r="O175" s="40">
        <f t="shared" si="63"/>
        <v>0</v>
      </c>
      <c r="P175" s="211">
        <f t="shared" si="47"/>
        <v>0</v>
      </c>
      <c r="Q175" s="164" t="e">
        <f t="shared" si="64"/>
        <v>#DIV/0!</v>
      </c>
      <c r="R175" s="209" t="e">
        <f t="shared" si="48"/>
        <v>#DIV/0!</v>
      </c>
    </row>
    <row r="176" spans="1:24" s="41" customFormat="1" ht="15" customHeight="1" x14ac:dyDescent="0.2">
      <c r="A176" s="224">
        <v>717177</v>
      </c>
      <c r="B176" s="143" t="str">
        <f t="shared" si="0"/>
        <v>KENOIL</v>
      </c>
      <c r="C176" s="6" t="s">
        <v>1426</v>
      </c>
      <c r="D176" s="272"/>
      <c r="E176" s="272">
        <v>270663</v>
      </c>
      <c r="F176" s="44"/>
      <c r="G176" s="44" t="s">
        <v>2290</v>
      </c>
      <c r="H176" s="17">
        <f t="shared" si="56"/>
        <v>0</v>
      </c>
      <c r="I176" s="17">
        <f t="shared" si="57"/>
        <v>0</v>
      </c>
      <c r="J176" s="418" t="e">
        <f>+'Special Pricing'!$G$434</f>
        <v>#DIV/0!</v>
      </c>
      <c r="K176" s="17" t="str">
        <f t="shared" si="65"/>
        <v>I</v>
      </c>
      <c r="L176" s="17">
        <f t="shared" si="62"/>
        <v>0.27</v>
      </c>
      <c r="M176" s="106">
        <v>0</v>
      </c>
      <c r="N176" s="117" t="e">
        <f t="shared" si="61"/>
        <v>#DIV/0!</v>
      </c>
      <c r="O176" s="40">
        <f t="shared" si="63"/>
        <v>0</v>
      </c>
      <c r="P176" s="211">
        <f t="shared" si="47"/>
        <v>0</v>
      </c>
      <c r="Q176" s="164" t="e">
        <f t="shared" si="64"/>
        <v>#DIV/0!</v>
      </c>
      <c r="R176" s="209" t="e">
        <f t="shared" si="48"/>
        <v>#DIV/0!</v>
      </c>
    </row>
    <row r="177" spans="1:24" s="41" customFormat="1" ht="15" customHeight="1" x14ac:dyDescent="0.2">
      <c r="A177" s="224">
        <v>718654</v>
      </c>
      <c r="B177" s="143" t="str">
        <f t="shared" si="0"/>
        <v>na</v>
      </c>
      <c r="C177" s="6" t="s">
        <v>1426</v>
      </c>
      <c r="D177" s="272"/>
      <c r="E177" s="272">
        <v>270663</v>
      </c>
      <c r="F177" s="44"/>
      <c r="G177" s="44" t="s">
        <v>2290</v>
      </c>
      <c r="H177" s="17" t="str">
        <f>IF(ISNA(VLOOKUP(A177,cgas9910,9,FALSE)),"na",VLOOKUP(A177,cgas9910,9,FALSE))</f>
        <v>na</v>
      </c>
      <c r="I177" s="17">
        <f>IF(ISNA(VLOOKUP(A177,cgas9910,10,FALSE)),0,(VLOOKUP(A177,cgas9910,10,FALSE)))</f>
        <v>0</v>
      </c>
      <c r="J177" s="418" t="e">
        <f>+'Special Pricing'!$G$434</f>
        <v>#DIV/0!</v>
      </c>
      <c r="K177" s="17">
        <f>IF(ISNA(VLOOKUP(A177,cgas9910,7,FALSE)),0,(VLOOKUP(A177,cgas9910,7,FALSE)))</f>
        <v>0</v>
      </c>
      <c r="L177" s="17">
        <f t="shared" si="62"/>
        <v>0.27</v>
      </c>
      <c r="M177" s="106">
        <v>0</v>
      </c>
      <c r="N177" s="117" t="e">
        <f>J177-L177-M177</f>
        <v>#DIV/0!</v>
      </c>
      <c r="O177" s="40" t="e">
        <f>+H177*0.001</f>
        <v>#VALUE!</v>
      </c>
      <c r="P177" s="211">
        <f>IF(AND(A177&gt;700000,A177&lt;800000),+I177*0.001,0)</f>
        <v>0</v>
      </c>
      <c r="Q177" s="164" t="e">
        <f>+N177*I177</f>
        <v>#DIV/0!</v>
      </c>
      <c r="R177" s="209" t="e">
        <f>+(I177*N177)-P177</f>
        <v>#DIV/0!</v>
      </c>
    </row>
    <row r="178" spans="1:24" s="41" customFormat="1" ht="15" customHeight="1" x14ac:dyDescent="0.2">
      <c r="A178" s="224">
        <v>719480</v>
      </c>
      <c r="B178" s="143" t="str">
        <f t="shared" si="0"/>
        <v>KENOIL</v>
      </c>
      <c r="C178" s="6" t="s">
        <v>1426</v>
      </c>
      <c r="D178" s="272"/>
      <c r="E178" s="272">
        <v>270663</v>
      </c>
      <c r="F178" s="44"/>
      <c r="G178" s="44" t="s">
        <v>2290</v>
      </c>
      <c r="H178" s="17">
        <f t="shared" si="56"/>
        <v>0</v>
      </c>
      <c r="I178" s="17">
        <f t="shared" si="57"/>
        <v>0</v>
      </c>
      <c r="J178" s="418" t="e">
        <f>+'Special Pricing'!$G$434</f>
        <v>#DIV/0!</v>
      </c>
      <c r="K178" s="17" t="str">
        <f t="shared" si="65"/>
        <v>N</v>
      </c>
      <c r="L178" s="17">
        <f t="shared" si="62"/>
        <v>0</v>
      </c>
      <c r="M178" s="106">
        <v>0</v>
      </c>
      <c r="N178" s="117" t="e">
        <f t="shared" si="61"/>
        <v>#DIV/0!</v>
      </c>
      <c r="O178" s="40">
        <f t="shared" si="63"/>
        <v>0</v>
      </c>
      <c r="P178" s="211">
        <f t="shared" si="47"/>
        <v>0</v>
      </c>
      <c r="Q178" s="164" t="e">
        <f t="shared" si="64"/>
        <v>#DIV/0!</v>
      </c>
      <c r="R178" s="209" t="e">
        <f t="shared" si="48"/>
        <v>#DIV/0!</v>
      </c>
    </row>
    <row r="179" spans="1:24" s="41" customFormat="1" ht="15" customHeight="1" x14ac:dyDescent="0.2">
      <c r="A179" s="224">
        <v>720011</v>
      </c>
      <c r="B179" s="143" t="str">
        <f t="shared" si="0"/>
        <v>KENOIL</v>
      </c>
      <c r="C179" s="6" t="s">
        <v>1426</v>
      </c>
      <c r="D179" s="272"/>
      <c r="E179" s="272">
        <v>270663</v>
      </c>
      <c r="F179" s="44"/>
      <c r="G179" s="44" t="s">
        <v>2290</v>
      </c>
      <c r="H179" s="17">
        <f t="shared" si="56"/>
        <v>0</v>
      </c>
      <c r="I179" s="17">
        <f t="shared" si="57"/>
        <v>0</v>
      </c>
      <c r="J179" s="418" t="e">
        <f>+'Special Pricing'!$G$434</f>
        <v>#DIV/0!</v>
      </c>
      <c r="K179" s="17" t="str">
        <f t="shared" si="65"/>
        <v>N</v>
      </c>
      <c r="L179" s="17">
        <f t="shared" si="62"/>
        <v>0</v>
      </c>
      <c r="M179" s="106">
        <v>0</v>
      </c>
      <c r="N179" s="117" t="e">
        <f t="shared" si="61"/>
        <v>#DIV/0!</v>
      </c>
      <c r="O179" s="40">
        <f t="shared" si="63"/>
        <v>0</v>
      </c>
      <c r="P179" s="211">
        <f t="shared" si="47"/>
        <v>0</v>
      </c>
      <c r="Q179" s="164" t="e">
        <f t="shared" si="64"/>
        <v>#DIV/0!</v>
      </c>
      <c r="R179" s="209" t="e">
        <f t="shared" si="48"/>
        <v>#DIV/0!</v>
      </c>
    </row>
    <row r="180" spans="1:24" s="41" customFormat="1" ht="15" customHeight="1" x14ac:dyDescent="0.2">
      <c r="A180" s="224">
        <v>720170</v>
      </c>
      <c r="B180" s="143" t="str">
        <f t="shared" si="0"/>
        <v>KENOIL</v>
      </c>
      <c r="C180" s="6" t="s">
        <v>1426</v>
      </c>
      <c r="D180" s="272"/>
      <c r="E180" s="272">
        <v>270663</v>
      </c>
      <c r="F180" s="44"/>
      <c r="G180" s="44" t="s">
        <v>2290</v>
      </c>
      <c r="H180" s="17">
        <f t="shared" si="56"/>
        <v>0</v>
      </c>
      <c r="I180" s="17">
        <f t="shared" si="57"/>
        <v>0</v>
      </c>
      <c r="J180" s="418" t="e">
        <f>+'Special Pricing'!$G$434</f>
        <v>#DIV/0!</v>
      </c>
      <c r="K180" s="17" t="str">
        <f t="shared" si="65"/>
        <v>N</v>
      </c>
      <c r="L180" s="17">
        <f t="shared" si="62"/>
        <v>0</v>
      </c>
      <c r="M180" s="106">
        <v>0</v>
      </c>
      <c r="N180" s="117" t="e">
        <f t="shared" si="61"/>
        <v>#DIV/0!</v>
      </c>
      <c r="O180" s="40">
        <f t="shared" si="63"/>
        <v>0</v>
      </c>
      <c r="P180" s="211">
        <f t="shared" si="47"/>
        <v>0</v>
      </c>
      <c r="Q180" s="164" t="e">
        <f t="shared" si="64"/>
        <v>#DIV/0!</v>
      </c>
      <c r="R180" s="209" t="e">
        <f t="shared" si="48"/>
        <v>#DIV/0!</v>
      </c>
    </row>
    <row r="181" spans="1:24" s="41" customFormat="1" ht="15" customHeight="1" x14ac:dyDescent="0.2">
      <c r="A181" s="224">
        <v>720251</v>
      </c>
      <c r="B181" s="143" t="str">
        <f t="shared" si="0"/>
        <v>KENOIL</v>
      </c>
      <c r="C181" s="6" t="s">
        <v>1426</v>
      </c>
      <c r="D181" s="272"/>
      <c r="E181" s="272">
        <v>270663</v>
      </c>
      <c r="F181" s="44"/>
      <c r="G181" s="44" t="s">
        <v>2290</v>
      </c>
      <c r="H181" s="17">
        <f t="shared" si="56"/>
        <v>0</v>
      </c>
      <c r="I181" s="17">
        <f t="shared" si="57"/>
        <v>0</v>
      </c>
      <c r="J181" s="418" t="e">
        <f>+'Special Pricing'!$G$434</f>
        <v>#DIV/0!</v>
      </c>
      <c r="K181" s="17" t="str">
        <f t="shared" si="65"/>
        <v>I</v>
      </c>
      <c r="L181" s="17">
        <f t="shared" si="62"/>
        <v>0.27</v>
      </c>
      <c r="M181" s="106">
        <v>0</v>
      </c>
      <c r="N181" s="117" t="e">
        <f t="shared" si="61"/>
        <v>#DIV/0!</v>
      </c>
      <c r="O181" s="40">
        <f t="shared" si="63"/>
        <v>0</v>
      </c>
      <c r="P181" s="211">
        <f t="shared" si="47"/>
        <v>0</v>
      </c>
      <c r="Q181" s="164" t="e">
        <f t="shared" si="64"/>
        <v>#DIV/0!</v>
      </c>
      <c r="R181" s="209" t="e">
        <f t="shared" si="48"/>
        <v>#DIV/0!</v>
      </c>
    </row>
    <row r="182" spans="1:24" s="41" customFormat="1" ht="15" customHeight="1" x14ac:dyDescent="0.2">
      <c r="A182" s="224">
        <v>720637</v>
      </c>
      <c r="B182" s="143" t="str">
        <f t="shared" si="0"/>
        <v>na</v>
      </c>
      <c r="C182" s="6" t="s">
        <v>1426</v>
      </c>
      <c r="D182" s="272"/>
      <c r="E182" s="272">
        <v>270663</v>
      </c>
      <c r="F182" s="44"/>
      <c r="G182" s="44" t="s">
        <v>2290</v>
      </c>
      <c r="H182" s="17" t="str">
        <f t="shared" si="56"/>
        <v>na</v>
      </c>
      <c r="I182" s="17">
        <f t="shared" si="57"/>
        <v>0</v>
      </c>
      <c r="J182" s="418" t="e">
        <f>+'Special Pricing'!$G$434</f>
        <v>#DIV/0!</v>
      </c>
      <c r="K182" s="17">
        <f t="shared" si="65"/>
        <v>0</v>
      </c>
      <c r="L182" s="17">
        <f t="shared" si="62"/>
        <v>0.27</v>
      </c>
      <c r="M182" s="106">
        <v>0</v>
      </c>
      <c r="N182" s="117" t="e">
        <f t="shared" si="61"/>
        <v>#DIV/0!</v>
      </c>
      <c r="O182" s="40" t="e">
        <f t="shared" si="63"/>
        <v>#VALUE!</v>
      </c>
      <c r="P182" s="211">
        <f t="shared" si="47"/>
        <v>0</v>
      </c>
      <c r="Q182" s="164" t="e">
        <f t="shared" si="64"/>
        <v>#DIV/0!</v>
      </c>
      <c r="R182" s="209" t="e">
        <f t="shared" si="48"/>
        <v>#DIV/0!</v>
      </c>
    </row>
    <row r="183" spans="1:24" s="41" customFormat="1" ht="15" customHeight="1" x14ac:dyDescent="0.2">
      <c r="A183" s="224">
        <v>722565</v>
      </c>
      <c r="B183" s="143" t="str">
        <f t="shared" ref="B183:B246" si="66">IF(ISNA(VLOOKUP(A183,cgas9910,3,FALSE)),"na",VLOOKUP(A183,cgas9910,3,FALSE))</f>
        <v>na</v>
      </c>
      <c r="C183" s="6" t="s">
        <v>1426</v>
      </c>
      <c r="D183" s="272"/>
      <c r="E183" s="272">
        <v>270663</v>
      </c>
      <c r="F183" s="44"/>
      <c r="G183" s="44" t="s">
        <v>2290</v>
      </c>
      <c r="H183" s="17" t="str">
        <f t="shared" si="56"/>
        <v>na</v>
      </c>
      <c r="I183" s="17">
        <f t="shared" si="57"/>
        <v>0</v>
      </c>
      <c r="J183" s="418" t="e">
        <f>+'Special Pricing'!$G$434</f>
        <v>#DIV/0!</v>
      </c>
      <c r="K183" s="17">
        <f t="shared" si="65"/>
        <v>0</v>
      </c>
      <c r="L183" s="17">
        <f t="shared" si="62"/>
        <v>0.27</v>
      </c>
      <c r="M183" s="106">
        <v>0</v>
      </c>
      <c r="N183" s="117" t="e">
        <f t="shared" si="61"/>
        <v>#DIV/0!</v>
      </c>
      <c r="O183" s="40" t="e">
        <f t="shared" si="63"/>
        <v>#VALUE!</v>
      </c>
      <c r="P183" s="211">
        <f t="shared" ref="P183:P245" si="67">IF(AND(A183&gt;700000,A183&lt;800000),+I183*0.001,0)</f>
        <v>0</v>
      </c>
      <c r="Q183" s="164" t="e">
        <f t="shared" si="64"/>
        <v>#DIV/0!</v>
      </c>
      <c r="R183" s="209" t="e">
        <f t="shared" si="48"/>
        <v>#DIV/0!</v>
      </c>
    </row>
    <row r="184" spans="1:24" s="41" customFormat="1" ht="15" customHeight="1" x14ac:dyDescent="0.2">
      <c r="A184" s="224">
        <v>723269</v>
      </c>
      <c r="B184" s="143" t="str">
        <f t="shared" si="66"/>
        <v>na</v>
      </c>
      <c r="C184" s="6" t="s">
        <v>1426</v>
      </c>
      <c r="D184" s="272"/>
      <c r="E184" s="272">
        <v>270663</v>
      </c>
      <c r="F184" s="44"/>
      <c r="G184" s="44" t="s">
        <v>2290</v>
      </c>
      <c r="H184" s="17" t="str">
        <f t="shared" si="56"/>
        <v>na</v>
      </c>
      <c r="I184" s="17">
        <f t="shared" si="57"/>
        <v>0</v>
      </c>
      <c r="J184" s="418" t="e">
        <f>+'Special Pricing'!$G$434</f>
        <v>#DIV/0!</v>
      </c>
      <c r="K184" s="17">
        <f t="shared" si="65"/>
        <v>0</v>
      </c>
      <c r="L184" s="17">
        <f t="shared" si="62"/>
        <v>0.27</v>
      </c>
      <c r="M184" s="106">
        <v>0</v>
      </c>
      <c r="N184" s="117" t="e">
        <f t="shared" si="61"/>
        <v>#DIV/0!</v>
      </c>
      <c r="O184" s="40" t="e">
        <f t="shared" si="63"/>
        <v>#VALUE!</v>
      </c>
      <c r="P184" s="211">
        <f t="shared" si="67"/>
        <v>0</v>
      </c>
      <c r="Q184" s="164" t="e">
        <f t="shared" si="64"/>
        <v>#DIV/0!</v>
      </c>
      <c r="R184" s="209" t="e">
        <f t="shared" si="48"/>
        <v>#DIV/0!</v>
      </c>
    </row>
    <row r="185" spans="1:24" s="41" customFormat="1" ht="15" customHeight="1" x14ac:dyDescent="0.2">
      <c r="A185" s="224">
        <v>723440</v>
      </c>
      <c r="B185" s="143" t="str">
        <f t="shared" si="66"/>
        <v>KENOIL</v>
      </c>
      <c r="C185" s="6" t="s">
        <v>1426</v>
      </c>
      <c r="D185" s="272"/>
      <c r="E185" s="272">
        <v>270663</v>
      </c>
      <c r="F185" s="44"/>
      <c r="G185" s="44" t="s">
        <v>2290</v>
      </c>
      <c r="H185" s="17">
        <f t="shared" si="56"/>
        <v>0</v>
      </c>
      <c r="I185" s="17">
        <f t="shared" si="57"/>
        <v>0</v>
      </c>
      <c r="J185" s="418" t="e">
        <f>+'Special Pricing'!$G$434</f>
        <v>#DIV/0!</v>
      </c>
      <c r="K185" s="17" t="str">
        <f t="shared" si="65"/>
        <v>I</v>
      </c>
      <c r="L185" s="17">
        <f t="shared" si="62"/>
        <v>0.27</v>
      </c>
      <c r="M185" s="106">
        <v>0</v>
      </c>
      <c r="N185" s="117" t="e">
        <f t="shared" si="61"/>
        <v>#DIV/0!</v>
      </c>
      <c r="O185" s="40">
        <f t="shared" si="63"/>
        <v>0</v>
      </c>
      <c r="P185" s="211">
        <f t="shared" si="67"/>
        <v>0</v>
      </c>
      <c r="Q185" s="164" t="e">
        <f t="shared" si="64"/>
        <v>#DIV/0!</v>
      </c>
      <c r="R185" s="209" t="e">
        <f t="shared" si="48"/>
        <v>#DIV/0!</v>
      </c>
    </row>
    <row r="186" spans="1:24" s="41" customFormat="1" ht="15" customHeight="1" x14ac:dyDescent="0.2">
      <c r="A186" s="224">
        <v>731224</v>
      </c>
      <c r="B186" s="143" t="str">
        <f t="shared" si="66"/>
        <v>na</v>
      </c>
      <c r="C186" s="6" t="s">
        <v>1426</v>
      </c>
      <c r="D186" s="272"/>
      <c r="E186" s="272">
        <v>270663</v>
      </c>
      <c r="F186" s="44"/>
      <c r="G186" s="44" t="s">
        <v>2290</v>
      </c>
      <c r="H186" s="17" t="str">
        <f t="shared" si="56"/>
        <v>na</v>
      </c>
      <c r="I186" s="17">
        <f t="shared" si="57"/>
        <v>0</v>
      </c>
      <c r="J186" s="418" t="e">
        <f>+'Special Pricing'!$G$434</f>
        <v>#DIV/0!</v>
      </c>
      <c r="K186" s="17">
        <f t="shared" si="65"/>
        <v>0</v>
      </c>
      <c r="L186" s="17">
        <f t="shared" si="62"/>
        <v>0.27</v>
      </c>
      <c r="M186" s="106">
        <v>0</v>
      </c>
      <c r="N186" s="117" t="e">
        <f t="shared" si="61"/>
        <v>#DIV/0!</v>
      </c>
      <c r="O186" s="40" t="e">
        <f t="shared" si="63"/>
        <v>#VALUE!</v>
      </c>
      <c r="P186" s="211">
        <f t="shared" si="67"/>
        <v>0</v>
      </c>
      <c r="Q186" s="164" t="e">
        <f t="shared" si="64"/>
        <v>#DIV/0!</v>
      </c>
      <c r="R186" s="209" t="e">
        <f t="shared" si="48"/>
        <v>#DIV/0!</v>
      </c>
      <c r="S186" s="47"/>
      <c r="T186" s="47"/>
      <c r="U186" s="47"/>
      <c r="V186" s="47"/>
    </row>
    <row r="187" spans="1:24" s="46" customFormat="1" ht="15" customHeight="1" x14ac:dyDescent="0.2">
      <c r="A187" s="224">
        <v>733109</v>
      </c>
      <c r="B187" s="143" t="str">
        <f t="shared" si="66"/>
        <v>KENOIL</v>
      </c>
      <c r="C187" s="6" t="s">
        <v>1426</v>
      </c>
      <c r="D187" s="272"/>
      <c r="E187" s="272">
        <v>270663</v>
      </c>
      <c r="F187" s="44"/>
      <c r="G187" s="44" t="s">
        <v>2290</v>
      </c>
      <c r="H187" s="17">
        <f t="shared" ref="H187:H201" si="68">IF(ISNA(VLOOKUP(A187,cgas9910,9,FALSE)),"na",VLOOKUP(A187,cgas9910,9,FALSE))</f>
        <v>0</v>
      </c>
      <c r="I187" s="17">
        <f t="shared" ref="I187:I201" si="69">IF(ISNA(VLOOKUP(A187,cgas9910,10,FALSE)),0,(VLOOKUP(A187,cgas9910,10,FALSE)))</f>
        <v>0</v>
      </c>
      <c r="J187" s="418" t="e">
        <f>+'Special Pricing'!$G$434</f>
        <v>#DIV/0!</v>
      </c>
      <c r="K187" s="17" t="str">
        <f t="shared" si="65"/>
        <v>N</v>
      </c>
      <c r="L187" s="17">
        <f t="shared" si="62"/>
        <v>0</v>
      </c>
      <c r="M187" s="106">
        <v>0</v>
      </c>
      <c r="N187" s="117" t="e">
        <f t="shared" si="61"/>
        <v>#DIV/0!</v>
      </c>
      <c r="O187" s="40">
        <f t="shared" si="63"/>
        <v>0</v>
      </c>
      <c r="P187" s="211">
        <f t="shared" si="67"/>
        <v>0</v>
      </c>
      <c r="Q187" s="164" t="e">
        <f t="shared" si="64"/>
        <v>#DIV/0!</v>
      </c>
      <c r="R187" s="209" t="e">
        <f t="shared" ref="R187:R250" si="70">+(I187*N187)-P187</f>
        <v>#DIV/0!</v>
      </c>
      <c r="S187" s="47"/>
      <c r="T187" s="47"/>
      <c r="U187" s="47"/>
      <c r="V187" s="47"/>
      <c r="W187" s="41"/>
      <c r="X187" s="41"/>
    </row>
    <row r="188" spans="1:24" s="41" customFormat="1" ht="15" customHeight="1" x14ac:dyDescent="0.2">
      <c r="A188" s="224">
        <v>733836</v>
      </c>
      <c r="B188" s="143" t="str">
        <f t="shared" si="66"/>
        <v>KENOIL</v>
      </c>
      <c r="C188" s="6" t="s">
        <v>1426</v>
      </c>
      <c r="D188" s="272"/>
      <c r="E188" s="272">
        <v>270663</v>
      </c>
      <c r="F188" s="44"/>
      <c r="G188" s="44" t="s">
        <v>2290</v>
      </c>
      <c r="H188" s="17">
        <f t="shared" si="68"/>
        <v>0</v>
      </c>
      <c r="I188" s="17">
        <f t="shared" si="69"/>
        <v>0</v>
      </c>
      <c r="J188" s="418" t="e">
        <f>+'Special Pricing'!$G$434</f>
        <v>#DIV/0!</v>
      </c>
      <c r="K188" s="17" t="str">
        <f t="shared" si="65"/>
        <v>N</v>
      </c>
      <c r="L188" s="17">
        <f t="shared" si="62"/>
        <v>0</v>
      </c>
      <c r="M188" s="106">
        <v>0</v>
      </c>
      <c r="N188" s="117" t="e">
        <f t="shared" si="61"/>
        <v>#DIV/0!</v>
      </c>
      <c r="O188" s="40">
        <f t="shared" si="63"/>
        <v>0</v>
      </c>
      <c r="P188" s="211">
        <f t="shared" si="67"/>
        <v>0</v>
      </c>
      <c r="Q188" s="164" t="e">
        <f t="shared" si="64"/>
        <v>#DIV/0!</v>
      </c>
      <c r="R188" s="209" t="e">
        <f t="shared" si="70"/>
        <v>#DIV/0!</v>
      </c>
    </row>
    <row r="189" spans="1:24" s="47" customFormat="1" ht="15" customHeight="1" x14ac:dyDescent="0.2">
      <c r="A189" s="224">
        <v>733985</v>
      </c>
      <c r="B189" s="143" t="str">
        <f t="shared" si="66"/>
        <v>na</v>
      </c>
      <c r="C189" s="6" t="s">
        <v>1426</v>
      </c>
      <c r="D189" s="272"/>
      <c r="E189" s="272">
        <v>270663</v>
      </c>
      <c r="F189" s="44"/>
      <c r="G189" s="44" t="s">
        <v>2290</v>
      </c>
      <c r="H189" s="17" t="str">
        <f t="shared" si="68"/>
        <v>na</v>
      </c>
      <c r="I189" s="17">
        <f t="shared" si="69"/>
        <v>0</v>
      </c>
      <c r="J189" s="418" t="e">
        <f>+'Special Pricing'!$G$434</f>
        <v>#DIV/0!</v>
      </c>
      <c r="K189" s="17">
        <f t="shared" si="65"/>
        <v>0</v>
      </c>
      <c r="L189" s="17">
        <f t="shared" si="62"/>
        <v>0.27</v>
      </c>
      <c r="M189" s="106">
        <v>0</v>
      </c>
      <c r="N189" s="117" t="e">
        <f t="shared" si="61"/>
        <v>#DIV/0!</v>
      </c>
      <c r="O189" s="40" t="e">
        <f t="shared" si="63"/>
        <v>#VALUE!</v>
      </c>
      <c r="P189" s="211">
        <f t="shared" si="67"/>
        <v>0</v>
      </c>
      <c r="Q189" s="164" t="e">
        <f t="shared" si="64"/>
        <v>#DIV/0!</v>
      </c>
      <c r="R189" s="209" t="e">
        <f t="shared" si="70"/>
        <v>#DIV/0!</v>
      </c>
      <c r="S189" s="41"/>
      <c r="T189" s="41"/>
      <c r="U189" s="41"/>
      <c r="V189" s="41"/>
      <c r="W189" s="41"/>
      <c r="X189" s="41"/>
    </row>
    <row r="190" spans="1:24" s="41" customFormat="1" ht="15" customHeight="1" x14ac:dyDescent="0.2">
      <c r="A190" s="224">
        <v>734994</v>
      </c>
      <c r="B190" s="143" t="str">
        <f t="shared" si="66"/>
        <v>KILBARGER CONST</v>
      </c>
      <c r="C190" s="6" t="s">
        <v>1911</v>
      </c>
      <c r="D190" s="38"/>
      <c r="E190" s="38">
        <v>141943</v>
      </c>
      <c r="F190" s="39"/>
      <c r="G190" s="39" t="s">
        <v>2292</v>
      </c>
      <c r="H190" s="17">
        <f t="shared" si="68"/>
        <v>0</v>
      </c>
      <c r="I190" s="17">
        <f t="shared" si="69"/>
        <v>0</v>
      </c>
      <c r="J190" s="100">
        <f>$J$5</f>
        <v>2.14</v>
      </c>
      <c r="K190" s="17" t="str">
        <f t="shared" si="65"/>
        <v>N</v>
      </c>
      <c r="L190" s="17">
        <f t="shared" si="62"/>
        <v>0</v>
      </c>
      <c r="M190" s="106">
        <v>0</v>
      </c>
      <c r="N190" s="117">
        <f t="shared" si="61"/>
        <v>2.14</v>
      </c>
      <c r="O190" s="40">
        <f t="shared" si="63"/>
        <v>0</v>
      </c>
      <c r="P190" s="211">
        <f t="shared" si="67"/>
        <v>0</v>
      </c>
      <c r="Q190" s="164">
        <f t="shared" si="64"/>
        <v>0</v>
      </c>
      <c r="R190" s="209">
        <f t="shared" si="70"/>
        <v>0</v>
      </c>
    </row>
    <row r="191" spans="1:24" s="41" customFormat="1" ht="15" customHeight="1" x14ac:dyDescent="0.2">
      <c r="A191" s="224">
        <v>735253</v>
      </c>
      <c r="B191" s="143" t="str">
        <f t="shared" si="66"/>
        <v>KILBARGER CONST</v>
      </c>
      <c r="C191" s="6" t="s">
        <v>1911</v>
      </c>
      <c r="D191" s="63"/>
      <c r="E191" s="38">
        <v>141943</v>
      </c>
      <c r="F191" s="39">
        <v>15627</v>
      </c>
      <c r="G191" s="39" t="s">
        <v>2292</v>
      </c>
      <c r="H191" s="17">
        <f t="shared" si="68"/>
        <v>0</v>
      </c>
      <c r="I191" s="17">
        <f t="shared" si="69"/>
        <v>0</v>
      </c>
      <c r="J191" s="100">
        <f>$J$5</f>
        <v>2.14</v>
      </c>
      <c r="K191" s="17" t="str">
        <f t="shared" si="65"/>
        <v>N</v>
      </c>
      <c r="L191" s="17">
        <f t="shared" si="62"/>
        <v>0</v>
      </c>
      <c r="M191" s="106">
        <v>0</v>
      </c>
      <c r="N191" s="117">
        <f t="shared" si="61"/>
        <v>2.14</v>
      </c>
      <c r="O191" s="40">
        <f t="shared" si="63"/>
        <v>0</v>
      </c>
      <c r="P191" s="211">
        <f t="shared" si="67"/>
        <v>0</v>
      </c>
      <c r="Q191" s="164">
        <f t="shared" si="64"/>
        <v>0</v>
      </c>
      <c r="R191" s="209">
        <f t="shared" si="70"/>
        <v>0</v>
      </c>
    </row>
    <row r="192" spans="1:24" s="41" customFormat="1" ht="15" customHeight="1" x14ac:dyDescent="0.2">
      <c r="A192" s="224">
        <v>735568</v>
      </c>
      <c r="B192" s="143" t="str">
        <f t="shared" si="66"/>
        <v>KILBARGER CONST</v>
      </c>
      <c r="C192" s="6" t="s">
        <v>1911</v>
      </c>
      <c r="D192" s="38"/>
      <c r="E192" s="38">
        <v>141943</v>
      </c>
      <c r="F192" s="39"/>
      <c r="G192" s="39" t="s">
        <v>2292</v>
      </c>
      <c r="H192" s="17">
        <f t="shared" si="68"/>
        <v>0</v>
      </c>
      <c r="I192" s="17">
        <f t="shared" si="69"/>
        <v>0</v>
      </c>
      <c r="J192" s="100">
        <f>$J$5</f>
        <v>2.14</v>
      </c>
      <c r="K192" s="17" t="str">
        <f t="shared" si="65"/>
        <v>N</v>
      </c>
      <c r="L192" s="17">
        <f t="shared" si="62"/>
        <v>0</v>
      </c>
      <c r="M192" s="106">
        <v>0</v>
      </c>
      <c r="N192" s="117">
        <f t="shared" si="61"/>
        <v>2.14</v>
      </c>
      <c r="O192" s="40">
        <f t="shared" si="63"/>
        <v>0</v>
      </c>
      <c r="P192" s="211">
        <f t="shared" si="67"/>
        <v>0</v>
      </c>
      <c r="Q192" s="164">
        <f t="shared" si="64"/>
        <v>0</v>
      </c>
      <c r="R192" s="209">
        <f t="shared" si="70"/>
        <v>0</v>
      </c>
    </row>
    <row r="193" spans="1:24" s="41" customFormat="1" ht="15" customHeight="1" x14ac:dyDescent="0.2">
      <c r="A193" s="310">
        <v>735907</v>
      </c>
      <c r="B193" s="684" t="str">
        <f t="shared" si="66"/>
        <v>na</v>
      </c>
      <c r="C193" s="6" t="s">
        <v>1911</v>
      </c>
      <c r="D193" s="6" t="s">
        <v>7</v>
      </c>
      <c r="E193" s="38"/>
      <c r="F193" s="39"/>
      <c r="G193" s="39" t="s">
        <v>2292</v>
      </c>
      <c r="H193" s="17" t="str">
        <f>IF(ISNA(VLOOKUP(A193,cgas9910,9,FALSE)),"na",VLOOKUP(A193,cgas9910,9,FALSE))</f>
        <v>na</v>
      </c>
      <c r="I193" s="17">
        <f>IF(ISNA(VLOOKUP(A193,cgas9910,10,FALSE)),0,(VLOOKUP(A193,cgas9910,10,FALSE)))</f>
        <v>0</v>
      </c>
      <c r="J193" s="100">
        <f>$J$5</f>
        <v>2.14</v>
      </c>
      <c r="K193" s="17">
        <f>IF(ISNA(VLOOKUP(A193,cgas9910,7,FALSE)),0,(VLOOKUP(A193,cgas9910,7,FALSE)))</f>
        <v>0</v>
      </c>
      <c r="L193" s="17">
        <f t="shared" si="62"/>
        <v>0.27</v>
      </c>
      <c r="M193" s="106">
        <v>0</v>
      </c>
      <c r="N193" s="117">
        <f>J193-L193-M193</f>
        <v>1.87</v>
      </c>
      <c r="O193" s="40" t="e">
        <f>+H193*0.001</f>
        <v>#VALUE!</v>
      </c>
      <c r="P193" s="211">
        <f>IF(AND(A193&gt;700000,A193&lt;800000),+I193*0.001,0)</f>
        <v>0</v>
      </c>
      <c r="Q193" s="164">
        <f>+N193*I193</f>
        <v>0</v>
      </c>
      <c r="R193" s="209">
        <f>+(I193*N193)-P193</f>
        <v>0</v>
      </c>
      <c r="S193" s="46"/>
      <c r="T193" s="46"/>
      <c r="U193" s="46"/>
      <c r="V193" s="46"/>
    </row>
    <row r="194" spans="1:24" s="41" customFormat="1" ht="15" customHeight="1" x14ac:dyDescent="0.2">
      <c r="A194" s="224">
        <v>736922</v>
      </c>
      <c r="B194" s="143" t="str">
        <f t="shared" si="66"/>
        <v>KILBARGER CONST</v>
      </c>
      <c r="C194" s="6" t="s">
        <v>1911</v>
      </c>
      <c r="D194" s="38"/>
      <c r="E194" s="38">
        <v>141943</v>
      </c>
      <c r="F194" s="39"/>
      <c r="G194" s="39" t="s">
        <v>2292</v>
      </c>
      <c r="H194" s="17">
        <f>IF(ISNA(VLOOKUP(A194,cgas9910,9,FALSE)),"na",VLOOKUP(A194,cgas9910,9,FALSE))</f>
        <v>0</v>
      </c>
      <c r="I194" s="17">
        <f>IF(ISNA(VLOOKUP(A194,cgas9910,10,FALSE)),0,(VLOOKUP(A194,cgas9910,10,FALSE)))</f>
        <v>0</v>
      </c>
      <c r="J194" s="100">
        <f>$J$5</f>
        <v>2.14</v>
      </c>
      <c r="K194" s="17" t="str">
        <f>IF(ISNA(VLOOKUP(A194,cgas9910,7,FALSE)),0,(VLOOKUP(A194,cgas9910,7,FALSE)))</f>
        <v>N</v>
      </c>
      <c r="L194" s="17">
        <f t="shared" si="62"/>
        <v>0</v>
      </c>
      <c r="M194" s="106">
        <v>0</v>
      </c>
      <c r="N194" s="117">
        <f>J194-L194-M194</f>
        <v>2.14</v>
      </c>
      <c r="O194" s="40">
        <f>+H194*0.001</f>
        <v>0</v>
      </c>
      <c r="P194" s="211">
        <f>IF(AND(A194&gt;700000,A194&lt;800000),+I194*0.001,0)</f>
        <v>0</v>
      </c>
      <c r="Q194" s="164">
        <f>+N194*I194</f>
        <v>0</v>
      </c>
      <c r="R194" s="209">
        <f>+(I194*N194)-P194</f>
        <v>0</v>
      </c>
    </row>
    <row r="195" spans="1:24" s="41" customFormat="1" ht="15" customHeight="1" x14ac:dyDescent="0.2">
      <c r="A195" s="224">
        <v>708922</v>
      </c>
      <c r="B195" s="143" t="str">
        <f t="shared" si="66"/>
        <v>KING DRILLING</v>
      </c>
      <c r="C195" s="6" t="s">
        <v>1707</v>
      </c>
      <c r="D195" s="272"/>
      <c r="E195" s="272">
        <v>220039</v>
      </c>
      <c r="F195" s="44"/>
      <c r="G195" s="44" t="s">
        <v>2295</v>
      </c>
      <c r="H195" s="17">
        <f t="shared" si="68"/>
        <v>0</v>
      </c>
      <c r="I195" s="17">
        <f t="shared" si="69"/>
        <v>0</v>
      </c>
      <c r="J195" s="276" t="e">
        <f>+'Special Pricing'!$G$458</f>
        <v>#DIV/0!</v>
      </c>
      <c r="K195" s="17" t="str">
        <f t="shared" si="65"/>
        <v>I</v>
      </c>
      <c r="L195" s="215">
        <v>0</v>
      </c>
      <c r="M195" s="106">
        <v>0</v>
      </c>
      <c r="N195" s="117" t="e">
        <f t="shared" si="61"/>
        <v>#DIV/0!</v>
      </c>
      <c r="O195" s="40">
        <f t="shared" si="63"/>
        <v>0</v>
      </c>
      <c r="P195" s="824">
        <v>0</v>
      </c>
      <c r="Q195" s="164" t="e">
        <f t="shared" si="64"/>
        <v>#DIV/0!</v>
      </c>
      <c r="R195" s="209" t="e">
        <f t="shared" si="70"/>
        <v>#DIV/0!</v>
      </c>
    </row>
    <row r="196" spans="1:24" s="41" customFormat="1" ht="15" customHeight="1" x14ac:dyDescent="0.2">
      <c r="A196" s="224">
        <v>818188</v>
      </c>
      <c r="B196" s="143" t="str">
        <f t="shared" si="66"/>
        <v>na</v>
      </c>
      <c r="C196" s="6" t="s">
        <v>1382</v>
      </c>
      <c r="D196" s="38"/>
      <c r="E196" s="38">
        <v>168380</v>
      </c>
      <c r="F196" s="39"/>
      <c r="G196" s="39" t="s">
        <v>1424</v>
      </c>
      <c r="H196" s="17" t="str">
        <f t="shared" si="68"/>
        <v>na</v>
      </c>
      <c r="I196" s="17">
        <f t="shared" si="69"/>
        <v>0</v>
      </c>
      <c r="J196" s="100">
        <f t="shared" ref="J196:J203" si="71">$J$5</f>
        <v>2.14</v>
      </c>
      <c r="K196" s="17">
        <f t="shared" si="65"/>
        <v>0</v>
      </c>
      <c r="L196" s="17">
        <f t="shared" si="62"/>
        <v>0.27</v>
      </c>
      <c r="M196" s="106">
        <v>0</v>
      </c>
      <c r="N196" s="117">
        <f t="shared" si="61"/>
        <v>1.87</v>
      </c>
      <c r="O196" s="40" t="e">
        <f t="shared" si="63"/>
        <v>#VALUE!</v>
      </c>
      <c r="P196" s="211">
        <f t="shared" si="67"/>
        <v>0</v>
      </c>
      <c r="Q196" s="164">
        <f t="shared" si="64"/>
        <v>0</v>
      </c>
      <c r="R196" s="209">
        <f t="shared" si="70"/>
        <v>0</v>
      </c>
      <c r="S196" s="274">
        <f>-R196*0.045</f>
        <v>0</v>
      </c>
      <c r="T196" s="273">
        <f>+R196+S196</f>
        <v>0</v>
      </c>
    </row>
    <row r="197" spans="1:24" s="41" customFormat="1" ht="15" customHeight="1" x14ac:dyDescent="0.2">
      <c r="A197" s="224">
        <v>604545</v>
      </c>
      <c r="B197" s="143" t="str">
        <f t="shared" si="66"/>
        <v>na</v>
      </c>
      <c r="C197" s="6" t="s">
        <v>1854</v>
      </c>
      <c r="D197" s="38"/>
      <c r="E197" s="38"/>
      <c r="F197" s="39"/>
      <c r="G197" s="39" t="s">
        <v>1424</v>
      </c>
      <c r="H197" s="17" t="str">
        <f t="shared" si="68"/>
        <v>na</v>
      </c>
      <c r="I197" s="17">
        <f t="shared" si="69"/>
        <v>0</v>
      </c>
      <c r="J197" s="100">
        <f t="shared" si="71"/>
        <v>2.14</v>
      </c>
      <c r="K197" s="17">
        <f t="shared" si="65"/>
        <v>0</v>
      </c>
      <c r="L197" s="17">
        <f t="shared" si="62"/>
        <v>0.27</v>
      </c>
      <c r="M197" s="106">
        <v>0</v>
      </c>
      <c r="N197" s="117">
        <f t="shared" si="61"/>
        <v>1.87</v>
      </c>
      <c r="O197" s="40" t="e">
        <f t="shared" si="63"/>
        <v>#VALUE!</v>
      </c>
      <c r="P197" s="211">
        <f t="shared" si="67"/>
        <v>0</v>
      </c>
      <c r="Q197" s="164">
        <f t="shared" si="64"/>
        <v>0</v>
      </c>
      <c r="R197" s="209">
        <f t="shared" si="70"/>
        <v>0</v>
      </c>
    </row>
    <row r="198" spans="1:24" s="41" customFormat="1" ht="15" customHeight="1" x14ac:dyDescent="0.2">
      <c r="A198" s="224">
        <v>720118</v>
      </c>
      <c r="B198" s="143" t="str">
        <f t="shared" si="66"/>
        <v>na</v>
      </c>
      <c r="C198" s="6" t="s">
        <v>1887</v>
      </c>
      <c r="D198" s="38"/>
      <c r="E198" s="38">
        <v>168893</v>
      </c>
      <c r="F198" s="39"/>
      <c r="G198" s="39" t="s">
        <v>1424</v>
      </c>
      <c r="H198" s="17" t="str">
        <f t="shared" si="68"/>
        <v>na</v>
      </c>
      <c r="I198" s="17">
        <f t="shared" si="69"/>
        <v>0</v>
      </c>
      <c r="J198" s="100">
        <f t="shared" si="71"/>
        <v>2.14</v>
      </c>
      <c r="K198" s="17">
        <f t="shared" si="65"/>
        <v>0</v>
      </c>
      <c r="L198" s="17">
        <f t="shared" si="62"/>
        <v>0.27</v>
      </c>
      <c r="M198" s="106">
        <v>0</v>
      </c>
      <c r="N198" s="117">
        <f t="shared" si="61"/>
        <v>1.87</v>
      </c>
      <c r="O198" s="40" t="e">
        <f t="shared" si="63"/>
        <v>#VALUE!</v>
      </c>
      <c r="P198" s="211">
        <f t="shared" si="67"/>
        <v>0</v>
      </c>
      <c r="Q198" s="164">
        <f t="shared" si="64"/>
        <v>0</v>
      </c>
      <c r="R198" s="209">
        <f t="shared" si="70"/>
        <v>0</v>
      </c>
    </row>
    <row r="199" spans="1:24" s="41" customFormat="1" ht="15" customHeight="1" x14ac:dyDescent="0.2">
      <c r="A199" s="224">
        <v>722522</v>
      </c>
      <c r="B199" s="143" t="str">
        <f t="shared" si="66"/>
        <v>na</v>
      </c>
      <c r="C199" s="6" t="s">
        <v>1887</v>
      </c>
      <c r="D199" s="38"/>
      <c r="E199" s="38">
        <v>168893</v>
      </c>
      <c r="F199" s="39"/>
      <c r="G199" s="39" t="s">
        <v>1424</v>
      </c>
      <c r="H199" s="17" t="str">
        <f t="shared" si="68"/>
        <v>na</v>
      </c>
      <c r="I199" s="17">
        <f t="shared" si="69"/>
        <v>0</v>
      </c>
      <c r="J199" s="100">
        <f t="shared" si="71"/>
        <v>2.14</v>
      </c>
      <c r="K199" s="17">
        <f t="shared" si="65"/>
        <v>0</v>
      </c>
      <c r="L199" s="17">
        <f t="shared" si="62"/>
        <v>0.27</v>
      </c>
      <c r="M199" s="106">
        <v>0</v>
      </c>
      <c r="N199" s="117">
        <f t="shared" si="61"/>
        <v>1.87</v>
      </c>
      <c r="O199" s="40" t="e">
        <f t="shared" si="63"/>
        <v>#VALUE!</v>
      </c>
      <c r="P199" s="211">
        <f t="shared" si="67"/>
        <v>0</v>
      </c>
      <c r="Q199" s="164">
        <f t="shared" si="64"/>
        <v>0</v>
      </c>
      <c r="R199" s="209">
        <f t="shared" si="70"/>
        <v>0</v>
      </c>
    </row>
    <row r="200" spans="1:24" s="41" customFormat="1" ht="15" customHeight="1" x14ac:dyDescent="0.2">
      <c r="A200" s="224">
        <v>723305</v>
      </c>
      <c r="B200" s="143" t="str">
        <f t="shared" si="66"/>
        <v>LAKE REGION OIL</v>
      </c>
      <c r="C200" s="6" t="s">
        <v>1887</v>
      </c>
      <c r="D200" s="38"/>
      <c r="E200" s="38">
        <v>168893</v>
      </c>
      <c r="F200" s="45"/>
      <c r="G200" s="39" t="s">
        <v>1424</v>
      </c>
      <c r="H200" s="17">
        <f t="shared" si="68"/>
        <v>0</v>
      </c>
      <c r="I200" s="17">
        <f t="shared" si="69"/>
        <v>0</v>
      </c>
      <c r="J200" s="100">
        <f t="shared" si="71"/>
        <v>2.14</v>
      </c>
      <c r="K200" s="17" t="str">
        <f t="shared" si="65"/>
        <v>N</v>
      </c>
      <c r="L200" s="17">
        <f t="shared" si="62"/>
        <v>0</v>
      </c>
      <c r="M200" s="106">
        <v>0</v>
      </c>
      <c r="N200" s="117">
        <f t="shared" si="61"/>
        <v>2.14</v>
      </c>
      <c r="O200" s="40">
        <f t="shared" si="63"/>
        <v>0</v>
      </c>
      <c r="P200" s="211">
        <f t="shared" si="67"/>
        <v>0</v>
      </c>
      <c r="Q200" s="164">
        <f t="shared" si="64"/>
        <v>0</v>
      </c>
      <c r="R200" s="209">
        <f t="shared" si="70"/>
        <v>0</v>
      </c>
    </row>
    <row r="201" spans="1:24" s="41" customFormat="1" ht="15" customHeight="1" x14ac:dyDescent="0.2">
      <c r="A201" s="224">
        <v>725900</v>
      </c>
      <c r="B201" s="143" t="str">
        <f t="shared" si="66"/>
        <v>LAKE REGION OIL</v>
      </c>
      <c r="C201" s="6" t="s">
        <v>1887</v>
      </c>
      <c r="D201" s="38"/>
      <c r="E201" s="38">
        <v>168893</v>
      </c>
      <c r="F201" s="45"/>
      <c r="G201" s="39" t="s">
        <v>1424</v>
      </c>
      <c r="H201" s="17">
        <f t="shared" si="68"/>
        <v>0</v>
      </c>
      <c r="I201" s="17">
        <f t="shared" si="69"/>
        <v>0</v>
      </c>
      <c r="J201" s="100">
        <f t="shared" si="71"/>
        <v>2.14</v>
      </c>
      <c r="K201" s="17" t="str">
        <f t="shared" si="65"/>
        <v>N</v>
      </c>
      <c r="L201" s="17">
        <f t="shared" si="62"/>
        <v>0</v>
      </c>
      <c r="M201" s="106">
        <v>0</v>
      </c>
      <c r="N201" s="117">
        <f t="shared" si="61"/>
        <v>2.14</v>
      </c>
      <c r="O201" s="40">
        <f t="shared" si="63"/>
        <v>0</v>
      </c>
      <c r="P201" s="211">
        <f t="shared" si="67"/>
        <v>0</v>
      </c>
      <c r="Q201" s="164">
        <f t="shared" si="64"/>
        <v>0</v>
      </c>
      <c r="R201" s="209">
        <f t="shared" si="70"/>
        <v>0</v>
      </c>
    </row>
    <row r="202" spans="1:24" s="41" customFormat="1" ht="15" customHeight="1" x14ac:dyDescent="0.2">
      <c r="A202" s="224">
        <v>729331</v>
      </c>
      <c r="B202" s="143" t="str">
        <f t="shared" si="66"/>
        <v>LAKE REGION OIL</v>
      </c>
      <c r="C202" s="6" t="s">
        <v>1887</v>
      </c>
      <c r="D202" s="38"/>
      <c r="E202" s="38">
        <v>168893</v>
      </c>
      <c r="F202" s="39"/>
      <c r="G202" s="39" t="s">
        <v>1424</v>
      </c>
      <c r="H202" s="17">
        <f t="shared" ref="H202:H229" si="72">IF(ISNA(VLOOKUP(A202,cgas9910,9,FALSE)),"na",VLOOKUP(A202,cgas9910,9,FALSE))</f>
        <v>0</v>
      </c>
      <c r="I202" s="17">
        <f t="shared" ref="I202:I229" si="73">IF(ISNA(VLOOKUP(A202,cgas9910,10,FALSE)),0,(VLOOKUP(A202,cgas9910,10,FALSE)))</f>
        <v>0</v>
      </c>
      <c r="J202" s="100">
        <f t="shared" si="71"/>
        <v>2.14</v>
      </c>
      <c r="K202" s="17" t="str">
        <f t="shared" si="65"/>
        <v>I</v>
      </c>
      <c r="L202" s="17">
        <f t="shared" si="62"/>
        <v>0.27</v>
      </c>
      <c r="M202" s="106">
        <v>0</v>
      </c>
      <c r="N202" s="117">
        <f t="shared" si="61"/>
        <v>1.87</v>
      </c>
      <c r="O202" s="40">
        <f t="shared" si="63"/>
        <v>0</v>
      </c>
      <c r="P202" s="211">
        <f t="shared" si="67"/>
        <v>0</v>
      </c>
      <c r="Q202" s="164">
        <f t="shared" si="64"/>
        <v>0</v>
      </c>
      <c r="R202" s="209">
        <f t="shared" si="70"/>
        <v>0</v>
      </c>
      <c r="U202" s="198"/>
      <c r="V202" s="198"/>
    </row>
    <row r="203" spans="1:24" s="48" customFormat="1" ht="15" customHeight="1" x14ac:dyDescent="0.2">
      <c r="A203" s="224">
        <v>835712</v>
      </c>
      <c r="B203" s="143" t="str">
        <f t="shared" si="66"/>
        <v>H &amp; H ENERGY</v>
      </c>
      <c r="C203" s="6" t="s">
        <v>2313</v>
      </c>
      <c r="D203" s="186" t="s">
        <v>1921</v>
      </c>
      <c r="E203" s="38">
        <v>164723</v>
      </c>
      <c r="F203" s="39"/>
      <c r="G203" s="39" t="s">
        <v>1424</v>
      </c>
      <c r="H203" s="17">
        <f t="shared" si="72"/>
        <v>0</v>
      </c>
      <c r="I203" s="17">
        <f t="shared" si="73"/>
        <v>0</v>
      </c>
      <c r="J203" s="100">
        <f t="shared" si="71"/>
        <v>2.14</v>
      </c>
      <c r="K203" s="17" t="str">
        <f t="shared" si="65"/>
        <v>N</v>
      </c>
      <c r="L203" s="17">
        <f t="shared" si="62"/>
        <v>0</v>
      </c>
      <c r="M203" s="106">
        <v>0</v>
      </c>
      <c r="N203" s="117">
        <f t="shared" si="61"/>
        <v>2.14</v>
      </c>
      <c r="O203" s="40">
        <f t="shared" si="63"/>
        <v>0</v>
      </c>
      <c r="P203" s="211">
        <f t="shared" si="67"/>
        <v>0</v>
      </c>
      <c r="Q203" s="164">
        <f t="shared" si="64"/>
        <v>0</v>
      </c>
      <c r="R203" s="209">
        <f t="shared" si="70"/>
        <v>0</v>
      </c>
      <c r="S203" s="41"/>
      <c r="T203" s="41"/>
      <c r="U203" s="198"/>
      <c r="V203" s="198"/>
      <c r="W203" s="41"/>
      <c r="X203" s="41"/>
    </row>
    <row r="204" spans="1:24" s="47" customFormat="1" ht="15" customHeight="1" x14ac:dyDescent="0.2">
      <c r="A204" s="285">
        <v>710760</v>
      </c>
      <c r="B204" s="143" t="str">
        <f t="shared" si="66"/>
        <v>LONESTAR PETROL</v>
      </c>
      <c r="C204" s="286" t="s">
        <v>366</v>
      </c>
      <c r="D204" s="286"/>
      <c r="E204" s="38" t="s">
        <v>367</v>
      </c>
      <c r="F204" s="285" t="s">
        <v>368</v>
      </c>
      <c r="G204" s="285" t="s">
        <v>369</v>
      </c>
      <c r="H204" s="17">
        <f t="shared" si="72"/>
        <v>0</v>
      </c>
      <c r="I204" s="17">
        <f t="shared" si="73"/>
        <v>0</v>
      </c>
      <c r="J204" s="287">
        <f>$J$5*0.99</f>
        <v>2.1186000000000003</v>
      </c>
      <c r="K204" s="17" t="str">
        <f t="shared" si="65"/>
        <v>I</v>
      </c>
      <c r="L204" s="17">
        <f t="shared" ref="L204:L220" si="74">IF(K204="N",0,0.27)</f>
        <v>0.27</v>
      </c>
      <c r="M204" s="288">
        <v>0</v>
      </c>
      <c r="N204" s="287">
        <f>+J204-L204-M204</f>
        <v>1.8486000000000002</v>
      </c>
      <c r="O204" s="289">
        <f t="shared" ref="O204:O234" si="75">+H204*0.001</f>
        <v>0</v>
      </c>
      <c r="P204" s="211">
        <f t="shared" si="67"/>
        <v>0</v>
      </c>
      <c r="Q204" s="290">
        <f t="shared" ref="Q204:Q234" si="76">+N204*I204</f>
        <v>0</v>
      </c>
      <c r="R204" s="209">
        <f t="shared" si="70"/>
        <v>0</v>
      </c>
      <c r="U204" s="288"/>
      <c r="V204" s="288"/>
      <c r="W204" s="41"/>
      <c r="X204" s="41"/>
    </row>
    <row r="205" spans="1:24" s="41" customFormat="1" ht="15" customHeight="1" x14ac:dyDescent="0.2">
      <c r="A205" s="285">
        <v>824196</v>
      </c>
      <c r="B205" s="143" t="str">
        <f t="shared" si="66"/>
        <v>na</v>
      </c>
      <c r="C205" s="286" t="s">
        <v>370</v>
      </c>
      <c r="D205" s="286"/>
      <c r="E205" s="38">
        <v>66649</v>
      </c>
      <c r="F205" s="285" t="s">
        <v>371</v>
      </c>
      <c r="G205" s="285" t="s">
        <v>372</v>
      </c>
      <c r="H205" s="17" t="str">
        <f t="shared" si="72"/>
        <v>na</v>
      </c>
      <c r="I205" s="17">
        <f t="shared" si="73"/>
        <v>0</v>
      </c>
      <c r="J205" s="287">
        <f>$J$5</f>
        <v>2.14</v>
      </c>
      <c r="K205" s="17">
        <f t="shared" si="65"/>
        <v>0</v>
      </c>
      <c r="L205" s="17">
        <f t="shared" si="74"/>
        <v>0.27</v>
      </c>
      <c r="M205" s="288">
        <v>0.06</v>
      </c>
      <c r="N205" s="287">
        <f>+J205-L205-M205</f>
        <v>1.81</v>
      </c>
      <c r="O205" s="289" t="e">
        <f t="shared" si="75"/>
        <v>#VALUE!</v>
      </c>
      <c r="P205" s="211">
        <f t="shared" si="67"/>
        <v>0</v>
      </c>
      <c r="Q205" s="290">
        <f t="shared" si="76"/>
        <v>0</v>
      </c>
      <c r="R205" s="209">
        <f t="shared" si="70"/>
        <v>0</v>
      </c>
      <c r="U205" s="288"/>
      <c r="V205" s="288"/>
    </row>
    <row r="206" spans="1:24" s="41" customFormat="1" ht="15" customHeight="1" x14ac:dyDescent="0.2">
      <c r="A206" s="224">
        <v>724802</v>
      </c>
      <c r="B206" s="143" t="str">
        <f t="shared" si="66"/>
        <v>MADDEN VENTURES</v>
      </c>
      <c r="C206" s="6" t="s">
        <v>1900</v>
      </c>
      <c r="D206" s="38"/>
      <c r="E206" s="38">
        <v>141131</v>
      </c>
      <c r="F206" s="39"/>
      <c r="G206" s="578" t="s">
        <v>1427</v>
      </c>
      <c r="H206" s="17">
        <f t="shared" si="72"/>
        <v>0</v>
      </c>
      <c r="I206" s="17">
        <f t="shared" si="73"/>
        <v>106</v>
      </c>
      <c r="J206" s="100">
        <f>$J$5*0.98</f>
        <v>2.0972</v>
      </c>
      <c r="K206" s="17" t="str">
        <f t="shared" si="65"/>
        <v>I</v>
      </c>
      <c r="L206" s="17">
        <f t="shared" si="74"/>
        <v>0.27</v>
      </c>
      <c r="M206" s="106">
        <v>0</v>
      </c>
      <c r="N206" s="117">
        <f t="shared" ref="N206:N211" si="77">J206-L206-M206</f>
        <v>1.8271999999999999</v>
      </c>
      <c r="O206" s="40">
        <f t="shared" si="75"/>
        <v>0</v>
      </c>
      <c r="P206" s="211">
        <f t="shared" si="67"/>
        <v>0.106</v>
      </c>
      <c r="Q206" s="164">
        <f t="shared" si="76"/>
        <v>193.6832</v>
      </c>
      <c r="R206" s="209">
        <f t="shared" si="70"/>
        <v>193.5772</v>
      </c>
      <c r="U206" s="198"/>
      <c r="V206" s="198"/>
    </row>
    <row r="207" spans="1:24" s="47" customFormat="1" ht="15" customHeight="1" x14ac:dyDescent="0.2">
      <c r="A207" s="224">
        <v>834333</v>
      </c>
      <c r="B207" s="143" t="str">
        <f t="shared" si="66"/>
        <v>MAGNUM DRILLING</v>
      </c>
      <c r="C207" s="6" t="s">
        <v>1394</v>
      </c>
      <c r="D207" s="6" t="s">
        <v>1917</v>
      </c>
      <c r="E207" s="38">
        <v>250751</v>
      </c>
      <c r="F207" s="39"/>
      <c r="G207" s="578" t="s">
        <v>1424</v>
      </c>
      <c r="H207" s="17">
        <f t="shared" si="72"/>
        <v>0</v>
      </c>
      <c r="I207" s="17">
        <f t="shared" si="73"/>
        <v>0</v>
      </c>
      <c r="J207" s="100">
        <f>$J$5</f>
        <v>2.14</v>
      </c>
      <c r="K207" s="17" t="str">
        <f t="shared" si="65"/>
        <v>N</v>
      </c>
      <c r="L207" s="17">
        <f t="shared" si="74"/>
        <v>0</v>
      </c>
      <c r="M207" s="106">
        <v>0</v>
      </c>
      <c r="N207" s="117">
        <f t="shared" si="77"/>
        <v>2.14</v>
      </c>
      <c r="O207" s="40">
        <f t="shared" si="75"/>
        <v>0</v>
      </c>
      <c r="P207" s="211">
        <f t="shared" si="67"/>
        <v>0</v>
      </c>
      <c r="Q207" s="164">
        <f t="shared" si="76"/>
        <v>0</v>
      </c>
      <c r="R207" s="209">
        <f t="shared" si="70"/>
        <v>0</v>
      </c>
      <c r="S207" s="274">
        <f>-R207*0.045</f>
        <v>0</v>
      </c>
      <c r="T207" s="273">
        <f>+R207+S207</f>
        <v>0</v>
      </c>
      <c r="U207" s="198"/>
      <c r="V207" s="198"/>
      <c r="W207" s="41"/>
      <c r="X207" s="41"/>
    </row>
    <row r="208" spans="1:24" s="41" customFormat="1" ht="15" customHeight="1" x14ac:dyDescent="0.2">
      <c r="A208" s="224">
        <v>602423</v>
      </c>
      <c r="B208" s="143" t="str">
        <f t="shared" si="66"/>
        <v>HAROLD GOAL</v>
      </c>
      <c r="C208" s="6" t="s">
        <v>2326</v>
      </c>
      <c r="D208" s="186" t="s">
        <v>1845</v>
      </c>
      <c r="E208" s="38">
        <v>141953</v>
      </c>
      <c r="F208" s="39"/>
      <c r="G208" s="578" t="s">
        <v>2327</v>
      </c>
      <c r="H208" s="17">
        <f t="shared" si="72"/>
        <v>0</v>
      </c>
      <c r="I208" s="17">
        <f t="shared" si="73"/>
        <v>0</v>
      </c>
      <c r="J208" s="100">
        <f>$J$5*0.9</f>
        <v>1.9260000000000002</v>
      </c>
      <c r="K208" s="17" t="str">
        <f t="shared" si="65"/>
        <v>I</v>
      </c>
      <c r="L208" s="17">
        <f t="shared" si="74"/>
        <v>0.27</v>
      </c>
      <c r="M208" s="106">
        <v>0</v>
      </c>
      <c r="N208" s="117">
        <f t="shared" si="77"/>
        <v>1.6560000000000001</v>
      </c>
      <c r="O208" s="40">
        <f t="shared" si="75"/>
        <v>0</v>
      </c>
      <c r="P208" s="211">
        <f t="shared" si="67"/>
        <v>0</v>
      </c>
      <c r="Q208" s="164">
        <f t="shared" si="76"/>
        <v>0</v>
      </c>
      <c r="R208" s="209">
        <f t="shared" si="70"/>
        <v>0</v>
      </c>
      <c r="U208" s="198"/>
      <c r="V208" s="198"/>
    </row>
    <row r="209" spans="1:24" s="41" customFormat="1" ht="15" customHeight="1" x14ac:dyDescent="0.2">
      <c r="A209" s="224">
        <v>602544</v>
      </c>
      <c r="B209" s="143" t="str">
        <f t="shared" si="66"/>
        <v>MAPLE GROVE</v>
      </c>
      <c r="C209" s="6" t="s">
        <v>2326</v>
      </c>
      <c r="D209" s="534" t="s">
        <v>1861</v>
      </c>
      <c r="E209" s="38">
        <v>165349</v>
      </c>
      <c r="F209" s="39"/>
      <c r="G209" s="578" t="s">
        <v>2327</v>
      </c>
      <c r="H209" s="17">
        <f t="shared" si="72"/>
        <v>0</v>
      </c>
      <c r="I209" s="17">
        <f t="shared" si="73"/>
        <v>0</v>
      </c>
      <c r="J209" s="100">
        <f>$J$5*0.9</f>
        <v>1.9260000000000002</v>
      </c>
      <c r="K209" s="17" t="str">
        <f t="shared" si="65"/>
        <v>I</v>
      </c>
      <c r="L209" s="17">
        <f t="shared" si="74"/>
        <v>0.27</v>
      </c>
      <c r="M209" s="106">
        <v>0</v>
      </c>
      <c r="N209" s="117">
        <f t="shared" si="77"/>
        <v>1.6560000000000001</v>
      </c>
      <c r="O209" s="40">
        <f t="shared" si="75"/>
        <v>0</v>
      </c>
      <c r="P209" s="211">
        <f t="shared" si="67"/>
        <v>0</v>
      </c>
      <c r="Q209" s="164">
        <f t="shared" si="76"/>
        <v>0</v>
      </c>
      <c r="R209" s="209">
        <f t="shared" si="70"/>
        <v>0</v>
      </c>
      <c r="U209" s="198"/>
      <c r="V209" s="198"/>
    </row>
    <row r="210" spans="1:24" s="47" customFormat="1" ht="15" customHeight="1" x14ac:dyDescent="0.2">
      <c r="A210" s="224">
        <v>632571</v>
      </c>
      <c r="B210" s="143" t="str">
        <f t="shared" si="66"/>
        <v>MAPLE GROVE</v>
      </c>
      <c r="C210" s="6" t="s">
        <v>2326</v>
      </c>
      <c r="D210" s="534" t="s">
        <v>1861</v>
      </c>
      <c r="E210" s="38">
        <v>165349</v>
      </c>
      <c r="F210" s="39"/>
      <c r="G210" s="578" t="s">
        <v>2327</v>
      </c>
      <c r="H210" s="17">
        <f t="shared" si="72"/>
        <v>0</v>
      </c>
      <c r="I210" s="17">
        <f t="shared" si="73"/>
        <v>0</v>
      </c>
      <c r="J210" s="100">
        <f>$J$5*0.9</f>
        <v>1.9260000000000002</v>
      </c>
      <c r="K210" s="17" t="str">
        <f t="shared" si="65"/>
        <v>I</v>
      </c>
      <c r="L210" s="17">
        <f t="shared" si="74"/>
        <v>0.27</v>
      </c>
      <c r="M210" s="106">
        <v>0</v>
      </c>
      <c r="N210" s="117">
        <f t="shared" si="77"/>
        <v>1.6560000000000001</v>
      </c>
      <c r="O210" s="40">
        <f t="shared" si="75"/>
        <v>0</v>
      </c>
      <c r="P210" s="211">
        <f t="shared" si="67"/>
        <v>0</v>
      </c>
      <c r="Q210" s="164">
        <f t="shared" si="76"/>
        <v>0</v>
      </c>
      <c r="R210" s="209">
        <f t="shared" si="70"/>
        <v>0</v>
      </c>
      <c r="S210" s="41"/>
      <c r="T210" s="41"/>
      <c r="U210" s="198"/>
      <c r="V210" s="198"/>
      <c r="W210" s="41"/>
      <c r="X210" s="41"/>
    </row>
    <row r="211" spans="1:24" s="41" customFormat="1" ht="15" customHeight="1" x14ac:dyDescent="0.2">
      <c r="A211" s="224">
        <v>635719</v>
      </c>
      <c r="B211" s="143" t="str">
        <f t="shared" si="66"/>
        <v>MARY JANE ENERG</v>
      </c>
      <c r="C211" s="6" t="s">
        <v>2297</v>
      </c>
      <c r="D211" s="38"/>
      <c r="E211" s="38">
        <v>141959</v>
      </c>
      <c r="F211" s="39"/>
      <c r="G211" s="578" t="s">
        <v>1424</v>
      </c>
      <c r="H211" s="17">
        <f t="shared" si="72"/>
        <v>0</v>
      </c>
      <c r="I211" s="17">
        <f t="shared" si="73"/>
        <v>0</v>
      </c>
      <c r="J211" s="100">
        <f t="shared" ref="J211:J217" si="78">$J$5</f>
        <v>2.14</v>
      </c>
      <c r="K211" s="17" t="str">
        <f t="shared" si="65"/>
        <v>I</v>
      </c>
      <c r="L211" s="17">
        <f t="shared" si="74"/>
        <v>0.27</v>
      </c>
      <c r="M211" s="106">
        <v>0</v>
      </c>
      <c r="N211" s="117">
        <f t="shared" si="77"/>
        <v>1.87</v>
      </c>
      <c r="O211" s="40">
        <f t="shared" si="75"/>
        <v>0</v>
      </c>
      <c r="P211" s="211">
        <f t="shared" si="67"/>
        <v>0</v>
      </c>
      <c r="Q211" s="164">
        <f t="shared" si="76"/>
        <v>0</v>
      </c>
      <c r="R211" s="209">
        <f t="shared" si="70"/>
        <v>0</v>
      </c>
      <c r="U211" s="198"/>
      <c r="V211" s="198"/>
    </row>
    <row r="212" spans="1:24" s="41" customFormat="1" ht="15" customHeight="1" x14ac:dyDescent="0.2">
      <c r="A212" s="224">
        <v>727018</v>
      </c>
      <c r="B212" s="143" t="str">
        <f t="shared" si="66"/>
        <v>MFC DRILLING</v>
      </c>
      <c r="C212" s="286" t="s">
        <v>373</v>
      </c>
      <c r="D212" s="38"/>
      <c r="E212" s="38">
        <v>135950</v>
      </c>
      <c r="F212" s="39"/>
      <c r="G212" s="535" t="s">
        <v>376</v>
      </c>
      <c r="H212" s="17">
        <f t="shared" si="72"/>
        <v>0</v>
      </c>
      <c r="I212" s="17">
        <f t="shared" si="73"/>
        <v>0</v>
      </c>
      <c r="J212" s="537">
        <f t="shared" si="78"/>
        <v>2.14</v>
      </c>
      <c r="K212" s="17" t="str">
        <f t="shared" si="65"/>
        <v>N</v>
      </c>
      <c r="L212" s="17">
        <f t="shared" si="74"/>
        <v>0</v>
      </c>
      <c r="M212" s="106">
        <v>0</v>
      </c>
      <c r="N212" s="117">
        <f t="shared" ref="N212:N225" si="79">J212-L212-M212</f>
        <v>2.14</v>
      </c>
      <c r="O212" s="40">
        <f t="shared" si="75"/>
        <v>0</v>
      </c>
      <c r="P212" s="211">
        <f t="shared" si="67"/>
        <v>0</v>
      </c>
      <c r="Q212" s="164">
        <f t="shared" si="76"/>
        <v>0</v>
      </c>
      <c r="R212" s="209">
        <f t="shared" si="70"/>
        <v>0</v>
      </c>
      <c r="U212" s="288"/>
      <c r="V212" s="288"/>
    </row>
    <row r="213" spans="1:24" s="41" customFormat="1" ht="15" customHeight="1" x14ac:dyDescent="0.2">
      <c r="A213" s="825">
        <v>732041</v>
      </c>
      <c r="B213" s="143" t="str">
        <f t="shared" si="66"/>
        <v>BERRESFORD ENTE</v>
      </c>
      <c r="C213" s="286" t="s">
        <v>373</v>
      </c>
      <c r="D213" s="286"/>
      <c r="E213" s="38" t="s">
        <v>374</v>
      </c>
      <c r="F213" s="285" t="s">
        <v>375</v>
      </c>
      <c r="G213" s="535" t="s">
        <v>376</v>
      </c>
      <c r="H213" s="17">
        <f>IF(ISNA(VLOOKUP(A213,cgas9910,9,FALSE)),"na",VLOOKUP(A213,cgas9910,9,FALSE))</f>
        <v>0</v>
      </c>
      <c r="I213" s="17">
        <f>IF(ISNA(VLOOKUP(A213,cgas9910,10,FALSE)),0,(VLOOKUP(A213,cgas9910,10,FALSE)))</f>
        <v>0</v>
      </c>
      <c r="J213" s="537">
        <f t="shared" si="78"/>
        <v>2.14</v>
      </c>
      <c r="K213" s="17" t="str">
        <f>IF(ISNA(VLOOKUP(A213,cgas9910,7,FALSE)),0,(VLOOKUP(A213,cgas9910,7,FALSE)))</f>
        <v>N</v>
      </c>
      <c r="L213" s="17">
        <f t="shared" si="74"/>
        <v>0</v>
      </c>
      <c r="M213" s="288">
        <v>0</v>
      </c>
      <c r="N213" s="287">
        <f>+J213-L213-M213</f>
        <v>2.14</v>
      </c>
      <c r="O213" s="289">
        <f>+H213*0.001</f>
        <v>0</v>
      </c>
      <c r="P213" s="211">
        <f>IF(AND(A213&gt;700000,A213&lt;800000),+I213*0.001,0)</f>
        <v>0</v>
      </c>
      <c r="Q213" s="290">
        <f>+N213*I213</f>
        <v>0</v>
      </c>
      <c r="R213" s="209">
        <f>+(I213*N213)-P213</f>
        <v>0</v>
      </c>
      <c r="S213" s="826" t="s">
        <v>462</v>
      </c>
      <c r="U213" s="288"/>
      <c r="V213" s="288"/>
    </row>
    <row r="214" spans="1:24" s="41" customFormat="1" ht="15" customHeight="1" x14ac:dyDescent="0.2">
      <c r="A214" s="285">
        <v>733442</v>
      </c>
      <c r="B214" s="143" t="str">
        <f t="shared" si="66"/>
        <v>MFC DRILL MEDIN</v>
      </c>
      <c r="C214" s="286" t="s">
        <v>373</v>
      </c>
      <c r="D214" s="286"/>
      <c r="E214" s="38" t="s">
        <v>374</v>
      </c>
      <c r="F214" s="285" t="s">
        <v>375</v>
      </c>
      <c r="G214" s="535" t="s">
        <v>376</v>
      </c>
      <c r="H214" s="17">
        <f t="shared" si="72"/>
        <v>0</v>
      </c>
      <c r="I214" s="17">
        <f t="shared" si="73"/>
        <v>0</v>
      </c>
      <c r="J214" s="537">
        <f t="shared" si="78"/>
        <v>2.14</v>
      </c>
      <c r="K214" s="17" t="str">
        <f t="shared" si="65"/>
        <v>N</v>
      </c>
      <c r="L214" s="17">
        <f t="shared" si="74"/>
        <v>0</v>
      </c>
      <c r="M214" s="288">
        <v>0</v>
      </c>
      <c r="N214" s="287">
        <f>+J214-L214-M214</f>
        <v>2.14</v>
      </c>
      <c r="O214" s="289">
        <f t="shared" si="75"/>
        <v>0</v>
      </c>
      <c r="P214" s="211">
        <f t="shared" si="67"/>
        <v>0</v>
      </c>
      <c r="Q214" s="290">
        <f t="shared" si="76"/>
        <v>0</v>
      </c>
      <c r="R214" s="209">
        <f>+(I214*N214)-P214</f>
        <v>0</v>
      </c>
      <c r="U214" s="288"/>
      <c r="V214" s="288"/>
    </row>
    <row r="215" spans="1:24" s="41" customFormat="1" ht="15" customHeight="1" x14ac:dyDescent="0.2">
      <c r="A215" s="285">
        <v>733522</v>
      </c>
      <c r="B215" s="143" t="str">
        <f t="shared" si="66"/>
        <v>MFC DRILL MEDIN</v>
      </c>
      <c r="C215" s="286" t="s">
        <v>373</v>
      </c>
      <c r="D215" s="286"/>
      <c r="E215" s="38" t="s">
        <v>374</v>
      </c>
      <c r="F215" s="285" t="s">
        <v>375</v>
      </c>
      <c r="G215" s="535" t="s">
        <v>376</v>
      </c>
      <c r="H215" s="17">
        <f t="shared" si="72"/>
        <v>0</v>
      </c>
      <c r="I215" s="17">
        <f t="shared" si="73"/>
        <v>0</v>
      </c>
      <c r="J215" s="537">
        <f t="shared" si="78"/>
        <v>2.14</v>
      </c>
      <c r="K215" s="17" t="str">
        <f t="shared" si="65"/>
        <v>N</v>
      </c>
      <c r="L215" s="17">
        <f t="shared" si="74"/>
        <v>0</v>
      </c>
      <c r="M215" s="288">
        <v>0</v>
      </c>
      <c r="N215" s="287">
        <f>+J215-L215-M215</f>
        <v>2.14</v>
      </c>
      <c r="O215" s="289">
        <f t="shared" si="75"/>
        <v>0</v>
      </c>
      <c r="P215" s="211">
        <f t="shared" si="67"/>
        <v>0</v>
      </c>
      <c r="Q215" s="290">
        <f t="shared" si="76"/>
        <v>0</v>
      </c>
      <c r="R215" s="209">
        <f t="shared" si="70"/>
        <v>0</v>
      </c>
      <c r="U215" s="297"/>
      <c r="V215" s="297"/>
    </row>
    <row r="216" spans="1:24" s="47" customFormat="1" ht="15" customHeight="1" x14ac:dyDescent="0.2">
      <c r="A216" s="224">
        <v>734524</v>
      </c>
      <c r="B216" s="143" t="str">
        <f t="shared" si="66"/>
        <v>na</v>
      </c>
      <c r="C216" s="286" t="s">
        <v>373</v>
      </c>
      <c r="D216" s="38"/>
      <c r="E216" s="38">
        <v>135950</v>
      </c>
      <c r="F216" s="39"/>
      <c r="G216" s="535" t="s">
        <v>376</v>
      </c>
      <c r="H216" s="17" t="str">
        <f t="shared" si="72"/>
        <v>na</v>
      </c>
      <c r="I216" s="17">
        <f t="shared" si="73"/>
        <v>0</v>
      </c>
      <c r="J216" s="537">
        <f t="shared" si="78"/>
        <v>2.14</v>
      </c>
      <c r="K216" s="17">
        <f t="shared" si="65"/>
        <v>0</v>
      </c>
      <c r="L216" s="17">
        <f t="shared" si="74"/>
        <v>0.27</v>
      </c>
      <c r="M216" s="106">
        <v>0</v>
      </c>
      <c r="N216" s="117">
        <f t="shared" si="79"/>
        <v>1.87</v>
      </c>
      <c r="O216" s="40" t="e">
        <f t="shared" si="75"/>
        <v>#VALUE!</v>
      </c>
      <c r="P216" s="211">
        <f t="shared" si="67"/>
        <v>0</v>
      </c>
      <c r="Q216" s="164">
        <f t="shared" si="76"/>
        <v>0</v>
      </c>
      <c r="R216" s="209">
        <f t="shared" si="70"/>
        <v>0</v>
      </c>
      <c r="S216" s="41"/>
      <c r="T216" s="41"/>
      <c r="U216" s="288"/>
      <c r="V216" s="288"/>
      <c r="W216" s="48"/>
      <c r="X216" s="48"/>
    </row>
    <row r="217" spans="1:24" s="47" customFormat="1" ht="15" customHeight="1" x14ac:dyDescent="0.2">
      <c r="A217" s="224">
        <v>734614</v>
      </c>
      <c r="B217" s="143" t="str">
        <f t="shared" si="66"/>
        <v>MFC DRILL MEDIN</v>
      </c>
      <c r="C217" s="286" t="s">
        <v>373</v>
      </c>
      <c r="D217" s="38"/>
      <c r="E217" s="38">
        <v>135950</v>
      </c>
      <c r="F217" s="39"/>
      <c r="G217" s="535" t="s">
        <v>376</v>
      </c>
      <c r="H217" s="17">
        <f t="shared" si="72"/>
        <v>0</v>
      </c>
      <c r="I217" s="17">
        <f t="shared" si="73"/>
        <v>0</v>
      </c>
      <c r="J217" s="537">
        <f t="shared" si="78"/>
        <v>2.14</v>
      </c>
      <c r="K217" s="17" t="str">
        <f t="shared" si="65"/>
        <v>N</v>
      </c>
      <c r="L217" s="17">
        <f t="shared" si="74"/>
        <v>0</v>
      </c>
      <c r="M217" s="106">
        <v>0</v>
      </c>
      <c r="N217" s="117">
        <f t="shared" si="79"/>
        <v>2.14</v>
      </c>
      <c r="O217" s="40">
        <f t="shared" si="75"/>
        <v>0</v>
      </c>
      <c r="P217" s="211">
        <f t="shared" si="67"/>
        <v>0</v>
      </c>
      <c r="Q217" s="164">
        <f t="shared" si="76"/>
        <v>0</v>
      </c>
      <c r="R217" s="209">
        <f t="shared" si="70"/>
        <v>0</v>
      </c>
      <c r="S217" s="41"/>
      <c r="T217" s="41"/>
      <c r="U217" s="198"/>
      <c r="V217" s="198"/>
      <c r="W217" s="41"/>
      <c r="X217" s="41"/>
    </row>
    <row r="218" spans="1:24" s="47" customFormat="1" ht="15" customHeight="1" x14ac:dyDescent="0.2">
      <c r="A218" s="285">
        <v>829390</v>
      </c>
      <c r="B218" s="143" t="str">
        <f t="shared" si="66"/>
        <v>CHARLES H MENG</v>
      </c>
      <c r="C218" s="291" t="s">
        <v>377</v>
      </c>
      <c r="D218" s="291"/>
      <c r="E218" s="38" t="s">
        <v>378</v>
      </c>
      <c r="F218" s="285" t="s">
        <v>379</v>
      </c>
      <c r="G218" s="818" t="s">
        <v>382</v>
      </c>
      <c r="H218" s="17">
        <f t="shared" si="72"/>
        <v>0</v>
      </c>
      <c r="I218" s="17">
        <f t="shared" si="73"/>
        <v>0</v>
      </c>
      <c r="J218" s="287">
        <f>$J$5-0.01</f>
        <v>2.1300000000000003</v>
      </c>
      <c r="K218" s="17" t="str">
        <f t="shared" si="65"/>
        <v>N</v>
      </c>
      <c r="L218" s="17">
        <f t="shared" si="74"/>
        <v>0</v>
      </c>
      <c r="M218" s="288">
        <v>0.03</v>
      </c>
      <c r="N218" s="287">
        <f>+J218-L218-M218</f>
        <v>2.1000000000000005</v>
      </c>
      <c r="O218" s="289">
        <f t="shared" si="75"/>
        <v>0</v>
      </c>
      <c r="P218" s="211">
        <f t="shared" si="67"/>
        <v>0</v>
      </c>
      <c r="Q218" s="290">
        <f t="shared" si="76"/>
        <v>0</v>
      </c>
      <c r="R218" s="219">
        <f t="shared" si="70"/>
        <v>0</v>
      </c>
      <c r="S218" s="41"/>
      <c r="T218" s="41"/>
      <c r="U218" s="198"/>
      <c r="V218" s="198"/>
      <c r="W218" s="41"/>
      <c r="X218" s="41"/>
    </row>
    <row r="219" spans="1:24" s="41" customFormat="1" ht="15" customHeight="1" x14ac:dyDescent="0.2">
      <c r="A219" s="285">
        <v>721071</v>
      </c>
      <c r="B219" s="143" t="str">
        <f t="shared" si="66"/>
        <v>BUCKEYE ENERGY</v>
      </c>
      <c r="C219" s="286" t="s">
        <v>383</v>
      </c>
      <c r="D219" s="286"/>
      <c r="E219" s="38" t="s">
        <v>384</v>
      </c>
      <c r="F219" s="285" t="s">
        <v>385</v>
      </c>
      <c r="G219" s="285" t="s">
        <v>1678</v>
      </c>
      <c r="H219" s="17">
        <f t="shared" si="72"/>
        <v>0</v>
      </c>
      <c r="I219" s="17">
        <f t="shared" si="73"/>
        <v>0</v>
      </c>
      <c r="J219" s="287">
        <f>$J$5*0.98</f>
        <v>2.0972</v>
      </c>
      <c r="K219" s="17" t="str">
        <f t="shared" si="65"/>
        <v>N</v>
      </c>
      <c r="L219" s="17">
        <f t="shared" si="74"/>
        <v>0</v>
      </c>
      <c r="M219" s="288">
        <v>0</v>
      </c>
      <c r="N219" s="287">
        <f>+J219-L219-M219</f>
        <v>2.0972</v>
      </c>
      <c r="O219" s="289">
        <f t="shared" si="75"/>
        <v>0</v>
      </c>
      <c r="P219" s="211">
        <f t="shared" si="67"/>
        <v>0</v>
      </c>
      <c r="Q219" s="290">
        <f t="shared" si="76"/>
        <v>0</v>
      </c>
      <c r="R219" s="209">
        <f t="shared" si="70"/>
        <v>0</v>
      </c>
      <c r="S219" s="41" t="s">
        <v>1679</v>
      </c>
      <c r="U219" s="198"/>
      <c r="V219" s="198"/>
    </row>
    <row r="220" spans="1:24" s="41" customFormat="1" ht="15" customHeight="1" x14ac:dyDescent="0.2">
      <c r="A220" s="224">
        <v>634894</v>
      </c>
      <c r="B220" s="143" t="str">
        <f t="shared" si="66"/>
        <v>MIKE ROSS</v>
      </c>
      <c r="C220" s="6" t="s">
        <v>1744</v>
      </c>
      <c r="D220" s="38"/>
      <c r="E220" s="38">
        <v>135957</v>
      </c>
      <c r="F220" s="39"/>
      <c r="G220" s="578" t="s">
        <v>1424</v>
      </c>
      <c r="H220" s="17">
        <f>IF(ISNA(VLOOKUP(A220,cgas9910,9,FALSE)),"na",VLOOKUP(A220,cgas9910,9,FALSE))</f>
        <v>0</v>
      </c>
      <c r="I220" s="17">
        <f>IF(ISNA(VLOOKUP(A220,cgas9910,10,FALSE)),0,(VLOOKUP(A220,cgas9910,10,FALSE)))</f>
        <v>0</v>
      </c>
      <c r="J220" s="100">
        <f>$J$5</f>
        <v>2.14</v>
      </c>
      <c r="K220" s="17" t="str">
        <f t="shared" si="65"/>
        <v>N</v>
      </c>
      <c r="L220" s="17">
        <f t="shared" si="74"/>
        <v>0</v>
      </c>
      <c r="M220" s="106">
        <v>0</v>
      </c>
      <c r="N220" s="117">
        <f t="shared" si="79"/>
        <v>2.14</v>
      </c>
      <c r="O220" s="40">
        <f t="shared" si="75"/>
        <v>0</v>
      </c>
      <c r="P220" s="211">
        <f t="shared" si="67"/>
        <v>0</v>
      </c>
      <c r="Q220" s="164">
        <f t="shared" si="76"/>
        <v>0</v>
      </c>
      <c r="R220" s="209">
        <f t="shared" si="70"/>
        <v>0</v>
      </c>
      <c r="U220" s="198"/>
      <c r="V220" s="198"/>
    </row>
    <row r="221" spans="1:24" s="41" customFormat="1" ht="15" customHeight="1" x14ac:dyDescent="0.2">
      <c r="A221" s="224">
        <v>635056</v>
      </c>
      <c r="B221" s="143" t="str">
        <f t="shared" si="66"/>
        <v>MIKE ROSS</v>
      </c>
      <c r="C221" s="6" t="s">
        <v>1744</v>
      </c>
      <c r="D221" s="38"/>
      <c r="E221" s="38">
        <v>135957</v>
      </c>
      <c r="F221" s="39"/>
      <c r="G221" s="578" t="s">
        <v>1424</v>
      </c>
      <c r="H221" s="17">
        <f>IF(ISNA(VLOOKUP(A221,cgas9910,9,FALSE)),"na",VLOOKUP(A221,cgas9910,9,FALSE))</f>
        <v>0</v>
      </c>
      <c r="I221" s="17">
        <f>IF(ISNA(VLOOKUP(A221,cgas9910,10,FALSE)),0,(VLOOKUP(A221,cgas9910,10,FALSE)))</f>
        <v>0</v>
      </c>
      <c r="J221" s="100">
        <f>$J$5</f>
        <v>2.14</v>
      </c>
      <c r="K221" s="17" t="str">
        <f t="shared" si="65"/>
        <v>I</v>
      </c>
      <c r="L221" s="215">
        <v>0</v>
      </c>
      <c r="M221" s="106">
        <v>0</v>
      </c>
      <c r="N221" s="117">
        <f t="shared" si="79"/>
        <v>2.14</v>
      </c>
      <c r="O221" s="40">
        <f t="shared" si="75"/>
        <v>0</v>
      </c>
      <c r="P221" s="211">
        <f t="shared" si="67"/>
        <v>0</v>
      </c>
      <c r="Q221" s="164">
        <f t="shared" si="76"/>
        <v>0</v>
      </c>
      <c r="R221" s="209">
        <f t="shared" si="70"/>
        <v>0</v>
      </c>
      <c r="U221" s="198"/>
      <c r="V221" s="198"/>
    </row>
    <row r="222" spans="1:24" s="41" customFormat="1" ht="15" customHeight="1" x14ac:dyDescent="0.2">
      <c r="A222" s="224">
        <v>602568</v>
      </c>
      <c r="B222" s="143" t="str">
        <f t="shared" si="66"/>
        <v>na</v>
      </c>
      <c r="C222" s="6" t="s">
        <v>1809</v>
      </c>
      <c r="D222" s="38"/>
      <c r="E222" s="38">
        <v>141967</v>
      </c>
      <c r="F222" s="39"/>
      <c r="G222" s="578" t="s">
        <v>1427</v>
      </c>
      <c r="H222" s="17" t="str">
        <f t="shared" si="72"/>
        <v>na</v>
      </c>
      <c r="I222" s="17">
        <f t="shared" si="73"/>
        <v>0</v>
      </c>
      <c r="J222" s="100">
        <f>$J$5*0.98</f>
        <v>2.0972</v>
      </c>
      <c r="K222" s="17">
        <f t="shared" si="65"/>
        <v>0</v>
      </c>
      <c r="L222" s="17">
        <f t="shared" ref="L222:L244" si="80">IF(K222="N",0,0.27)</f>
        <v>0.27</v>
      </c>
      <c r="M222" s="106">
        <v>0</v>
      </c>
      <c r="N222" s="117">
        <f t="shared" si="79"/>
        <v>1.8271999999999999</v>
      </c>
      <c r="O222" s="40" t="e">
        <f t="shared" si="75"/>
        <v>#VALUE!</v>
      </c>
      <c r="P222" s="211">
        <f t="shared" si="67"/>
        <v>0</v>
      </c>
      <c r="Q222" s="164">
        <f t="shared" si="76"/>
        <v>0</v>
      </c>
      <c r="R222" s="209">
        <f t="shared" si="70"/>
        <v>0</v>
      </c>
      <c r="U222" s="198"/>
      <c r="V222" s="198"/>
    </row>
    <row r="223" spans="1:24" s="41" customFormat="1" ht="15" customHeight="1" x14ac:dyDescent="0.2">
      <c r="A223" s="224">
        <v>602569</v>
      </c>
      <c r="B223" s="143" t="str">
        <f t="shared" si="66"/>
        <v>na</v>
      </c>
      <c r="C223" s="135" t="s">
        <v>1809</v>
      </c>
      <c r="D223" s="38"/>
      <c r="E223" s="38">
        <v>141967</v>
      </c>
      <c r="F223" s="39"/>
      <c r="G223" s="578" t="s">
        <v>1427</v>
      </c>
      <c r="H223" s="17" t="str">
        <f t="shared" si="72"/>
        <v>na</v>
      </c>
      <c r="I223" s="17">
        <f t="shared" si="73"/>
        <v>0</v>
      </c>
      <c r="J223" s="100">
        <f>$J$5*0.98</f>
        <v>2.0972</v>
      </c>
      <c r="K223" s="17">
        <f t="shared" si="65"/>
        <v>0</v>
      </c>
      <c r="L223" s="17">
        <f t="shared" si="80"/>
        <v>0.27</v>
      </c>
      <c r="M223" s="106">
        <v>0</v>
      </c>
      <c r="N223" s="117">
        <f t="shared" si="79"/>
        <v>1.8271999999999999</v>
      </c>
      <c r="O223" s="40" t="e">
        <f t="shared" si="75"/>
        <v>#VALUE!</v>
      </c>
      <c r="P223" s="211">
        <f t="shared" si="67"/>
        <v>0</v>
      </c>
      <c r="Q223" s="164">
        <f t="shared" si="76"/>
        <v>0</v>
      </c>
      <c r="R223" s="209">
        <f t="shared" si="70"/>
        <v>0</v>
      </c>
      <c r="U223" s="198"/>
      <c r="V223" s="198"/>
      <c r="W223" s="47"/>
      <c r="X223" s="47"/>
    </row>
    <row r="224" spans="1:24" s="41" customFormat="1" ht="15" customHeight="1" x14ac:dyDescent="0.2">
      <c r="A224" s="224">
        <v>722909</v>
      </c>
      <c r="B224" s="143" t="str">
        <f t="shared" si="66"/>
        <v>na</v>
      </c>
      <c r="C224" s="6" t="s">
        <v>1896</v>
      </c>
      <c r="D224" s="38"/>
      <c r="E224" s="8" t="s">
        <v>1289</v>
      </c>
      <c r="F224" s="39"/>
      <c r="G224" s="39" t="s">
        <v>1427</v>
      </c>
      <c r="H224" s="17" t="str">
        <f>IF(ISNA(VLOOKUP(A224,cgas9910,9,FALSE)),"na",VLOOKUP(A224,cgas9910,9,FALSE))</f>
        <v>na</v>
      </c>
      <c r="I224" s="17">
        <f>IF(ISNA(VLOOKUP(A224,cgas9910,10,FALSE)),0,(VLOOKUP(A224,cgas9910,10,FALSE)))</f>
        <v>0</v>
      </c>
      <c r="J224" s="100">
        <f>$J$5*0.98</f>
        <v>2.0972</v>
      </c>
      <c r="K224" s="17">
        <f>IF(ISNA(VLOOKUP(A224,cgas9910,7,FALSE)),0,(VLOOKUP(A224,cgas9910,7,FALSE)))</f>
        <v>0</v>
      </c>
      <c r="L224" s="17">
        <f t="shared" si="80"/>
        <v>0.27</v>
      </c>
      <c r="M224" s="106">
        <v>0</v>
      </c>
      <c r="N224" s="117">
        <f>J224-L224-M224</f>
        <v>1.8271999999999999</v>
      </c>
      <c r="O224" s="40" t="e">
        <f>+H224*0.001</f>
        <v>#VALUE!</v>
      </c>
      <c r="P224" s="211">
        <f>IF(AND(A224&gt;700000,A224&lt;800000),+I224*0.001,0)</f>
        <v>0</v>
      </c>
      <c r="Q224" s="164">
        <f>+N224*I224</f>
        <v>0</v>
      </c>
      <c r="R224" s="209">
        <f>+(I224*N224)-P224</f>
        <v>0</v>
      </c>
      <c r="U224" s="198"/>
      <c r="V224" s="198"/>
      <c r="W224" s="47"/>
      <c r="X224" s="47"/>
    </row>
    <row r="225" spans="1:24" s="41" customFormat="1" ht="15" customHeight="1" x14ac:dyDescent="0.2">
      <c r="A225" s="216">
        <v>734699</v>
      </c>
      <c r="B225" s="683" t="str">
        <f t="shared" si="66"/>
        <v>MURPHY OIL</v>
      </c>
      <c r="C225" s="6" t="s">
        <v>1896</v>
      </c>
      <c r="D225" s="768"/>
      <c r="E225" s="768">
        <v>712548</v>
      </c>
      <c r="F225" s="275"/>
      <c r="G225" s="275" t="s">
        <v>1424</v>
      </c>
      <c r="H225" s="176">
        <f t="shared" si="72"/>
        <v>0</v>
      </c>
      <c r="I225" s="176">
        <f t="shared" si="73"/>
        <v>0</v>
      </c>
      <c r="J225" s="645">
        <f>$J$5</f>
        <v>2.14</v>
      </c>
      <c r="K225" s="17" t="str">
        <f t="shared" si="65"/>
        <v>N</v>
      </c>
      <c r="L225" s="17">
        <f t="shared" si="80"/>
        <v>0</v>
      </c>
      <c r="M225" s="106">
        <v>0</v>
      </c>
      <c r="N225" s="117">
        <f t="shared" si="79"/>
        <v>2.14</v>
      </c>
      <c r="O225" s="40">
        <f t="shared" si="75"/>
        <v>0</v>
      </c>
      <c r="P225" s="211">
        <f t="shared" si="67"/>
        <v>0</v>
      </c>
      <c r="Q225" s="164">
        <f t="shared" si="76"/>
        <v>0</v>
      </c>
      <c r="R225" s="209">
        <f t="shared" si="70"/>
        <v>0</v>
      </c>
      <c r="U225" s="198"/>
      <c r="V225" s="198"/>
      <c r="W225" s="47"/>
      <c r="X225" s="47"/>
    </row>
    <row r="226" spans="1:24" s="41" customFormat="1" ht="15" customHeight="1" x14ac:dyDescent="0.2">
      <c r="A226" s="285">
        <v>722974</v>
      </c>
      <c r="B226" s="143" t="str">
        <f t="shared" si="66"/>
        <v>N &amp; N OIL COMPA</v>
      </c>
      <c r="C226" s="286" t="s">
        <v>388</v>
      </c>
      <c r="D226" s="286"/>
      <c r="E226" s="38" t="s">
        <v>389</v>
      </c>
      <c r="F226" s="285" t="s">
        <v>390</v>
      </c>
      <c r="G226" s="578" t="s">
        <v>1424</v>
      </c>
      <c r="H226" s="17">
        <f t="shared" si="72"/>
        <v>0</v>
      </c>
      <c r="I226" s="17">
        <f t="shared" si="73"/>
        <v>0</v>
      </c>
      <c r="J226" s="287">
        <f>$J$5</f>
        <v>2.14</v>
      </c>
      <c r="K226" s="17" t="str">
        <f t="shared" si="65"/>
        <v>N</v>
      </c>
      <c r="L226" s="17">
        <f t="shared" si="80"/>
        <v>0</v>
      </c>
      <c r="M226" s="288">
        <v>0</v>
      </c>
      <c r="N226" s="287">
        <f>+J226-L226-M226</f>
        <v>2.14</v>
      </c>
      <c r="O226" s="289">
        <f t="shared" si="75"/>
        <v>0</v>
      </c>
      <c r="P226" s="211">
        <f t="shared" si="67"/>
        <v>0</v>
      </c>
      <c r="Q226" s="290">
        <f t="shared" si="76"/>
        <v>0</v>
      </c>
      <c r="R226" s="209">
        <f t="shared" si="70"/>
        <v>0</v>
      </c>
      <c r="U226" s="288"/>
      <c r="V226" s="288"/>
    </row>
    <row r="227" spans="1:24" s="41" customFormat="1" ht="15" customHeight="1" x14ac:dyDescent="0.2">
      <c r="A227" s="224">
        <v>833556</v>
      </c>
      <c r="B227" s="143" t="str">
        <f t="shared" si="66"/>
        <v>NANAKI</v>
      </c>
      <c r="C227" s="6" t="s">
        <v>1750</v>
      </c>
      <c r="D227" s="38"/>
      <c r="E227" s="38">
        <v>214208</v>
      </c>
      <c r="F227" s="39"/>
      <c r="G227" s="578" t="s">
        <v>1427</v>
      </c>
      <c r="H227" s="17">
        <f t="shared" si="72"/>
        <v>0</v>
      </c>
      <c r="I227" s="17">
        <f t="shared" si="73"/>
        <v>0</v>
      </c>
      <c r="J227" s="100">
        <f>$J$5*0.98</f>
        <v>2.0972</v>
      </c>
      <c r="K227" s="17" t="str">
        <f t="shared" si="65"/>
        <v>N</v>
      </c>
      <c r="L227" s="17">
        <f t="shared" si="80"/>
        <v>0</v>
      </c>
      <c r="M227" s="106">
        <v>0</v>
      </c>
      <c r="N227" s="117">
        <f t="shared" ref="N227:N232" si="81">J227-L227-M227</f>
        <v>2.0972</v>
      </c>
      <c r="O227" s="40">
        <f t="shared" si="75"/>
        <v>0</v>
      </c>
      <c r="P227" s="211">
        <f t="shared" si="67"/>
        <v>0</v>
      </c>
      <c r="Q227" s="164">
        <f t="shared" si="76"/>
        <v>0</v>
      </c>
      <c r="R227" s="209">
        <f t="shared" si="70"/>
        <v>0</v>
      </c>
      <c r="S227" s="47"/>
      <c r="T227" s="47"/>
      <c r="U227" s="307"/>
      <c r="V227" s="307"/>
    </row>
    <row r="228" spans="1:24" s="41" customFormat="1" ht="15" customHeight="1" x14ac:dyDescent="0.2">
      <c r="A228" s="224">
        <v>729582</v>
      </c>
      <c r="B228" s="143" t="str">
        <f t="shared" si="66"/>
        <v>PAUL S FLEEMAN</v>
      </c>
      <c r="C228" s="6" t="s">
        <v>10</v>
      </c>
      <c r="D228" s="186" t="s">
        <v>1902</v>
      </c>
      <c r="E228" s="38">
        <v>141975</v>
      </c>
      <c r="F228" s="39"/>
      <c r="G228" s="578" t="s">
        <v>1423</v>
      </c>
      <c r="H228" s="17">
        <f t="shared" si="72"/>
        <v>0</v>
      </c>
      <c r="I228" s="17">
        <f t="shared" si="73"/>
        <v>0</v>
      </c>
      <c r="J228" s="100">
        <f>$J$5*0.99</f>
        <v>2.1186000000000003</v>
      </c>
      <c r="K228" s="17" t="str">
        <f t="shared" si="65"/>
        <v>N</v>
      </c>
      <c r="L228" s="17">
        <f t="shared" si="80"/>
        <v>0</v>
      </c>
      <c r="M228" s="106">
        <v>0</v>
      </c>
      <c r="N228" s="117">
        <f t="shared" si="81"/>
        <v>2.1186000000000003</v>
      </c>
      <c r="O228" s="40">
        <f t="shared" si="75"/>
        <v>0</v>
      </c>
      <c r="P228" s="211">
        <f t="shared" si="67"/>
        <v>0</v>
      </c>
      <c r="Q228" s="164">
        <f t="shared" si="76"/>
        <v>0</v>
      </c>
      <c r="R228" s="209">
        <f t="shared" si="70"/>
        <v>0</v>
      </c>
      <c r="U228" s="198"/>
      <c r="V228" s="198"/>
      <c r="W228" s="47"/>
      <c r="X228" s="47"/>
    </row>
    <row r="229" spans="1:24" s="41" customFormat="1" ht="15" customHeight="1" x14ac:dyDescent="0.2">
      <c r="A229" s="224">
        <v>732142</v>
      </c>
      <c r="B229" s="143" t="str">
        <f t="shared" si="66"/>
        <v>PAUL S FLEEMAN</v>
      </c>
      <c r="C229" s="6" t="s">
        <v>10</v>
      </c>
      <c r="D229" s="186" t="s">
        <v>1902</v>
      </c>
      <c r="E229" s="38">
        <v>141975</v>
      </c>
      <c r="F229" s="39"/>
      <c r="G229" s="578" t="s">
        <v>1423</v>
      </c>
      <c r="H229" s="17">
        <f t="shared" si="72"/>
        <v>0</v>
      </c>
      <c r="I229" s="17">
        <f t="shared" si="73"/>
        <v>0</v>
      </c>
      <c r="J229" s="100">
        <f>$J$5*0.99</f>
        <v>2.1186000000000003</v>
      </c>
      <c r="K229" s="17" t="str">
        <f t="shared" si="65"/>
        <v>N</v>
      </c>
      <c r="L229" s="17">
        <f t="shared" si="80"/>
        <v>0</v>
      </c>
      <c r="M229" s="106">
        <v>0</v>
      </c>
      <c r="N229" s="117">
        <f t="shared" si="81"/>
        <v>2.1186000000000003</v>
      </c>
      <c r="O229" s="40">
        <f t="shared" si="75"/>
        <v>0</v>
      </c>
      <c r="P229" s="211">
        <f t="shared" si="67"/>
        <v>0</v>
      </c>
      <c r="Q229" s="164">
        <f t="shared" si="76"/>
        <v>0</v>
      </c>
      <c r="R229" s="209">
        <f t="shared" si="70"/>
        <v>0</v>
      </c>
      <c r="U229" s="198"/>
      <c r="V229" s="198"/>
    </row>
    <row r="230" spans="1:24" s="41" customFormat="1" ht="15" customHeight="1" x14ac:dyDescent="0.2">
      <c r="A230" s="224">
        <v>634406</v>
      </c>
      <c r="B230" s="143" t="str">
        <f t="shared" si="66"/>
        <v>na</v>
      </c>
      <c r="C230" s="6" t="s">
        <v>1882</v>
      </c>
      <c r="D230" s="38"/>
      <c r="E230" s="38">
        <v>141167</v>
      </c>
      <c r="F230" s="39"/>
      <c r="G230" s="578" t="s">
        <v>1424</v>
      </c>
      <c r="H230" s="17" t="str">
        <f t="shared" ref="H230:H247" si="82">IF(ISNA(VLOOKUP(A230,cgas9910,9,FALSE)),"na",VLOOKUP(A230,cgas9910,9,FALSE))</f>
        <v>na</v>
      </c>
      <c r="I230" s="17">
        <f t="shared" ref="I230:I247" si="83">IF(ISNA(VLOOKUP(A230,cgas9910,10,FALSE)),0,(VLOOKUP(A230,cgas9910,10,FALSE)))</f>
        <v>0</v>
      </c>
      <c r="J230" s="100">
        <f>$J$5</f>
        <v>2.14</v>
      </c>
      <c r="K230" s="17">
        <f t="shared" si="65"/>
        <v>0</v>
      </c>
      <c r="L230" s="17">
        <f t="shared" si="80"/>
        <v>0.27</v>
      </c>
      <c r="M230" s="106">
        <v>0</v>
      </c>
      <c r="N230" s="117">
        <f t="shared" si="81"/>
        <v>1.87</v>
      </c>
      <c r="O230" s="40" t="e">
        <f t="shared" si="75"/>
        <v>#VALUE!</v>
      </c>
      <c r="P230" s="211">
        <f t="shared" si="67"/>
        <v>0</v>
      </c>
      <c r="Q230" s="164">
        <f t="shared" si="76"/>
        <v>0</v>
      </c>
      <c r="R230" s="209">
        <f t="shared" si="70"/>
        <v>0</v>
      </c>
      <c r="U230" s="198"/>
      <c r="V230" s="198"/>
    </row>
    <row r="231" spans="1:24" s="41" customFormat="1" ht="15" customHeight="1" x14ac:dyDescent="0.2">
      <c r="A231" s="224">
        <v>634407</v>
      </c>
      <c r="B231" s="143" t="str">
        <f t="shared" si="66"/>
        <v>na</v>
      </c>
      <c r="C231" s="6" t="s">
        <v>1882</v>
      </c>
      <c r="D231" s="38"/>
      <c r="E231" s="38">
        <v>141167</v>
      </c>
      <c r="F231" s="39"/>
      <c r="G231" s="578" t="s">
        <v>1424</v>
      </c>
      <c r="H231" s="17" t="str">
        <f t="shared" si="82"/>
        <v>na</v>
      </c>
      <c r="I231" s="17">
        <f t="shared" si="83"/>
        <v>0</v>
      </c>
      <c r="J231" s="100">
        <f>$J$5</f>
        <v>2.14</v>
      </c>
      <c r="K231" s="17">
        <f t="shared" si="65"/>
        <v>0</v>
      </c>
      <c r="L231" s="17">
        <f t="shared" si="80"/>
        <v>0.27</v>
      </c>
      <c r="M231" s="106">
        <v>0</v>
      </c>
      <c r="N231" s="117">
        <f t="shared" si="81"/>
        <v>1.87</v>
      </c>
      <c r="O231" s="40" t="e">
        <f t="shared" si="75"/>
        <v>#VALUE!</v>
      </c>
      <c r="P231" s="211">
        <f t="shared" si="67"/>
        <v>0</v>
      </c>
      <c r="Q231" s="164">
        <f t="shared" si="76"/>
        <v>0</v>
      </c>
      <c r="R231" s="209">
        <f t="shared" si="70"/>
        <v>0</v>
      </c>
      <c r="U231" s="198"/>
      <c r="V231" s="198"/>
    </row>
    <row r="232" spans="1:24" s="41" customFormat="1" ht="15" customHeight="1" x14ac:dyDescent="0.2">
      <c r="A232" s="224">
        <v>635195</v>
      </c>
      <c r="B232" s="143" t="str">
        <f t="shared" si="66"/>
        <v>na</v>
      </c>
      <c r="C232" s="6" t="s">
        <v>1882</v>
      </c>
      <c r="D232" s="38"/>
      <c r="E232" s="38">
        <v>141167</v>
      </c>
      <c r="F232" s="39"/>
      <c r="G232" s="578" t="s">
        <v>1424</v>
      </c>
      <c r="H232" s="17" t="str">
        <f t="shared" si="82"/>
        <v>na</v>
      </c>
      <c r="I232" s="17">
        <f t="shared" si="83"/>
        <v>0</v>
      </c>
      <c r="J232" s="100">
        <f>$J$5</f>
        <v>2.14</v>
      </c>
      <c r="K232" s="17">
        <f t="shared" si="65"/>
        <v>0</v>
      </c>
      <c r="L232" s="17">
        <f t="shared" si="80"/>
        <v>0.27</v>
      </c>
      <c r="M232" s="106">
        <v>0</v>
      </c>
      <c r="N232" s="117">
        <f t="shared" si="81"/>
        <v>1.87</v>
      </c>
      <c r="O232" s="40" t="e">
        <f t="shared" si="75"/>
        <v>#VALUE!</v>
      </c>
      <c r="P232" s="211">
        <f t="shared" si="67"/>
        <v>0</v>
      </c>
      <c r="Q232" s="164">
        <f t="shared" si="76"/>
        <v>0</v>
      </c>
      <c r="R232" s="209">
        <f t="shared" si="70"/>
        <v>0</v>
      </c>
      <c r="U232" s="198"/>
      <c r="V232" s="198"/>
      <c r="W232" s="47"/>
      <c r="X232" s="47"/>
    </row>
    <row r="233" spans="1:24" s="41" customFormat="1" ht="15" customHeight="1" x14ac:dyDescent="0.2">
      <c r="A233" s="285">
        <v>734289</v>
      </c>
      <c r="B233" s="143" t="str">
        <f t="shared" si="66"/>
        <v>NORTHWOOD ENERG</v>
      </c>
      <c r="C233" s="286" t="s">
        <v>391</v>
      </c>
      <c r="D233" s="286"/>
      <c r="E233" s="38" t="s">
        <v>392</v>
      </c>
      <c r="F233" s="285" t="s">
        <v>393</v>
      </c>
      <c r="G233" s="285" t="s">
        <v>394</v>
      </c>
      <c r="H233" s="17">
        <f t="shared" si="82"/>
        <v>0</v>
      </c>
      <c r="I233" s="17">
        <f t="shared" si="83"/>
        <v>0</v>
      </c>
      <c r="J233" s="287">
        <f>$J$5-0.03</f>
        <v>2.1100000000000003</v>
      </c>
      <c r="K233" s="17" t="str">
        <f t="shared" si="65"/>
        <v>N</v>
      </c>
      <c r="L233" s="17">
        <f t="shared" si="80"/>
        <v>0</v>
      </c>
      <c r="M233" s="288">
        <v>0</v>
      </c>
      <c r="N233" s="287">
        <f>+J233-L233-M233</f>
        <v>2.1100000000000003</v>
      </c>
      <c r="O233" s="289">
        <f t="shared" si="75"/>
        <v>0</v>
      </c>
      <c r="P233" s="211">
        <f t="shared" si="67"/>
        <v>0</v>
      </c>
      <c r="Q233" s="290">
        <f t="shared" si="76"/>
        <v>0</v>
      </c>
      <c r="R233" s="209">
        <f t="shared" si="70"/>
        <v>0</v>
      </c>
      <c r="U233" s="288"/>
      <c r="V233" s="288"/>
      <c r="W233" s="47"/>
      <c r="X233" s="47"/>
    </row>
    <row r="234" spans="1:24" s="41" customFormat="1" ht="15" customHeight="1" x14ac:dyDescent="0.2">
      <c r="A234" s="285">
        <v>718209</v>
      </c>
      <c r="B234" s="143" t="str">
        <f t="shared" si="66"/>
        <v>GREAT LAKES ENE</v>
      </c>
      <c r="C234" s="286" t="s">
        <v>395</v>
      </c>
      <c r="D234" s="286"/>
      <c r="E234" s="38">
        <v>65740</v>
      </c>
      <c r="F234" s="285" t="s">
        <v>393</v>
      </c>
      <c r="G234" s="285" t="s">
        <v>394</v>
      </c>
      <c r="H234" s="17">
        <f t="shared" si="82"/>
        <v>0</v>
      </c>
      <c r="I234" s="17">
        <f t="shared" si="83"/>
        <v>0</v>
      </c>
      <c r="J234" s="287">
        <f>$J$5-0.03</f>
        <v>2.1100000000000003</v>
      </c>
      <c r="K234" s="17" t="str">
        <f t="shared" si="65"/>
        <v>N</v>
      </c>
      <c r="L234" s="17">
        <f t="shared" si="80"/>
        <v>0</v>
      </c>
      <c r="M234" s="288">
        <v>0</v>
      </c>
      <c r="N234" s="287">
        <f>+J234-L234-M234</f>
        <v>2.1100000000000003</v>
      </c>
      <c r="O234" s="289">
        <f t="shared" si="75"/>
        <v>0</v>
      </c>
      <c r="P234" s="211">
        <f t="shared" si="67"/>
        <v>0</v>
      </c>
      <c r="Q234" s="290">
        <f t="shared" si="76"/>
        <v>0</v>
      </c>
      <c r="R234" s="209">
        <f t="shared" si="70"/>
        <v>0</v>
      </c>
      <c r="U234" s="288"/>
      <c r="V234" s="288"/>
      <c r="W234" s="47"/>
      <c r="X234" s="47"/>
    </row>
    <row r="235" spans="1:24" s="41" customFormat="1" ht="15" customHeight="1" x14ac:dyDescent="0.2">
      <c r="A235" s="293">
        <v>618741</v>
      </c>
      <c r="B235" s="143" t="str">
        <f t="shared" si="66"/>
        <v>OBRIEN  NANCY</v>
      </c>
      <c r="C235" s="286" t="s">
        <v>396</v>
      </c>
      <c r="D235" s="294"/>
      <c r="E235" s="295" t="s">
        <v>397</v>
      </c>
      <c r="F235" s="293" t="s">
        <v>398</v>
      </c>
      <c r="G235" s="293" t="s">
        <v>399</v>
      </c>
      <c r="H235" s="17">
        <f t="shared" si="82"/>
        <v>0</v>
      </c>
      <c r="I235" s="17">
        <f t="shared" si="83"/>
        <v>0</v>
      </c>
      <c r="J235" s="287">
        <f>$J$5-0.08</f>
        <v>2.06</v>
      </c>
      <c r="K235" s="17" t="str">
        <f t="shared" si="65"/>
        <v>N</v>
      </c>
      <c r="L235" s="17">
        <f t="shared" si="80"/>
        <v>0</v>
      </c>
      <c r="M235" s="288">
        <v>0</v>
      </c>
      <c r="N235" s="287">
        <f>+J235-L235-M235</f>
        <v>2.06</v>
      </c>
      <c r="O235" s="289">
        <f t="shared" ref="O235:O247" si="84">+H235*0.001</f>
        <v>0</v>
      </c>
      <c r="P235" s="211">
        <f t="shared" si="67"/>
        <v>0</v>
      </c>
      <c r="Q235" s="290">
        <f t="shared" ref="Q235:Q267" si="85">+N235*I235</f>
        <v>0</v>
      </c>
      <c r="R235" s="209">
        <f t="shared" si="70"/>
        <v>0</v>
      </c>
      <c r="U235" s="288"/>
      <c r="V235" s="288"/>
    </row>
    <row r="236" spans="1:24" s="41" customFormat="1" ht="15" customHeight="1" x14ac:dyDescent="0.2">
      <c r="A236" s="224">
        <v>627342</v>
      </c>
      <c r="B236" s="143" t="str">
        <f t="shared" si="66"/>
        <v>G &amp; G GAS INC</v>
      </c>
      <c r="C236" s="6" t="s">
        <v>2325</v>
      </c>
      <c r="D236" s="6" t="s">
        <v>2325</v>
      </c>
      <c r="E236" s="38">
        <v>140934</v>
      </c>
      <c r="F236" s="39"/>
      <c r="G236" s="578" t="s">
        <v>1424</v>
      </c>
      <c r="H236" s="17">
        <f t="shared" si="82"/>
        <v>0</v>
      </c>
      <c r="I236" s="17">
        <f t="shared" si="83"/>
        <v>145</v>
      </c>
      <c r="J236" s="100">
        <f>$J$5</f>
        <v>2.14</v>
      </c>
      <c r="K236" s="17" t="str">
        <f t="shared" si="65"/>
        <v>N</v>
      </c>
      <c r="L236" s="17">
        <f t="shared" si="80"/>
        <v>0</v>
      </c>
      <c r="M236" s="106">
        <v>0</v>
      </c>
      <c r="N236" s="117">
        <f>J236-L236-M236</f>
        <v>2.14</v>
      </c>
      <c r="O236" s="40">
        <f t="shared" si="84"/>
        <v>0</v>
      </c>
      <c r="P236" s="211">
        <f t="shared" si="67"/>
        <v>0</v>
      </c>
      <c r="Q236" s="164">
        <f t="shared" si="85"/>
        <v>310.3</v>
      </c>
      <c r="R236" s="209">
        <f t="shared" si="70"/>
        <v>310.3</v>
      </c>
      <c r="U236" s="198"/>
      <c r="V236" s="198"/>
    </row>
    <row r="237" spans="1:24" s="47" customFormat="1" ht="15" customHeight="1" x14ac:dyDescent="0.2">
      <c r="A237" s="224">
        <v>713258</v>
      </c>
      <c r="B237" s="143" t="str">
        <f t="shared" si="66"/>
        <v>JOHN WILLIAMS O</v>
      </c>
      <c r="C237" s="6" t="s">
        <v>2320</v>
      </c>
      <c r="D237" s="186" t="s">
        <v>1885</v>
      </c>
      <c r="E237" s="38">
        <v>141976</v>
      </c>
      <c r="F237" s="39"/>
      <c r="G237" s="578" t="s">
        <v>1427</v>
      </c>
      <c r="H237" s="17">
        <f t="shared" si="82"/>
        <v>0</v>
      </c>
      <c r="I237" s="17">
        <f t="shared" si="83"/>
        <v>0</v>
      </c>
      <c r="J237" s="100">
        <f>$J$5*0.98</f>
        <v>2.0972</v>
      </c>
      <c r="K237" s="17" t="str">
        <f t="shared" ref="K237:K311" si="86">IF(ISNA(VLOOKUP(A237,cgas9910,7,FALSE)),0,(VLOOKUP(A237,cgas9910,7,FALSE)))</f>
        <v>N</v>
      </c>
      <c r="L237" s="17">
        <f t="shared" si="80"/>
        <v>0</v>
      </c>
      <c r="M237" s="106">
        <v>0</v>
      </c>
      <c r="N237" s="117">
        <f>J237-L237-M237</f>
        <v>2.0972</v>
      </c>
      <c r="O237" s="40">
        <f t="shared" si="84"/>
        <v>0</v>
      </c>
      <c r="P237" s="211">
        <f t="shared" si="67"/>
        <v>0</v>
      </c>
      <c r="Q237" s="164">
        <f t="shared" si="85"/>
        <v>0</v>
      </c>
      <c r="R237" s="209">
        <f t="shared" si="70"/>
        <v>0</v>
      </c>
      <c r="S237" s="41"/>
      <c r="T237" s="41"/>
      <c r="U237" s="198"/>
      <c r="V237" s="198"/>
      <c r="W237" s="41"/>
      <c r="X237" s="41"/>
    </row>
    <row r="238" spans="1:24" s="47" customFormat="1" ht="15" customHeight="1" x14ac:dyDescent="0.2">
      <c r="A238" s="224">
        <v>735116</v>
      </c>
      <c r="B238" s="143" t="str">
        <f t="shared" si="66"/>
        <v>na</v>
      </c>
      <c r="C238" s="6" t="s">
        <v>1912</v>
      </c>
      <c r="D238" s="272"/>
      <c r="E238" s="272">
        <v>220065</v>
      </c>
      <c r="F238" s="44"/>
      <c r="G238" s="275" t="s">
        <v>1424</v>
      </c>
      <c r="H238" s="17" t="str">
        <f t="shared" si="82"/>
        <v>na</v>
      </c>
      <c r="I238" s="17">
        <f t="shared" si="83"/>
        <v>0</v>
      </c>
      <c r="J238" s="776">
        <f>$J$5</f>
        <v>2.14</v>
      </c>
      <c r="K238" s="17">
        <f t="shared" si="86"/>
        <v>0</v>
      </c>
      <c r="L238" s="17">
        <f t="shared" si="80"/>
        <v>0.27</v>
      </c>
      <c r="M238" s="106">
        <v>0</v>
      </c>
      <c r="N238" s="117">
        <f>J238-L238-M238</f>
        <v>1.87</v>
      </c>
      <c r="O238" s="40" t="e">
        <f t="shared" si="84"/>
        <v>#VALUE!</v>
      </c>
      <c r="P238" s="211">
        <f t="shared" si="67"/>
        <v>0</v>
      </c>
      <c r="Q238" s="164">
        <f t="shared" si="85"/>
        <v>0</v>
      </c>
      <c r="R238" s="209">
        <f t="shared" si="70"/>
        <v>0</v>
      </c>
      <c r="S238" s="41"/>
      <c r="T238" s="41"/>
      <c r="U238" s="198"/>
      <c r="V238" s="198"/>
      <c r="W238" s="41"/>
      <c r="X238" s="41"/>
    </row>
    <row r="239" spans="1:24" s="41" customFormat="1" ht="15" customHeight="1" x14ac:dyDescent="0.2">
      <c r="A239" s="285">
        <v>729769</v>
      </c>
      <c r="B239" s="143" t="str">
        <f t="shared" si="66"/>
        <v>na</v>
      </c>
      <c r="C239" s="6" t="s">
        <v>1074</v>
      </c>
      <c r="D239" s="286"/>
      <c r="E239" s="38" t="s">
        <v>401</v>
      </c>
      <c r="F239" s="285" t="s">
        <v>402</v>
      </c>
      <c r="G239" s="39" t="s">
        <v>1424</v>
      </c>
      <c r="H239" s="17" t="str">
        <f t="shared" si="82"/>
        <v>na</v>
      </c>
      <c r="I239" s="17">
        <f t="shared" si="83"/>
        <v>0</v>
      </c>
      <c r="J239" s="100">
        <f>$J$5</f>
        <v>2.14</v>
      </c>
      <c r="K239" s="17">
        <f t="shared" si="86"/>
        <v>0</v>
      </c>
      <c r="L239" s="17">
        <f t="shared" si="80"/>
        <v>0.27</v>
      </c>
      <c r="M239" s="288">
        <v>0</v>
      </c>
      <c r="N239" s="287">
        <f>+J239-L239-M239</f>
        <v>1.87</v>
      </c>
      <c r="O239" s="289" t="e">
        <f t="shared" si="84"/>
        <v>#VALUE!</v>
      </c>
      <c r="P239" s="211">
        <f t="shared" si="67"/>
        <v>0</v>
      </c>
      <c r="Q239" s="290">
        <f t="shared" si="85"/>
        <v>0</v>
      </c>
      <c r="R239" s="209">
        <f t="shared" si="70"/>
        <v>0</v>
      </c>
      <c r="S239" s="47"/>
      <c r="T239" s="47"/>
      <c r="U239" s="288"/>
      <c r="V239" s="288"/>
    </row>
    <row r="240" spans="1:24" s="41" customFormat="1" ht="15" customHeight="1" x14ac:dyDescent="0.2">
      <c r="A240" s="285">
        <v>710961</v>
      </c>
      <c r="B240" s="143" t="str">
        <f t="shared" si="66"/>
        <v>W H PATTEN DRLG</v>
      </c>
      <c r="C240" s="286" t="s">
        <v>400</v>
      </c>
      <c r="D240" s="286"/>
      <c r="E240" s="38" t="s">
        <v>401</v>
      </c>
      <c r="F240" s="285" t="s">
        <v>402</v>
      </c>
      <c r="G240" s="285" t="s">
        <v>273</v>
      </c>
      <c r="H240" s="17">
        <f t="shared" si="82"/>
        <v>0</v>
      </c>
      <c r="I240" s="17">
        <f t="shared" si="83"/>
        <v>0</v>
      </c>
      <c r="J240" s="287">
        <f>$J$4*0.95</f>
        <v>2.0044999999999997</v>
      </c>
      <c r="K240" s="17" t="str">
        <f t="shared" si="86"/>
        <v>I</v>
      </c>
      <c r="L240" s="17">
        <f t="shared" si="80"/>
        <v>0.27</v>
      </c>
      <c r="M240" s="288">
        <v>0</v>
      </c>
      <c r="N240" s="287">
        <f>+J240-L240-M240</f>
        <v>1.7344999999999997</v>
      </c>
      <c r="O240" s="289">
        <f t="shared" si="84"/>
        <v>0</v>
      </c>
      <c r="P240" s="211">
        <f t="shared" si="67"/>
        <v>0</v>
      </c>
      <c r="Q240" s="290">
        <f t="shared" si="85"/>
        <v>0</v>
      </c>
      <c r="R240" s="209">
        <f t="shared" si="70"/>
        <v>0</v>
      </c>
      <c r="S240" s="47"/>
      <c r="T240" s="47"/>
      <c r="U240" s="288"/>
      <c r="V240" s="288"/>
    </row>
    <row r="241" spans="1:24" s="41" customFormat="1" ht="15" customHeight="1" x14ac:dyDescent="0.2">
      <c r="A241" s="224">
        <v>821590</v>
      </c>
      <c r="B241" s="143" t="str">
        <f t="shared" si="66"/>
        <v>JOSEPH E PAULEY</v>
      </c>
      <c r="C241" s="6" t="s">
        <v>1637</v>
      </c>
      <c r="D241" s="38"/>
      <c r="E241" s="38">
        <v>166864</v>
      </c>
      <c r="F241" s="39"/>
      <c r="G241" s="578" t="s">
        <v>1427</v>
      </c>
      <c r="H241" s="17">
        <f t="shared" si="82"/>
        <v>0</v>
      </c>
      <c r="I241" s="17">
        <f t="shared" si="83"/>
        <v>0</v>
      </c>
      <c r="J241" s="100">
        <f>$J$5*0.98</f>
        <v>2.0972</v>
      </c>
      <c r="K241" s="17" t="str">
        <f t="shared" si="86"/>
        <v>N</v>
      </c>
      <c r="L241" s="17">
        <f t="shared" si="80"/>
        <v>0</v>
      </c>
      <c r="M241" s="106">
        <v>0</v>
      </c>
      <c r="N241" s="117">
        <f>J241-L241-M241</f>
        <v>2.0972</v>
      </c>
      <c r="O241" s="40">
        <f t="shared" si="84"/>
        <v>0</v>
      </c>
      <c r="P241" s="211">
        <f t="shared" si="67"/>
        <v>0</v>
      </c>
      <c r="Q241" s="164">
        <f t="shared" si="85"/>
        <v>0</v>
      </c>
      <c r="R241" s="209">
        <f t="shared" si="70"/>
        <v>0</v>
      </c>
    </row>
    <row r="242" spans="1:24" s="41" customFormat="1" ht="15" customHeight="1" x14ac:dyDescent="0.2">
      <c r="A242" s="224">
        <v>828516</v>
      </c>
      <c r="B242" s="143" t="str">
        <f t="shared" si="66"/>
        <v>JOSEPH E PAULEY</v>
      </c>
      <c r="C242" s="6" t="s">
        <v>1637</v>
      </c>
      <c r="D242" s="38"/>
      <c r="E242" s="38">
        <v>166864</v>
      </c>
      <c r="F242" s="39"/>
      <c r="G242" s="578" t="s">
        <v>1427</v>
      </c>
      <c r="H242" s="17">
        <f t="shared" si="82"/>
        <v>0</v>
      </c>
      <c r="I242" s="17">
        <f t="shared" si="83"/>
        <v>0</v>
      </c>
      <c r="J242" s="100">
        <f>$J$5*0.98</f>
        <v>2.0972</v>
      </c>
      <c r="K242" s="17" t="str">
        <f t="shared" si="86"/>
        <v>N</v>
      </c>
      <c r="L242" s="17">
        <f t="shared" si="80"/>
        <v>0</v>
      </c>
      <c r="M242" s="106">
        <v>0</v>
      </c>
      <c r="N242" s="117">
        <f>J242-L242-M242</f>
        <v>2.0972</v>
      </c>
      <c r="O242" s="40">
        <f t="shared" si="84"/>
        <v>0</v>
      </c>
      <c r="P242" s="211">
        <f t="shared" si="67"/>
        <v>0</v>
      </c>
      <c r="Q242" s="164">
        <f t="shared" si="85"/>
        <v>0</v>
      </c>
      <c r="R242" s="209">
        <f t="shared" si="70"/>
        <v>0</v>
      </c>
    </row>
    <row r="243" spans="1:24" s="41" customFormat="1" ht="15" customHeight="1" x14ac:dyDescent="0.2">
      <c r="A243" s="300">
        <v>806321</v>
      </c>
      <c r="B243" s="143" t="str">
        <f t="shared" si="66"/>
        <v>P &amp; C O&amp;G INC</v>
      </c>
      <c r="C243" s="286" t="s">
        <v>403</v>
      </c>
      <c r="D243" s="301"/>
      <c r="E243" s="302" t="s">
        <v>404</v>
      </c>
      <c r="F243" s="300" t="s">
        <v>405</v>
      </c>
      <c r="G243" s="300" t="s">
        <v>273</v>
      </c>
      <c r="H243" s="17">
        <f t="shared" si="82"/>
        <v>0</v>
      </c>
      <c r="I243" s="17">
        <f t="shared" si="83"/>
        <v>0</v>
      </c>
      <c r="J243" s="287">
        <f>$J$4*0.95</f>
        <v>2.0044999999999997</v>
      </c>
      <c r="K243" s="17" t="str">
        <f t="shared" si="86"/>
        <v>I</v>
      </c>
      <c r="L243" s="17">
        <f t="shared" si="80"/>
        <v>0.27</v>
      </c>
      <c r="M243" s="288">
        <v>0.06</v>
      </c>
      <c r="N243" s="287">
        <f>+J243-L243-M243</f>
        <v>1.6744999999999997</v>
      </c>
      <c r="O243" s="289">
        <f t="shared" si="84"/>
        <v>0</v>
      </c>
      <c r="P243" s="211">
        <f t="shared" si="67"/>
        <v>0</v>
      </c>
      <c r="Q243" s="290">
        <f t="shared" si="85"/>
        <v>0</v>
      </c>
      <c r="R243" s="209">
        <f t="shared" si="70"/>
        <v>0</v>
      </c>
      <c r="U243" s="288"/>
      <c r="V243" s="288"/>
    </row>
    <row r="244" spans="1:24" s="41" customFormat="1" ht="15" customHeight="1" x14ac:dyDescent="0.2">
      <c r="A244" s="224">
        <v>830180</v>
      </c>
      <c r="B244" s="143" t="str">
        <f t="shared" si="66"/>
        <v>na</v>
      </c>
      <c r="C244" s="6" t="s">
        <v>1915</v>
      </c>
      <c r="D244" s="38"/>
      <c r="E244" s="38"/>
      <c r="F244" s="39"/>
      <c r="G244" s="171" t="s">
        <v>1424</v>
      </c>
      <c r="H244" s="17" t="str">
        <f t="shared" si="82"/>
        <v>na</v>
      </c>
      <c r="I244" s="17">
        <f t="shared" si="83"/>
        <v>0</v>
      </c>
      <c r="J244" s="100">
        <f>$J$5</f>
        <v>2.14</v>
      </c>
      <c r="K244" s="17">
        <f t="shared" si="86"/>
        <v>0</v>
      </c>
      <c r="L244" s="17">
        <f t="shared" si="80"/>
        <v>0.27</v>
      </c>
      <c r="M244" s="106">
        <v>0</v>
      </c>
      <c r="N244" s="117">
        <f>J244-L244-M244</f>
        <v>1.87</v>
      </c>
      <c r="O244" s="40" t="e">
        <f t="shared" si="84"/>
        <v>#VALUE!</v>
      </c>
      <c r="P244" s="211">
        <f t="shared" si="67"/>
        <v>0</v>
      </c>
      <c r="Q244" s="164">
        <f t="shared" si="85"/>
        <v>0</v>
      </c>
      <c r="R244" s="209">
        <f t="shared" si="70"/>
        <v>0</v>
      </c>
      <c r="U244" s="198"/>
      <c r="V244" s="198"/>
    </row>
    <row r="245" spans="1:24" s="41" customFormat="1" ht="15" customHeight="1" x14ac:dyDescent="0.2">
      <c r="A245" s="224">
        <v>734857</v>
      </c>
      <c r="B245" s="143" t="str">
        <f t="shared" si="66"/>
        <v>COBRA O&amp;G CORP</v>
      </c>
      <c r="C245" s="6" t="s">
        <v>1390</v>
      </c>
      <c r="D245" s="186" t="s">
        <v>1910</v>
      </c>
      <c r="E245" s="38">
        <v>164497</v>
      </c>
      <c r="F245" s="275" t="s">
        <v>1385</v>
      </c>
      <c r="G245" s="39" t="s">
        <v>1424</v>
      </c>
      <c r="H245" s="17">
        <f t="shared" si="82"/>
        <v>0</v>
      </c>
      <c r="I245" s="17">
        <f t="shared" si="83"/>
        <v>0</v>
      </c>
      <c r="J245" s="100">
        <f>$J$5</f>
        <v>2.14</v>
      </c>
      <c r="K245" s="17" t="str">
        <f t="shared" si="86"/>
        <v>N</v>
      </c>
      <c r="L245" s="215">
        <v>0.27</v>
      </c>
      <c r="M245" s="106">
        <v>0</v>
      </c>
      <c r="N245" s="117">
        <f>J245-L245-M245</f>
        <v>1.87</v>
      </c>
      <c r="O245" s="40">
        <f t="shared" si="84"/>
        <v>0</v>
      </c>
      <c r="P245" s="211">
        <f t="shared" si="67"/>
        <v>0</v>
      </c>
      <c r="Q245" s="164">
        <f t="shared" si="85"/>
        <v>0</v>
      </c>
      <c r="R245" s="209">
        <f t="shared" si="70"/>
        <v>0</v>
      </c>
      <c r="U245" s="198"/>
      <c r="V245" s="198"/>
    </row>
    <row r="246" spans="1:24" s="41" customFormat="1" ht="15" customHeight="1" x14ac:dyDescent="0.2">
      <c r="A246" s="285">
        <v>723696</v>
      </c>
      <c r="B246" s="143" t="str">
        <f t="shared" si="66"/>
        <v>na</v>
      </c>
      <c r="C246" s="286" t="s">
        <v>410</v>
      </c>
      <c r="D246" s="286"/>
      <c r="E246" s="38" t="s">
        <v>411</v>
      </c>
      <c r="F246" s="285" t="s">
        <v>415</v>
      </c>
      <c r="G246" s="285" t="s">
        <v>416</v>
      </c>
      <c r="H246" s="17" t="str">
        <f t="shared" si="82"/>
        <v>na</v>
      </c>
      <c r="I246" s="17">
        <f t="shared" si="83"/>
        <v>0</v>
      </c>
      <c r="J246" s="287">
        <f>$J$4*0.99</f>
        <v>2.0888999999999998</v>
      </c>
      <c r="K246" s="17">
        <f t="shared" si="86"/>
        <v>0</v>
      </c>
      <c r="L246" s="17">
        <f t="shared" ref="L246:L303" si="87">IF(K246="N",0,0.27)</f>
        <v>0.27</v>
      </c>
      <c r="M246" s="288">
        <v>0</v>
      </c>
      <c r="N246" s="287">
        <f t="shared" ref="N246:N258" si="88">+J246-L246-M246</f>
        <v>1.8188999999999997</v>
      </c>
      <c r="O246" s="289" t="e">
        <f t="shared" si="84"/>
        <v>#VALUE!</v>
      </c>
      <c r="P246" s="211">
        <f t="shared" ref="P246:P311" si="89">IF(AND(A246&gt;700000,A246&lt;800000),+I246*0.001,0)</f>
        <v>0</v>
      </c>
      <c r="Q246" s="290">
        <f t="shared" si="85"/>
        <v>0</v>
      </c>
      <c r="R246" s="209">
        <f t="shared" si="70"/>
        <v>0</v>
      </c>
      <c r="U246" s="288"/>
      <c r="V246" s="288"/>
    </row>
    <row r="247" spans="1:24" s="41" customFormat="1" ht="15" customHeight="1" x14ac:dyDescent="0.2">
      <c r="A247" s="285">
        <v>725869</v>
      </c>
      <c r="B247" s="143" t="str">
        <f t="shared" ref="B247:B324" si="90">IF(ISNA(VLOOKUP(A247,cgas9910,3,FALSE)),"na",VLOOKUP(A247,cgas9910,3,FALSE))</f>
        <v>na</v>
      </c>
      <c r="C247" s="286" t="s">
        <v>417</v>
      </c>
      <c r="D247" s="286"/>
      <c r="E247" s="38" t="s">
        <v>411</v>
      </c>
      <c r="F247" s="285" t="s">
        <v>415</v>
      </c>
      <c r="G247" s="285" t="s">
        <v>416</v>
      </c>
      <c r="H247" s="17" t="str">
        <f t="shared" si="82"/>
        <v>na</v>
      </c>
      <c r="I247" s="17">
        <f t="shared" si="83"/>
        <v>0</v>
      </c>
      <c r="J247" s="287">
        <f>$J$4*0.99</f>
        <v>2.0888999999999998</v>
      </c>
      <c r="K247" s="17">
        <f t="shared" si="86"/>
        <v>0</v>
      </c>
      <c r="L247" s="17">
        <f t="shared" si="87"/>
        <v>0.27</v>
      </c>
      <c r="M247" s="288">
        <v>0</v>
      </c>
      <c r="N247" s="287">
        <f t="shared" si="88"/>
        <v>1.8188999999999997</v>
      </c>
      <c r="O247" s="289" t="e">
        <f t="shared" si="84"/>
        <v>#VALUE!</v>
      </c>
      <c r="P247" s="211">
        <f t="shared" si="89"/>
        <v>0</v>
      </c>
      <c r="Q247" s="290">
        <f t="shared" si="85"/>
        <v>0</v>
      </c>
      <c r="R247" s="209">
        <f t="shared" si="70"/>
        <v>0</v>
      </c>
      <c r="S247" s="47"/>
      <c r="T247" s="47"/>
      <c r="U247" s="288"/>
      <c r="V247" s="288"/>
    </row>
    <row r="248" spans="1:24" s="41" customFormat="1" ht="15" customHeight="1" x14ac:dyDescent="0.2">
      <c r="A248" s="653" t="s">
        <v>1289</v>
      </c>
      <c r="B248" s="392" t="str">
        <f t="shared" si="90"/>
        <v>na</v>
      </c>
      <c r="C248" s="286" t="s">
        <v>418</v>
      </c>
      <c r="D248" s="657"/>
      <c r="E248" s="658" t="s">
        <v>419</v>
      </c>
      <c r="F248" s="653" t="s">
        <v>420</v>
      </c>
      <c r="G248" s="653" t="s">
        <v>421</v>
      </c>
      <c r="H248" s="278">
        <v>290</v>
      </c>
      <c r="I248" s="278">
        <v>340</v>
      </c>
      <c r="J248" s="652">
        <f>$J$5*0.96</f>
        <v>2.0544000000000002</v>
      </c>
      <c r="K248" s="278">
        <f t="shared" si="86"/>
        <v>0</v>
      </c>
      <c r="L248" s="278">
        <v>0</v>
      </c>
      <c r="M248" s="303">
        <v>0</v>
      </c>
      <c r="N248" s="652">
        <f t="shared" si="88"/>
        <v>2.0544000000000002</v>
      </c>
      <c r="O248" s="659">
        <f t="shared" ref="O248:O266" si="91">+H248*0.001</f>
        <v>0.28999999999999998</v>
      </c>
      <c r="P248" s="660">
        <f t="shared" si="89"/>
        <v>0</v>
      </c>
      <c r="Q248" s="661">
        <f t="shared" si="85"/>
        <v>698.49600000000009</v>
      </c>
      <c r="R248" s="221">
        <f t="shared" si="70"/>
        <v>698.49600000000009</v>
      </c>
      <c r="U248" s="303"/>
      <c r="V248" s="303"/>
    </row>
    <row r="249" spans="1:24" s="41" customFormat="1" ht="15" customHeight="1" x14ac:dyDescent="0.2">
      <c r="A249" s="285">
        <v>704579</v>
      </c>
      <c r="B249" s="143" t="str">
        <f t="shared" si="90"/>
        <v>na</v>
      </c>
      <c r="C249" s="286" t="s">
        <v>422</v>
      </c>
      <c r="D249" s="286"/>
      <c r="E249" s="38">
        <v>67001</v>
      </c>
      <c r="F249" s="285" t="s">
        <v>423</v>
      </c>
      <c r="G249" s="285" t="s">
        <v>424</v>
      </c>
      <c r="H249" s="17" t="str">
        <f t="shared" ref="H249:H281" si="92">IF(ISNA(VLOOKUP(A249,cgas9910,9,FALSE)),"na",VLOOKUP(A249,cgas9910,9,FALSE))</f>
        <v>na</v>
      </c>
      <c r="I249" s="17">
        <f t="shared" ref="I249:I281" si="93">IF(ISNA(VLOOKUP(A249,cgas9910,10,FALSE)),0,(VLOOKUP(A249,cgas9910,10,FALSE)))</f>
        <v>0</v>
      </c>
      <c r="J249" s="287">
        <f>$J$5-0.05</f>
        <v>2.0900000000000003</v>
      </c>
      <c r="K249" s="17">
        <f t="shared" si="86"/>
        <v>0</v>
      </c>
      <c r="L249" s="17">
        <f t="shared" si="87"/>
        <v>0.27</v>
      </c>
      <c r="M249" s="288">
        <v>0</v>
      </c>
      <c r="N249" s="287">
        <f t="shared" si="88"/>
        <v>1.8200000000000003</v>
      </c>
      <c r="O249" s="289" t="e">
        <f t="shared" si="91"/>
        <v>#VALUE!</v>
      </c>
      <c r="P249" s="211">
        <f t="shared" si="89"/>
        <v>0</v>
      </c>
      <c r="Q249" s="290">
        <f t="shared" si="85"/>
        <v>0</v>
      </c>
      <c r="R249" s="209">
        <f t="shared" si="70"/>
        <v>0</v>
      </c>
      <c r="U249" s="288"/>
      <c r="V249" s="288"/>
    </row>
    <row r="250" spans="1:24" s="908" customFormat="1" ht="15" customHeight="1" x14ac:dyDescent="0.2">
      <c r="A250" s="901">
        <v>717833</v>
      </c>
      <c r="B250" s="400" t="str">
        <f t="shared" si="90"/>
        <v>na</v>
      </c>
      <c r="C250" s="286" t="s">
        <v>425</v>
      </c>
      <c r="D250" s="902"/>
      <c r="E250" s="49">
        <v>71375</v>
      </c>
      <c r="F250" s="901" t="s">
        <v>426</v>
      </c>
      <c r="G250" s="901" t="s">
        <v>427</v>
      </c>
      <c r="H250" s="328" t="str">
        <f t="shared" si="92"/>
        <v>na</v>
      </c>
      <c r="I250" s="328">
        <f t="shared" si="93"/>
        <v>0</v>
      </c>
      <c r="J250" s="903">
        <f>$J$5*0.995</f>
        <v>2.1293000000000002</v>
      </c>
      <c r="K250" s="328">
        <f t="shared" si="86"/>
        <v>0</v>
      </c>
      <c r="L250" s="328">
        <f t="shared" si="87"/>
        <v>0.27</v>
      </c>
      <c r="M250" s="390">
        <v>0</v>
      </c>
      <c r="N250" s="903">
        <f t="shared" si="88"/>
        <v>1.8593000000000002</v>
      </c>
      <c r="O250" s="904" t="e">
        <f t="shared" si="91"/>
        <v>#VALUE!</v>
      </c>
      <c r="P250" s="905">
        <f t="shared" si="89"/>
        <v>0</v>
      </c>
      <c r="Q250" s="906">
        <f t="shared" si="85"/>
        <v>0</v>
      </c>
      <c r="R250" s="907">
        <f t="shared" si="70"/>
        <v>0</v>
      </c>
      <c r="S250" s="908" t="s">
        <v>2002</v>
      </c>
      <c r="U250" s="390"/>
      <c r="V250" s="390"/>
    </row>
    <row r="251" spans="1:24" s="908" customFormat="1" ht="15" customHeight="1" x14ac:dyDescent="0.2">
      <c r="A251" s="901">
        <v>721909</v>
      </c>
      <c r="B251" s="400" t="str">
        <f t="shared" si="90"/>
        <v>na</v>
      </c>
      <c r="C251" s="286" t="s">
        <v>425</v>
      </c>
      <c r="D251" s="902"/>
      <c r="E251" s="49">
        <v>71375</v>
      </c>
      <c r="F251" s="901" t="s">
        <v>426</v>
      </c>
      <c r="G251" s="901" t="s">
        <v>427</v>
      </c>
      <c r="H251" s="328" t="str">
        <f t="shared" si="92"/>
        <v>na</v>
      </c>
      <c r="I251" s="328">
        <f t="shared" si="93"/>
        <v>0</v>
      </c>
      <c r="J251" s="903">
        <f>$J$5*0.995</f>
        <v>2.1293000000000002</v>
      </c>
      <c r="K251" s="328">
        <f t="shared" si="86"/>
        <v>0</v>
      </c>
      <c r="L251" s="328">
        <f t="shared" si="87"/>
        <v>0.27</v>
      </c>
      <c r="M251" s="390">
        <v>0</v>
      </c>
      <c r="N251" s="903">
        <f t="shared" si="88"/>
        <v>1.8593000000000002</v>
      </c>
      <c r="O251" s="904" t="e">
        <f t="shared" si="91"/>
        <v>#VALUE!</v>
      </c>
      <c r="P251" s="905">
        <f t="shared" si="89"/>
        <v>0</v>
      </c>
      <c r="Q251" s="906">
        <f t="shared" si="85"/>
        <v>0</v>
      </c>
      <c r="R251" s="907">
        <f t="shared" ref="R251:R326" si="94">+(I251*N251)-P251</f>
        <v>0</v>
      </c>
      <c r="S251" s="908" t="s">
        <v>2002</v>
      </c>
      <c r="U251" s="390"/>
      <c r="V251" s="390"/>
    </row>
    <row r="252" spans="1:24" s="908" customFormat="1" ht="15" customHeight="1" x14ac:dyDescent="0.2">
      <c r="A252" s="901">
        <v>730823</v>
      </c>
      <c r="B252" s="400" t="str">
        <f t="shared" si="90"/>
        <v>na</v>
      </c>
      <c r="C252" s="286" t="s">
        <v>425</v>
      </c>
      <c r="D252" s="902"/>
      <c r="E252" s="49">
        <v>71375</v>
      </c>
      <c r="F252" s="901" t="s">
        <v>426</v>
      </c>
      <c r="G252" s="901" t="s">
        <v>427</v>
      </c>
      <c r="H252" s="328" t="str">
        <f t="shared" si="92"/>
        <v>na</v>
      </c>
      <c r="I252" s="328">
        <f t="shared" si="93"/>
        <v>0</v>
      </c>
      <c r="J252" s="903">
        <f>$J$5*0.995</f>
        <v>2.1293000000000002</v>
      </c>
      <c r="K252" s="328">
        <f t="shared" si="86"/>
        <v>0</v>
      </c>
      <c r="L252" s="328">
        <f t="shared" si="87"/>
        <v>0.27</v>
      </c>
      <c r="M252" s="390">
        <v>0</v>
      </c>
      <c r="N252" s="903">
        <f t="shared" si="88"/>
        <v>1.8593000000000002</v>
      </c>
      <c r="O252" s="904" t="e">
        <f t="shared" si="91"/>
        <v>#VALUE!</v>
      </c>
      <c r="P252" s="905">
        <f t="shared" si="89"/>
        <v>0</v>
      </c>
      <c r="Q252" s="906">
        <f t="shared" si="85"/>
        <v>0</v>
      </c>
      <c r="R252" s="907">
        <f t="shared" si="94"/>
        <v>0</v>
      </c>
      <c r="S252" s="908" t="s">
        <v>2002</v>
      </c>
      <c r="U252" s="390"/>
      <c r="V252" s="390"/>
    </row>
    <row r="253" spans="1:24" s="908" customFormat="1" ht="15" customHeight="1" x14ac:dyDescent="0.2">
      <c r="A253" s="901">
        <v>732298</v>
      </c>
      <c r="B253" s="400" t="str">
        <f t="shared" si="90"/>
        <v>na</v>
      </c>
      <c r="C253" s="286" t="s">
        <v>425</v>
      </c>
      <c r="D253" s="902"/>
      <c r="E253" s="49">
        <v>71375</v>
      </c>
      <c r="F253" s="901" t="s">
        <v>426</v>
      </c>
      <c r="G253" s="901" t="s">
        <v>427</v>
      </c>
      <c r="H253" s="328" t="str">
        <f t="shared" si="92"/>
        <v>na</v>
      </c>
      <c r="I253" s="328">
        <f t="shared" si="93"/>
        <v>0</v>
      </c>
      <c r="J253" s="903">
        <f>$J$5*0.995</f>
        <v>2.1293000000000002</v>
      </c>
      <c r="K253" s="328">
        <f t="shared" si="86"/>
        <v>0</v>
      </c>
      <c r="L253" s="328">
        <f t="shared" si="87"/>
        <v>0.27</v>
      </c>
      <c r="M253" s="390">
        <v>0</v>
      </c>
      <c r="N253" s="903">
        <f t="shared" si="88"/>
        <v>1.8593000000000002</v>
      </c>
      <c r="O253" s="904" t="e">
        <f t="shared" si="91"/>
        <v>#VALUE!</v>
      </c>
      <c r="P253" s="905">
        <f t="shared" si="89"/>
        <v>0</v>
      </c>
      <c r="Q253" s="906">
        <f t="shared" si="85"/>
        <v>0</v>
      </c>
      <c r="R253" s="907">
        <f t="shared" si="94"/>
        <v>0</v>
      </c>
      <c r="S253" s="908" t="s">
        <v>2002</v>
      </c>
      <c r="U253" s="390"/>
      <c r="V253" s="390"/>
    </row>
    <row r="254" spans="1:24" s="41" customFormat="1" ht="15" customHeight="1" x14ac:dyDescent="0.2">
      <c r="A254" s="285">
        <v>622113</v>
      </c>
      <c r="B254" s="143" t="str">
        <f t="shared" si="90"/>
        <v>na</v>
      </c>
      <c r="C254" s="286" t="s">
        <v>429</v>
      </c>
      <c r="D254" s="286"/>
      <c r="E254" s="38" t="s">
        <v>430</v>
      </c>
      <c r="F254" s="285" t="s">
        <v>431</v>
      </c>
      <c r="G254" s="285" t="s">
        <v>434</v>
      </c>
      <c r="H254" s="17" t="str">
        <f t="shared" si="92"/>
        <v>na</v>
      </c>
      <c r="I254" s="17">
        <f t="shared" si="93"/>
        <v>0</v>
      </c>
      <c r="J254" s="304">
        <f>$J$5-0.01</f>
        <v>2.1300000000000003</v>
      </c>
      <c r="K254" s="17">
        <f t="shared" si="86"/>
        <v>0</v>
      </c>
      <c r="L254" s="17">
        <f t="shared" si="87"/>
        <v>0.27</v>
      </c>
      <c r="M254" s="288">
        <v>0</v>
      </c>
      <c r="N254" s="287">
        <f t="shared" si="88"/>
        <v>1.8600000000000003</v>
      </c>
      <c r="O254" s="289" t="e">
        <f t="shared" si="91"/>
        <v>#VALUE!</v>
      </c>
      <c r="P254" s="211">
        <f t="shared" si="89"/>
        <v>0</v>
      </c>
      <c r="Q254" s="290">
        <f t="shared" si="85"/>
        <v>0</v>
      </c>
      <c r="R254" s="209">
        <f t="shared" si="94"/>
        <v>0</v>
      </c>
      <c r="U254" s="288"/>
      <c r="V254" s="288"/>
    </row>
    <row r="255" spans="1:24" s="41" customFormat="1" ht="15" customHeight="1" x14ac:dyDescent="0.2">
      <c r="A255" s="285">
        <v>622515</v>
      </c>
      <c r="B255" s="143" t="str">
        <f t="shared" si="90"/>
        <v>na</v>
      </c>
      <c r="C255" s="286" t="s">
        <v>429</v>
      </c>
      <c r="D255" s="286"/>
      <c r="E255" s="38" t="s">
        <v>430</v>
      </c>
      <c r="F255" s="285" t="s">
        <v>431</v>
      </c>
      <c r="G255" s="285" t="s">
        <v>434</v>
      </c>
      <c r="H255" s="17" t="str">
        <f t="shared" si="92"/>
        <v>na</v>
      </c>
      <c r="I255" s="17">
        <f t="shared" si="93"/>
        <v>0</v>
      </c>
      <c r="J255" s="304">
        <f>$J$5-0.01</f>
        <v>2.1300000000000003</v>
      </c>
      <c r="K255" s="17">
        <f t="shared" si="86"/>
        <v>0</v>
      </c>
      <c r="L255" s="17">
        <f t="shared" si="87"/>
        <v>0.27</v>
      </c>
      <c r="M255" s="288">
        <v>0</v>
      </c>
      <c r="N255" s="287">
        <f t="shared" si="88"/>
        <v>1.8600000000000003</v>
      </c>
      <c r="O255" s="289" t="e">
        <f t="shared" si="91"/>
        <v>#VALUE!</v>
      </c>
      <c r="P255" s="211">
        <f t="shared" si="89"/>
        <v>0</v>
      </c>
      <c r="Q255" s="290">
        <f t="shared" si="85"/>
        <v>0</v>
      </c>
      <c r="R255" s="209">
        <f t="shared" si="94"/>
        <v>0</v>
      </c>
      <c r="U255" s="288"/>
      <c r="V255" s="288"/>
      <c r="W255" s="47"/>
      <c r="X255" s="47"/>
    </row>
    <row r="256" spans="1:24" s="41" customFormat="1" ht="15" customHeight="1" x14ac:dyDescent="0.2">
      <c r="A256" s="285">
        <v>622638</v>
      </c>
      <c r="B256" s="143" t="str">
        <f t="shared" si="90"/>
        <v>na</v>
      </c>
      <c r="C256" s="286" t="s">
        <v>429</v>
      </c>
      <c r="D256" s="286"/>
      <c r="E256" s="38" t="s">
        <v>430</v>
      </c>
      <c r="F256" s="285" t="s">
        <v>431</v>
      </c>
      <c r="G256" s="285" t="s">
        <v>434</v>
      </c>
      <c r="H256" s="17" t="str">
        <f t="shared" si="92"/>
        <v>na</v>
      </c>
      <c r="I256" s="17">
        <f t="shared" si="93"/>
        <v>0</v>
      </c>
      <c r="J256" s="304">
        <f>$J$5-0.01</f>
        <v>2.1300000000000003</v>
      </c>
      <c r="K256" s="17">
        <f t="shared" si="86"/>
        <v>0</v>
      </c>
      <c r="L256" s="17">
        <f t="shared" si="87"/>
        <v>0.27</v>
      </c>
      <c r="M256" s="288">
        <v>0</v>
      </c>
      <c r="N256" s="287">
        <f t="shared" si="88"/>
        <v>1.8600000000000003</v>
      </c>
      <c r="O256" s="289" t="e">
        <f t="shared" si="91"/>
        <v>#VALUE!</v>
      </c>
      <c r="P256" s="211">
        <f t="shared" si="89"/>
        <v>0</v>
      </c>
      <c r="Q256" s="290">
        <f t="shared" si="85"/>
        <v>0</v>
      </c>
      <c r="R256" s="209">
        <f t="shared" si="94"/>
        <v>0</v>
      </c>
      <c r="U256" s="288"/>
      <c r="V256" s="288"/>
      <c r="W256" s="47"/>
      <c r="X256" s="47"/>
    </row>
    <row r="257" spans="1:24" s="47" customFormat="1" ht="15" customHeight="1" x14ac:dyDescent="0.2">
      <c r="A257" s="285">
        <v>622827</v>
      </c>
      <c r="B257" s="143" t="str">
        <f t="shared" si="90"/>
        <v>na</v>
      </c>
      <c r="C257" s="286" t="s">
        <v>429</v>
      </c>
      <c r="D257" s="286"/>
      <c r="E257" s="38" t="s">
        <v>430</v>
      </c>
      <c r="F257" s="285" t="s">
        <v>431</v>
      </c>
      <c r="G257" s="285" t="s">
        <v>434</v>
      </c>
      <c r="H257" s="17" t="str">
        <f t="shared" si="92"/>
        <v>na</v>
      </c>
      <c r="I257" s="17">
        <f t="shared" si="93"/>
        <v>0</v>
      </c>
      <c r="J257" s="304">
        <f>$J$5-0.01</f>
        <v>2.1300000000000003</v>
      </c>
      <c r="K257" s="17">
        <f t="shared" si="86"/>
        <v>0</v>
      </c>
      <c r="L257" s="17">
        <f t="shared" si="87"/>
        <v>0.27</v>
      </c>
      <c r="M257" s="288">
        <v>0</v>
      </c>
      <c r="N257" s="287">
        <f t="shared" si="88"/>
        <v>1.8600000000000003</v>
      </c>
      <c r="O257" s="289" t="e">
        <f t="shared" si="91"/>
        <v>#VALUE!</v>
      </c>
      <c r="P257" s="211">
        <f t="shared" si="89"/>
        <v>0</v>
      </c>
      <c r="Q257" s="290">
        <f t="shared" si="85"/>
        <v>0</v>
      </c>
      <c r="R257" s="209">
        <f t="shared" si="94"/>
        <v>0</v>
      </c>
      <c r="S257" s="41"/>
      <c r="T257" s="41"/>
      <c r="U257" s="288"/>
      <c r="V257" s="288"/>
      <c r="W257" s="41"/>
      <c r="X257" s="41"/>
    </row>
    <row r="258" spans="1:24" s="47" customFormat="1" ht="15" customHeight="1" x14ac:dyDescent="0.2">
      <c r="A258" s="285">
        <v>624655</v>
      </c>
      <c r="B258" s="143" t="str">
        <f t="shared" si="90"/>
        <v>na</v>
      </c>
      <c r="C258" s="286" t="s">
        <v>429</v>
      </c>
      <c r="D258" s="286"/>
      <c r="E258" s="38" t="s">
        <v>430</v>
      </c>
      <c r="F258" s="285" t="s">
        <v>431</v>
      </c>
      <c r="G258" s="285" t="s">
        <v>434</v>
      </c>
      <c r="H258" s="17" t="str">
        <f t="shared" si="92"/>
        <v>na</v>
      </c>
      <c r="I258" s="17">
        <f t="shared" si="93"/>
        <v>0</v>
      </c>
      <c r="J258" s="304">
        <f>$J$5-0.01</f>
        <v>2.1300000000000003</v>
      </c>
      <c r="K258" s="17">
        <f t="shared" si="86"/>
        <v>0</v>
      </c>
      <c r="L258" s="17">
        <f t="shared" si="87"/>
        <v>0.27</v>
      </c>
      <c r="M258" s="288">
        <v>0</v>
      </c>
      <c r="N258" s="287">
        <f t="shared" si="88"/>
        <v>1.8600000000000003</v>
      </c>
      <c r="O258" s="289" t="e">
        <f t="shared" si="91"/>
        <v>#VALUE!</v>
      </c>
      <c r="P258" s="211">
        <f t="shared" si="89"/>
        <v>0</v>
      </c>
      <c r="Q258" s="290">
        <f t="shared" si="85"/>
        <v>0</v>
      </c>
      <c r="R258" s="209">
        <f t="shared" si="94"/>
        <v>0</v>
      </c>
      <c r="S258" s="41"/>
      <c r="T258" s="41"/>
      <c r="U258" s="288"/>
      <c r="V258" s="288"/>
      <c r="W258" s="41"/>
      <c r="X258" s="41"/>
    </row>
    <row r="259" spans="1:24" s="41" customFormat="1" ht="15" customHeight="1" x14ac:dyDescent="0.2">
      <c r="A259" s="224">
        <v>602482</v>
      </c>
      <c r="B259" s="143" t="str">
        <f t="shared" si="90"/>
        <v>R &amp; R GAS</v>
      </c>
      <c r="C259" s="6" t="s">
        <v>1850</v>
      </c>
      <c r="D259" s="186" t="s">
        <v>1849</v>
      </c>
      <c r="E259" s="272">
        <v>224114</v>
      </c>
      <c r="F259" s="44"/>
      <c r="G259" s="44" t="s">
        <v>1397</v>
      </c>
      <c r="H259" s="17">
        <f t="shared" si="92"/>
        <v>0</v>
      </c>
      <c r="I259" s="17">
        <f t="shared" si="93"/>
        <v>0</v>
      </c>
      <c r="J259" s="276" t="e">
        <f>+'Special Pricing'!$G$525</f>
        <v>#DIV/0!</v>
      </c>
      <c r="K259" s="17" t="str">
        <f t="shared" si="86"/>
        <v>I</v>
      </c>
      <c r="L259" s="17">
        <f t="shared" si="87"/>
        <v>0.27</v>
      </c>
      <c r="M259" s="106">
        <v>0</v>
      </c>
      <c r="N259" s="117" t="e">
        <f t="shared" ref="N259:N266" si="95">J259-L259-M259</f>
        <v>#DIV/0!</v>
      </c>
      <c r="O259" s="40">
        <f t="shared" si="91"/>
        <v>0</v>
      </c>
      <c r="P259" s="211">
        <f t="shared" si="89"/>
        <v>0</v>
      </c>
      <c r="Q259" s="164" t="e">
        <f t="shared" si="85"/>
        <v>#DIV/0!</v>
      </c>
      <c r="R259" s="209" t="e">
        <f t="shared" si="94"/>
        <v>#DIV/0!</v>
      </c>
      <c r="U259" s="198"/>
      <c r="V259" s="198"/>
    </row>
    <row r="260" spans="1:24" s="41" customFormat="1" ht="15" customHeight="1" x14ac:dyDescent="0.2">
      <c r="A260" s="224">
        <v>602557</v>
      </c>
      <c r="B260" s="143" t="str">
        <f t="shared" si="90"/>
        <v>na</v>
      </c>
      <c r="C260" s="6" t="s">
        <v>1850</v>
      </c>
      <c r="D260" s="272"/>
      <c r="E260" s="272">
        <v>224114</v>
      </c>
      <c r="F260" s="44"/>
      <c r="G260" s="44" t="s">
        <v>1</v>
      </c>
      <c r="H260" s="17" t="str">
        <f t="shared" si="92"/>
        <v>na</v>
      </c>
      <c r="I260" s="17">
        <f t="shared" si="93"/>
        <v>0</v>
      </c>
      <c r="J260" s="276" t="e">
        <f>+'Special Pricing'!$G$525</f>
        <v>#DIV/0!</v>
      </c>
      <c r="K260" s="17">
        <f t="shared" si="86"/>
        <v>0</v>
      </c>
      <c r="L260" s="17">
        <f t="shared" si="87"/>
        <v>0.27</v>
      </c>
      <c r="M260" s="106">
        <v>0</v>
      </c>
      <c r="N260" s="117" t="e">
        <f t="shared" si="95"/>
        <v>#DIV/0!</v>
      </c>
      <c r="O260" s="40" t="e">
        <f t="shared" si="91"/>
        <v>#VALUE!</v>
      </c>
      <c r="P260" s="211">
        <f t="shared" si="89"/>
        <v>0</v>
      </c>
      <c r="Q260" s="164" t="e">
        <f t="shared" si="85"/>
        <v>#DIV/0!</v>
      </c>
      <c r="R260" s="209" t="e">
        <f t="shared" si="94"/>
        <v>#DIV/0!</v>
      </c>
      <c r="U260" s="198"/>
      <c r="V260" s="198"/>
    </row>
    <row r="261" spans="1:24" s="41" customFormat="1" ht="15" customHeight="1" x14ac:dyDescent="0.2">
      <c r="A261" s="224">
        <v>622622</v>
      </c>
      <c r="B261" s="143" t="str">
        <f t="shared" si="90"/>
        <v>R &amp; R GAS</v>
      </c>
      <c r="C261" s="6" t="s">
        <v>1850</v>
      </c>
      <c r="D261" s="186" t="s">
        <v>1849</v>
      </c>
      <c r="E261" s="272">
        <v>224114</v>
      </c>
      <c r="F261" s="44"/>
      <c r="G261" s="44" t="s">
        <v>1381</v>
      </c>
      <c r="H261" s="17">
        <f t="shared" si="92"/>
        <v>0</v>
      </c>
      <c r="I261" s="17">
        <f t="shared" si="93"/>
        <v>0</v>
      </c>
      <c r="J261" s="276" t="e">
        <f>+'Special Pricing'!$G$525</f>
        <v>#DIV/0!</v>
      </c>
      <c r="K261" s="17" t="str">
        <f t="shared" si="86"/>
        <v>N</v>
      </c>
      <c r="L261" s="17">
        <f t="shared" si="87"/>
        <v>0</v>
      </c>
      <c r="M261" s="106">
        <v>0</v>
      </c>
      <c r="N261" s="117" t="e">
        <f t="shared" si="95"/>
        <v>#DIV/0!</v>
      </c>
      <c r="O261" s="40">
        <f t="shared" si="91"/>
        <v>0</v>
      </c>
      <c r="P261" s="211">
        <f t="shared" si="89"/>
        <v>0</v>
      </c>
      <c r="Q261" s="164" t="e">
        <f t="shared" si="85"/>
        <v>#DIV/0!</v>
      </c>
      <c r="R261" s="209" t="e">
        <f t="shared" si="94"/>
        <v>#DIV/0!</v>
      </c>
      <c r="U261" s="198"/>
      <c r="V261" s="198"/>
    </row>
    <row r="262" spans="1:24" s="41" customFormat="1" ht="15" customHeight="1" x14ac:dyDescent="0.2">
      <c r="A262" s="224">
        <v>634253</v>
      </c>
      <c r="B262" s="143" t="str">
        <f t="shared" si="90"/>
        <v>R B ROBERTSON</v>
      </c>
      <c r="C262" s="6" t="s">
        <v>1850</v>
      </c>
      <c r="D262" s="453"/>
      <c r="E262" s="272">
        <v>224114</v>
      </c>
      <c r="F262" s="44"/>
      <c r="G262" s="44" t="s">
        <v>1</v>
      </c>
      <c r="H262" s="17">
        <f t="shared" si="92"/>
        <v>0</v>
      </c>
      <c r="I262" s="17">
        <f t="shared" si="93"/>
        <v>0</v>
      </c>
      <c r="J262" s="276" t="e">
        <f>+'Special Pricing'!$G$525</f>
        <v>#DIV/0!</v>
      </c>
      <c r="K262" s="17" t="str">
        <f t="shared" si="86"/>
        <v>N</v>
      </c>
      <c r="L262" s="17">
        <f t="shared" si="87"/>
        <v>0</v>
      </c>
      <c r="M262" s="106">
        <v>0</v>
      </c>
      <c r="N262" s="117" t="e">
        <f t="shared" si="95"/>
        <v>#DIV/0!</v>
      </c>
      <c r="O262" s="40">
        <f t="shared" si="91"/>
        <v>0</v>
      </c>
      <c r="P262" s="211">
        <f t="shared" si="89"/>
        <v>0</v>
      </c>
      <c r="Q262" s="164" t="e">
        <f t="shared" si="85"/>
        <v>#DIV/0!</v>
      </c>
      <c r="R262" s="209" t="e">
        <f t="shared" si="94"/>
        <v>#DIV/0!</v>
      </c>
      <c r="U262" s="198"/>
      <c r="V262" s="198"/>
    </row>
    <row r="263" spans="1:24" s="41" customFormat="1" ht="15" customHeight="1" x14ac:dyDescent="0.2">
      <c r="A263" s="224">
        <v>634743</v>
      </c>
      <c r="B263" s="143" t="str">
        <f t="shared" si="90"/>
        <v>R B ROBERTSON</v>
      </c>
      <c r="C263" s="6" t="s">
        <v>1850</v>
      </c>
      <c r="D263" s="272"/>
      <c r="E263" s="272">
        <v>224114</v>
      </c>
      <c r="F263" s="44"/>
      <c r="G263" s="44" t="s">
        <v>1</v>
      </c>
      <c r="H263" s="17">
        <f>IF(ISNA(VLOOKUP(A263,cgas9910,9,FALSE)),"na",VLOOKUP(A263,cgas9910,9,FALSE))</f>
        <v>0</v>
      </c>
      <c r="I263" s="17">
        <f>IF(ISNA(VLOOKUP(A263,cgas9910,10,FALSE)),0,(VLOOKUP(A263,cgas9910,10,FALSE)))</f>
        <v>0</v>
      </c>
      <c r="J263" s="276" t="e">
        <f>+'Special Pricing'!$G$525</f>
        <v>#DIV/0!</v>
      </c>
      <c r="K263" s="17" t="str">
        <f>IF(ISNA(VLOOKUP(A263,cgas9910,7,FALSE)),0,(VLOOKUP(A263,cgas9910,7,FALSE)))</f>
        <v>N</v>
      </c>
      <c r="L263" s="17">
        <f t="shared" si="87"/>
        <v>0</v>
      </c>
      <c r="M263" s="106">
        <v>0</v>
      </c>
      <c r="N263" s="117" t="e">
        <f>J263-L263-M263</f>
        <v>#DIV/0!</v>
      </c>
      <c r="O263" s="40">
        <f>+H263*0.001</f>
        <v>0</v>
      </c>
      <c r="P263" s="211">
        <f>IF(AND(A263&gt;700000,A263&lt;800000),+I263*0.001,0)</f>
        <v>0</v>
      </c>
      <c r="Q263" s="164" t="e">
        <f>+N263*I263</f>
        <v>#DIV/0!</v>
      </c>
      <c r="R263" s="209" t="e">
        <f>+(I263*N263)-P263</f>
        <v>#DIV/0!</v>
      </c>
      <c r="U263" s="198"/>
      <c r="V263" s="198"/>
    </row>
    <row r="264" spans="1:24" s="41" customFormat="1" ht="15" customHeight="1" x14ac:dyDescent="0.2">
      <c r="A264">
        <v>636807</v>
      </c>
      <c r="B264" s="143" t="str">
        <f t="shared" si="90"/>
        <v>R B ROBERTSON</v>
      </c>
      <c r="C264" s="6" t="s">
        <v>1850</v>
      </c>
      <c r="D264" s="272"/>
      <c r="E264" s="272">
        <v>224114</v>
      </c>
      <c r="F264" s="44"/>
      <c r="G264" s="44" t="s">
        <v>1</v>
      </c>
      <c r="H264" s="17">
        <f t="shared" si="92"/>
        <v>0</v>
      </c>
      <c r="I264" s="17">
        <f t="shared" si="93"/>
        <v>0</v>
      </c>
      <c r="J264" s="276" t="e">
        <f>+'Special Pricing'!$G$525</f>
        <v>#DIV/0!</v>
      </c>
      <c r="K264" s="17" t="str">
        <f t="shared" si="86"/>
        <v>N</v>
      </c>
      <c r="L264" s="17">
        <f t="shared" si="87"/>
        <v>0</v>
      </c>
      <c r="M264" s="106">
        <v>0</v>
      </c>
      <c r="N264" s="117" t="e">
        <f t="shared" si="95"/>
        <v>#DIV/0!</v>
      </c>
      <c r="O264" s="40">
        <f t="shared" si="91"/>
        <v>0</v>
      </c>
      <c r="P264" s="211">
        <f t="shared" si="89"/>
        <v>0</v>
      </c>
      <c r="Q264" s="164" t="e">
        <f t="shared" si="85"/>
        <v>#DIV/0!</v>
      </c>
      <c r="R264" s="209" t="e">
        <f t="shared" si="94"/>
        <v>#DIV/0!</v>
      </c>
      <c r="U264" s="198"/>
      <c r="V264" s="198"/>
    </row>
    <row r="265" spans="1:24" s="41" customFormat="1" ht="15" customHeight="1" x14ac:dyDescent="0.2">
      <c r="A265" s="224">
        <v>635213</v>
      </c>
      <c r="B265" s="143" t="str">
        <f t="shared" si="90"/>
        <v>KECK GAS CO.</v>
      </c>
      <c r="C265" s="6" t="s">
        <v>1850</v>
      </c>
      <c r="D265" s="186" t="s">
        <v>1883</v>
      </c>
      <c r="E265" s="272">
        <v>224114</v>
      </c>
      <c r="F265" s="44"/>
      <c r="G265" s="44" t="s">
        <v>1397</v>
      </c>
      <c r="H265" s="17">
        <f>IF(ISNA(VLOOKUP(A265,cgas9910,9,FALSE)),"na",VLOOKUP(A265,cgas9910,9,FALSE))</f>
        <v>0</v>
      </c>
      <c r="I265" s="17">
        <f>IF(ISNA(VLOOKUP(A265,cgas9910,10,FALSE)),0,(VLOOKUP(A265,cgas9910,10,FALSE)))</f>
        <v>0</v>
      </c>
      <c r="J265" s="276" t="e">
        <f>+'Special Pricing'!$G$525</f>
        <v>#DIV/0!</v>
      </c>
      <c r="K265" s="17" t="str">
        <f>IF(ISNA(VLOOKUP(A265,cgas9910,7,FALSE)),0,(VLOOKUP(A265,cgas9910,7,FALSE)))</f>
        <v>N</v>
      </c>
      <c r="L265" s="17">
        <f t="shared" si="87"/>
        <v>0</v>
      </c>
      <c r="M265" s="106">
        <v>0</v>
      </c>
      <c r="N265" s="117" t="e">
        <f>J265-L265-M265</f>
        <v>#DIV/0!</v>
      </c>
      <c r="O265" s="40">
        <f>+H265*0.001</f>
        <v>0</v>
      </c>
      <c r="P265" s="211">
        <f>IF(AND(A265&gt;700000,A265&lt;800000),+I265*0.001,0)</f>
        <v>0</v>
      </c>
      <c r="Q265" s="164" t="e">
        <f>+N265*I265</f>
        <v>#DIV/0!</v>
      </c>
      <c r="R265" s="209" t="e">
        <f>+(I265*N265)-P265</f>
        <v>#DIV/0!</v>
      </c>
      <c r="U265" s="198"/>
      <c r="V265" s="198"/>
    </row>
    <row r="266" spans="1:24" s="41" customFormat="1" ht="15" customHeight="1" x14ac:dyDescent="0.2">
      <c r="A266" s="270">
        <v>637167</v>
      </c>
      <c r="B266" s="143" t="str">
        <f t="shared" si="90"/>
        <v>R B ROBERTSON</v>
      </c>
      <c r="C266" s="6" t="s">
        <v>1850</v>
      </c>
      <c r="D266" s="6"/>
      <c r="E266" s="272">
        <v>224114</v>
      </c>
      <c r="F266" s="44"/>
      <c r="G266" s="44" t="s">
        <v>1397</v>
      </c>
      <c r="H266" s="17">
        <f t="shared" si="92"/>
        <v>0</v>
      </c>
      <c r="I266" s="17">
        <f t="shared" si="93"/>
        <v>0</v>
      </c>
      <c r="J266" s="276" t="e">
        <f>+'Special Pricing'!$G$525</f>
        <v>#DIV/0!</v>
      </c>
      <c r="K266" s="17" t="str">
        <f t="shared" si="86"/>
        <v>N</v>
      </c>
      <c r="L266" s="17">
        <f t="shared" si="87"/>
        <v>0</v>
      </c>
      <c r="M266" s="106">
        <v>0</v>
      </c>
      <c r="N266" s="117" t="e">
        <f t="shared" si="95"/>
        <v>#DIV/0!</v>
      </c>
      <c r="O266" s="40">
        <f t="shared" si="91"/>
        <v>0</v>
      </c>
      <c r="P266" s="211">
        <f t="shared" si="89"/>
        <v>0</v>
      </c>
      <c r="Q266" s="164" t="e">
        <f t="shared" si="85"/>
        <v>#DIV/0!</v>
      </c>
      <c r="R266" s="209" t="e">
        <f t="shared" si="94"/>
        <v>#DIV/0!</v>
      </c>
      <c r="S266" s="826" t="s">
        <v>1260</v>
      </c>
      <c r="U266" s="198"/>
      <c r="V266" s="198"/>
    </row>
    <row r="267" spans="1:24" s="41" customFormat="1" ht="15" customHeight="1" x14ac:dyDescent="0.2">
      <c r="A267" s="293">
        <v>630175</v>
      </c>
      <c r="B267" s="143" t="str">
        <f t="shared" si="90"/>
        <v>na</v>
      </c>
      <c r="C267" s="286" t="s">
        <v>435</v>
      </c>
      <c r="D267" s="294"/>
      <c r="E267" s="295">
        <v>72145</v>
      </c>
      <c r="F267" s="293" t="s">
        <v>436</v>
      </c>
      <c r="G267" s="293" t="s">
        <v>437</v>
      </c>
      <c r="H267" s="17" t="str">
        <f t="shared" si="92"/>
        <v>na</v>
      </c>
      <c r="I267" s="17">
        <f t="shared" si="93"/>
        <v>0</v>
      </c>
      <c r="J267" s="287">
        <f>$J$5+0.02</f>
        <v>2.16</v>
      </c>
      <c r="K267" s="17">
        <f t="shared" si="86"/>
        <v>0</v>
      </c>
      <c r="L267" s="17">
        <f t="shared" si="87"/>
        <v>0.27</v>
      </c>
      <c r="M267" s="288">
        <v>0</v>
      </c>
      <c r="N267" s="287">
        <f>+J267-L267-M267</f>
        <v>1.8900000000000001</v>
      </c>
      <c r="O267" s="289" t="e">
        <f t="shared" ref="O267:O309" si="96">+H267*0.001</f>
        <v>#VALUE!</v>
      </c>
      <c r="P267" s="211">
        <f t="shared" si="89"/>
        <v>0</v>
      </c>
      <c r="Q267" s="290">
        <f t="shared" si="85"/>
        <v>0</v>
      </c>
      <c r="R267" s="209">
        <f t="shared" si="94"/>
        <v>0</v>
      </c>
      <c r="U267" s="288"/>
      <c r="V267" s="288"/>
    </row>
    <row r="268" spans="1:24" s="41" customFormat="1" ht="15" customHeight="1" x14ac:dyDescent="0.2">
      <c r="A268" s="224">
        <v>706731</v>
      </c>
      <c r="B268" s="143" t="str">
        <f t="shared" si="90"/>
        <v>RELIANCE ENERGY</v>
      </c>
      <c r="C268" s="6" t="s">
        <v>2312</v>
      </c>
      <c r="D268" s="186" t="s">
        <v>1457</v>
      </c>
      <c r="E268" s="272">
        <v>229033</v>
      </c>
      <c r="F268" s="44"/>
      <c r="G268" s="159" t="s">
        <v>1713</v>
      </c>
      <c r="H268" s="17">
        <f t="shared" si="92"/>
        <v>0</v>
      </c>
      <c r="I268" s="17">
        <f t="shared" si="93"/>
        <v>0</v>
      </c>
      <c r="J268" s="418">
        <f>+'Special Pricing'!$G$537</f>
        <v>5.22</v>
      </c>
      <c r="K268" s="17" t="str">
        <f t="shared" si="86"/>
        <v>I</v>
      </c>
      <c r="L268" s="17">
        <f t="shared" si="87"/>
        <v>0.27</v>
      </c>
      <c r="M268" s="106">
        <v>0</v>
      </c>
      <c r="N268" s="117">
        <f>J268-L268-M268</f>
        <v>4.9499999999999993</v>
      </c>
      <c r="O268" s="40">
        <f t="shared" si="96"/>
        <v>0</v>
      </c>
      <c r="P268" s="211">
        <f t="shared" si="89"/>
        <v>0</v>
      </c>
      <c r="Q268" s="164">
        <f t="shared" ref="Q268:Q310" si="97">+N268*I268</f>
        <v>0</v>
      </c>
      <c r="R268" s="209">
        <f t="shared" si="94"/>
        <v>0</v>
      </c>
      <c r="U268" s="198"/>
      <c r="V268" s="198"/>
    </row>
    <row r="269" spans="1:24" s="41" customFormat="1" ht="15" customHeight="1" x14ac:dyDescent="0.2">
      <c r="A269" s="224">
        <v>707846</v>
      </c>
      <c r="B269" s="143" t="str">
        <f t="shared" si="90"/>
        <v>RELIANCE ENERGY</v>
      </c>
      <c r="C269" s="6" t="s">
        <v>2312</v>
      </c>
      <c r="D269" s="186" t="s">
        <v>1457</v>
      </c>
      <c r="E269" s="272">
        <v>229033</v>
      </c>
      <c r="F269" s="44"/>
      <c r="G269" s="159" t="s">
        <v>1713</v>
      </c>
      <c r="H269" s="17">
        <f t="shared" si="92"/>
        <v>0</v>
      </c>
      <c r="I269" s="17">
        <f t="shared" si="93"/>
        <v>0</v>
      </c>
      <c r="J269" s="418">
        <f>+'Special Pricing'!$G$537</f>
        <v>5.22</v>
      </c>
      <c r="K269" s="17" t="str">
        <f t="shared" si="86"/>
        <v>I</v>
      </c>
      <c r="L269" s="17">
        <f t="shared" si="87"/>
        <v>0.27</v>
      </c>
      <c r="M269" s="106">
        <v>0</v>
      </c>
      <c r="N269" s="117">
        <f>J269-L269-M269</f>
        <v>4.9499999999999993</v>
      </c>
      <c r="O269" s="40">
        <f t="shared" si="96"/>
        <v>0</v>
      </c>
      <c r="P269" s="211">
        <f t="shared" si="89"/>
        <v>0</v>
      </c>
      <c r="Q269" s="164">
        <f t="shared" si="97"/>
        <v>0</v>
      </c>
      <c r="R269" s="209">
        <f t="shared" si="94"/>
        <v>0</v>
      </c>
      <c r="U269" s="198"/>
      <c r="V269" s="198"/>
    </row>
    <row r="270" spans="1:24" s="41" customFormat="1" ht="15" customHeight="1" x14ac:dyDescent="0.2">
      <c r="A270" s="224">
        <v>711586</v>
      </c>
      <c r="B270" s="143" t="str">
        <f t="shared" si="90"/>
        <v>RELIANCE ENERGY</v>
      </c>
      <c r="C270" s="6" t="s">
        <v>2312</v>
      </c>
      <c r="D270" s="186" t="s">
        <v>1457</v>
      </c>
      <c r="E270" s="272">
        <v>229033</v>
      </c>
      <c r="F270" s="44"/>
      <c r="G270" s="159" t="s">
        <v>1713</v>
      </c>
      <c r="H270" s="17">
        <f t="shared" si="92"/>
        <v>0</v>
      </c>
      <c r="I270" s="17">
        <f t="shared" si="93"/>
        <v>0</v>
      </c>
      <c r="J270" s="418">
        <f>+'Special Pricing'!$G$537</f>
        <v>5.22</v>
      </c>
      <c r="K270" s="17" t="str">
        <f t="shared" si="86"/>
        <v>I</v>
      </c>
      <c r="L270" s="17">
        <f t="shared" si="87"/>
        <v>0.27</v>
      </c>
      <c r="M270" s="106">
        <v>0</v>
      </c>
      <c r="N270" s="117">
        <f>J270-L270-M270</f>
        <v>4.9499999999999993</v>
      </c>
      <c r="O270" s="40">
        <f t="shared" si="96"/>
        <v>0</v>
      </c>
      <c r="P270" s="211">
        <f t="shared" si="89"/>
        <v>0</v>
      </c>
      <c r="Q270" s="164">
        <f t="shared" si="97"/>
        <v>0</v>
      </c>
      <c r="R270" s="209">
        <f t="shared" si="94"/>
        <v>0</v>
      </c>
      <c r="U270" s="198"/>
      <c r="V270" s="198"/>
    </row>
    <row r="271" spans="1:24" s="41" customFormat="1" ht="15" customHeight="1" x14ac:dyDescent="0.2">
      <c r="A271" s="224">
        <v>602461</v>
      </c>
      <c r="B271" s="143" t="str">
        <f t="shared" si="90"/>
        <v>GREENE CO G&amp;O</v>
      </c>
      <c r="C271" s="6" t="s">
        <v>1656</v>
      </c>
      <c r="D271" s="186" t="s">
        <v>1848</v>
      </c>
      <c r="E271" s="195">
        <v>164699</v>
      </c>
      <c r="F271" s="196"/>
      <c r="G271" s="578" t="s">
        <v>1424</v>
      </c>
      <c r="H271" s="17">
        <f t="shared" si="92"/>
        <v>0</v>
      </c>
      <c r="I271" s="17">
        <f t="shared" si="93"/>
        <v>268</v>
      </c>
      <c r="J271" s="100">
        <f>$J$5</f>
        <v>2.14</v>
      </c>
      <c r="K271" s="17" t="str">
        <f t="shared" si="86"/>
        <v>I</v>
      </c>
      <c r="L271" s="17">
        <f t="shared" si="87"/>
        <v>0.27</v>
      </c>
      <c r="M271" s="106">
        <v>0</v>
      </c>
      <c r="N271" s="117">
        <f>J271-L271-M271</f>
        <v>1.87</v>
      </c>
      <c r="O271" s="40">
        <f t="shared" si="96"/>
        <v>0</v>
      </c>
      <c r="P271" s="211">
        <f t="shared" si="89"/>
        <v>0</v>
      </c>
      <c r="Q271" s="164">
        <f t="shared" si="97"/>
        <v>501.16</v>
      </c>
      <c r="R271" s="209">
        <f t="shared" si="94"/>
        <v>501.16</v>
      </c>
      <c r="U271" s="198"/>
      <c r="V271" s="198"/>
      <c r="W271" s="47"/>
      <c r="X271" s="47"/>
    </row>
    <row r="272" spans="1:24" s="41" customFormat="1" ht="15" customHeight="1" x14ac:dyDescent="0.2">
      <c r="A272" s="285">
        <v>717296</v>
      </c>
      <c r="B272" s="143" t="str">
        <f t="shared" si="90"/>
        <v>DUPKE OIL CO</v>
      </c>
      <c r="C272" s="16" t="s">
        <v>819</v>
      </c>
      <c r="D272" s="144" t="s">
        <v>1021</v>
      </c>
      <c r="E272" s="291" t="s">
        <v>820</v>
      </c>
      <c r="F272" s="291"/>
      <c r="G272" s="9" t="s">
        <v>295</v>
      </c>
      <c r="H272" s="17">
        <f>IF(ISNA(VLOOKUP(A272,cgas9910,9,FALSE)),"na",VLOOKUP(A272,cgas9910,9,FALSE))</f>
        <v>0</v>
      </c>
      <c r="I272" s="17">
        <f>IF(ISNA(VLOOKUP(A272,cgas9910,10,FALSE)),0,(VLOOKUP(A272,cgas9910,10,FALSE)))</f>
        <v>0</v>
      </c>
      <c r="J272" s="287">
        <f>$J$5-0.02</f>
        <v>2.12</v>
      </c>
      <c r="K272" s="17" t="str">
        <f>IF(ISNA(VLOOKUP(A272,cgas9910,7,FALSE)),0,(VLOOKUP(A272,cgas9910,7,FALSE)))</f>
        <v>N</v>
      </c>
      <c r="L272" s="17">
        <f t="shared" si="87"/>
        <v>0</v>
      </c>
      <c r="M272" s="288">
        <v>0</v>
      </c>
      <c r="N272" s="287">
        <f>+J272-L272-M272</f>
        <v>2.12</v>
      </c>
      <c r="O272" s="289">
        <f>+H272*0.001</f>
        <v>0</v>
      </c>
      <c r="P272" s="211">
        <f>IF(AND(A272&gt;700000,A272&lt;800000),+I272*0.001,0)</f>
        <v>0</v>
      </c>
      <c r="Q272" s="290">
        <f>+N272*I272</f>
        <v>0</v>
      </c>
      <c r="R272" s="219">
        <f>+(I272*N272)-P272</f>
        <v>0</v>
      </c>
      <c r="U272" s="198"/>
      <c r="V272" s="198"/>
      <c r="W272" s="108">
        <v>0</v>
      </c>
      <c r="X272" s="108">
        <v>0</v>
      </c>
    </row>
    <row r="273" spans="1:24" s="41" customFormat="1" ht="15" customHeight="1" x14ac:dyDescent="0.2">
      <c r="A273" s="285">
        <v>735273</v>
      </c>
      <c r="B273" s="143" t="str">
        <f t="shared" si="90"/>
        <v>DUPKE OIL CO</v>
      </c>
      <c r="C273" s="16" t="s">
        <v>819</v>
      </c>
      <c r="D273" s="144" t="s">
        <v>1021</v>
      </c>
      <c r="E273" s="291" t="s">
        <v>820</v>
      </c>
      <c r="F273" s="291"/>
      <c r="G273" s="9" t="s">
        <v>295</v>
      </c>
      <c r="H273" s="17">
        <f t="shared" si="92"/>
        <v>0</v>
      </c>
      <c r="I273" s="17">
        <f t="shared" si="93"/>
        <v>0</v>
      </c>
      <c r="J273" s="287">
        <f>$J$5-0.02</f>
        <v>2.12</v>
      </c>
      <c r="K273" s="17" t="str">
        <f t="shared" si="86"/>
        <v>N</v>
      </c>
      <c r="L273" s="17">
        <f t="shared" si="87"/>
        <v>0</v>
      </c>
      <c r="M273" s="288">
        <v>0</v>
      </c>
      <c r="N273" s="287">
        <f>+J273-L273-M273</f>
        <v>2.12</v>
      </c>
      <c r="O273" s="289">
        <f t="shared" si="96"/>
        <v>0</v>
      </c>
      <c r="P273" s="211">
        <f t="shared" si="89"/>
        <v>0</v>
      </c>
      <c r="Q273" s="290">
        <f t="shared" si="97"/>
        <v>0</v>
      </c>
      <c r="R273" s="209">
        <f t="shared" si="94"/>
        <v>0</v>
      </c>
      <c r="U273" s="198"/>
      <c r="V273" s="198"/>
      <c r="W273" s="108">
        <v>0</v>
      </c>
      <c r="X273" s="108">
        <v>0</v>
      </c>
    </row>
    <row r="274" spans="1:24" s="41" customFormat="1" ht="15" customHeight="1" x14ac:dyDescent="0.2">
      <c r="A274" s="224">
        <v>833198</v>
      </c>
      <c r="B274" s="143" t="str">
        <f t="shared" si="90"/>
        <v>R &amp; M OIL &amp; GAS</v>
      </c>
      <c r="C274" s="6" t="s">
        <v>2</v>
      </c>
      <c r="D274" s="186" t="s">
        <v>1749</v>
      </c>
      <c r="E274" s="38">
        <v>166696</v>
      </c>
      <c r="F274" s="39"/>
      <c r="G274" s="578" t="s">
        <v>1427</v>
      </c>
      <c r="H274" s="17">
        <f t="shared" si="92"/>
        <v>0</v>
      </c>
      <c r="I274" s="17">
        <f t="shared" si="93"/>
        <v>177</v>
      </c>
      <c r="J274" s="100">
        <f>$J$5*0.98</f>
        <v>2.0972</v>
      </c>
      <c r="K274" s="17" t="str">
        <f t="shared" si="86"/>
        <v>N</v>
      </c>
      <c r="L274" s="17">
        <f t="shared" si="87"/>
        <v>0</v>
      </c>
      <c r="M274" s="106">
        <v>0</v>
      </c>
      <c r="N274" s="117">
        <f>J274-L274-M274</f>
        <v>2.0972</v>
      </c>
      <c r="O274" s="40">
        <f t="shared" si="96"/>
        <v>0</v>
      </c>
      <c r="P274" s="211">
        <f t="shared" si="89"/>
        <v>0</v>
      </c>
      <c r="Q274" s="164">
        <f t="shared" si="97"/>
        <v>371.20439999999996</v>
      </c>
      <c r="R274" s="209">
        <f t="shared" si="94"/>
        <v>371.20439999999996</v>
      </c>
      <c r="U274" s="198"/>
      <c r="V274" s="198"/>
      <c r="W274" s="47"/>
      <c r="X274" s="47"/>
    </row>
    <row r="275" spans="1:24" s="41" customFormat="1" ht="15" customHeight="1" x14ac:dyDescent="0.2">
      <c r="A275" s="224">
        <v>722242</v>
      </c>
      <c r="B275" s="143" t="str">
        <f t="shared" si="90"/>
        <v>R A MILLER EN</v>
      </c>
      <c r="C275" s="6" t="s">
        <v>2293</v>
      </c>
      <c r="D275" s="38"/>
      <c r="E275" s="38">
        <v>164680</v>
      </c>
      <c r="F275" s="39"/>
      <c r="G275" s="578" t="s">
        <v>1424</v>
      </c>
      <c r="H275" s="17">
        <f>IF(ISNA(VLOOKUP(A275,cgas9910,9,FALSE)),"na",VLOOKUP(A275,cgas9910,9,FALSE))</f>
        <v>0</v>
      </c>
      <c r="I275" s="17">
        <f>IF(ISNA(VLOOKUP(A275,cgas9910,10,FALSE)),0,(VLOOKUP(A275,cgas9910,10,FALSE)))</f>
        <v>0</v>
      </c>
      <c r="J275" s="100">
        <f>$J$5</f>
        <v>2.14</v>
      </c>
      <c r="K275" s="17" t="str">
        <f>IF(ISNA(VLOOKUP(A275,cgas9910,7,FALSE)),0,(VLOOKUP(A275,cgas9910,7,FALSE)))</f>
        <v>N</v>
      </c>
      <c r="L275" s="17">
        <f t="shared" si="87"/>
        <v>0</v>
      </c>
      <c r="M275" s="106">
        <v>0</v>
      </c>
      <c r="N275" s="117">
        <f>J275-L275-M275</f>
        <v>2.14</v>
      </c>
      <c r="O275" s="40">
        <f t="shared" si="96"/>
        <v>0</v>
      </c>
      <c r="P275" s="211">
        <f>IF(AND(A275&gt;700000,A275&lt;800000),+I275*0.001,0)</f>
        <v>0</v>
      </c>
      <c r="Q275" s="164">
        <f t="shared" si="97"/>
        <v>0</v>
      </c>
      <c r="R275" s="209">
        <f>+(I275*N275)-P275</f>
        <v>0</v>
      </c>
      <c r="U275" s="198"/>
      <c r="V275" s="198"/>
    </row>
    <row r="276" spans="1:24" s="41" customFormat="1" ht="15" customHeight="1" x14ac:dyDescent="0.2">
      <c r="A276" s="224">
        <v>722642</v>
      </c>
      <c r="B276" s="143" t="str">
        <f t="shared" si="90"/>
        <v>na</v>
      </c>
      <c r="C276" s="6" t="s">
        <v>2293</v>
      </c>
      <c r="D276" s="38"/>
      <c r="E276" s="38">
        <v>164680</v>
      </c>
      <c r="F276" s="39"/>
      <c r="G276" s="578" t="s">
        <v>1424</v>
      </c>
      <c r="H276" s="17" t="str">
        <f>IF(ISNA(VLOOKUP(A276,cgas9910,9,FALSE)),"na",VLOOKUP(A276,cgas9910,9,FALSE))</f>
        <v>na</v>
      </c>
      <c r="I276" s="17">
        <f>IF(ISNA(VLOOKUP(A276,cgas9910,10,FALSE)),0,(VLOOKUP(A276,cgas9910,10,FALSE)))</f>
        <v>0</v>
      </c>
      <c r="J276" s="100">
        <f>$J$5</f>
        <v>2.14</v>
      </c>
      <c r="K276" s="17">
        <f>IF(ISNA(VLOOKUP(A276,cgas9910,7,FALSE)),0,(VLOOKUP(A276,cgas9910,7,FALSE)))</f>
        <v>0</v>
      </c>
      <c r="L276" s="17">
        <f t="shared" si="87"/>
        <v>0.27</v>
      </c>
      <c r="M276" s="106">
        <v>0</v>
      </c>
      <c r="N276" s="117">
        <f>J276-L276-M276</f>
        <v>1.87</v>
      </c>
      <c r="O276" s="40" t="e">
        <f t="shared" si="96"/>
        <v>#VALUE!</v>
      </c>
      <c r="P276" s="211">
        <f>IF(AND(A276&gt;700000,A276&lt;800000),+I276*0.001,0)</f>
        <v>0</v>
      </c>
      <c r="Q276" s="164">
        <f t="shared" si="97"/>
        <v>0</v>
      </c>
      <c r="R276" s="209">
        <f>+(I276*N276)-P276</f>
        <v>0</v>
      </c>
      <c r="U276" s="198"/>
      <c r="V276" s="198"/>
    </row>
    <row r="277" spans="1:24" s="41" customFormat="1" ht="15" customHeight="1" x14ac:dyDescent="0.2">
      <c r="A277" s="333">
        <v>831742</v>
      </c>
      <c r="B277" s="143" t="str">
        <f t="shared" si="90"/>
        <v>na</v>
      </c>
      <c r="C277" s="358" t="s">
        <v>619</v>
      </c>
      <c r="D277" s="456" t="s">
        <v>1022</v>
      </c>
      <c r="E277" s="447" t="s">
        <v>824</v>
      </c>
      <c r="F277" s="447"/>
      <c r="G277" s="457" t="s">
        <v>1023</v>
      </c>
      <c r="H277" s="17" t="str">
        <f t="shared" si="92"/>
        <v>na</v>
      </c>
      <c r="I277" s="17">
        <f t="shared" si="93"/>
        <v>0</v>
      </c>
      <c r="J277" s="418" t="e">
        <f>+'Special Pricing'!$G$550</f>
        <v>#DIV/0!</v>
      </c>
      <c r="K277" s="17">
        <f t="shared" si="86"/>
        <v>0</v>
      </c>
      <c r="L277" s="17">
        <f t="shared" si="87"/>
        <v>0.27</v>
      </c>
      <c r="M277" s="288">
        <v>0.06</v>
      </c>
      <c r="N277" s="287" t="e">
        <f t="shared" ref="N277:N287" si="98">+J277-L277-M277</f>
        <v>#DIV/0!</v>
      </c>
      <c r="O277" s="289" t="e">
        <f t="shared" si="96"/>
        <v>#VALUE!</v>
      </c>
      <c r="P277" s="211">
        <f t="shared" si="89"/>
        <v>0</v>
      </c>
      <c r="Q277" s="290" t="e">
        <f t="shared" si="97"/>
        <v>#DIV/0!</v>
      </c>
      <c r="R277" s="209" t="e">
        <f t="shared" si="94"/>
        <v>#DIV/0!</v>
      </c>
      <c r="U277" s="198"/>
      <c r="V277" s="198"/>
      <c r="W277" s="108">
        <v>0.27</v>
      </c>
      <c r="X277" s="108">
        <v>0.06</v>
      </c>
    </row>
    <row r="278" spans="1:24" s="41" customFormat="1" ht="15" customHeight="1" x14ac:dyDescent="0.2">
      <c r="A278" s="333">
        <v>834873</v>
      </c>
      <c r="B278" s="143" t="str">
        <f t="shared" si="90"/>
        <v>na</v>
      </c>
      <c r="C278" s="358" t="s">
        <v>619</v>
      </c>
      <c r="D278" s="458">
        <v>76053</v>
      </c>
      <c r="E278" s="459" t="s">
        <v>824</v>
      </c>
      <c r="F278" s="459"/>
      <c r="G278" s="457" t="s">
        <v>1023</v>
      </c>
      <c r="H278" s="17" t="str">
        <f t="shared" si="92"/>
        <v>na</v>
      </c>
      <c r="I278" s="17">
        <f t="shared" si="93"/>
        <v>0</v>
      </c>
      <c r="J278" s="418" t="e">
        <f>+'Special Pricing'!$G$550</f>
        <v>#DIV/0!</v>
      </c>
      <c r="K278" s="17">
        <f t="shared" si="86"/>
        <v>0</v>
      </c>
      <c r="L278" s="17">
        <f t="shared" si="87"/>
        <v>0.27</v>
      </c>
      <c r="M278" s="288">
        <v>0.06</v>
      </c>
      <c r="N278" s="287" t="e">
        <f t="shared" si="98"/>
        <v>#DIV/0!</v>
      </c>
      <c r="O278" s="289" t="e">
        <f t="shared" si="96"/>
        <v>#VALUE!</v>
      </c>
      <c r="P278" s="211">
        <f t="shared" si="89"/>
        <v>0</v>
      </c>
      <c r="Q278" s="290" t="e">
        <f t="shared" si="97"/>
        <v>#DIV/0!</v>
      </c>
      <c r="R278" s="209" t="e">
        <f t="shared" si="94"/>
        <v>#DIV/0!</v>
      </c>
      <c r="U278" s="198"/>
      <c r="V278" s="198"/>
      <c r="W278" s="108">
        <v>0</v>
      </c>
      <c r="X278" s="108">
        <v>0.06</v>
      </c>
    </row>
    <row r="279" spans="1:24" s="41" customFormat="1" ht="15" customHeight="1" x14ac:dyDescent="0.2">
      <c r="A279" s="224">
        <v>602405</v>
      </c>
      <c r="B279" s="143" t="str">
        <f>IF(ISNA(VLOOKUP(A279,cgas9910,3,FALSE)),"na",VLOOKUP(A279,cgas9910,3,FALSE))</f>
        <v>CONNELLEY, R&amp;L</v>
      </c>
      <c r="C279" s="6" t="s">
        <v>1636</v>
      </c>
      <c r="D279" s="8"/>
      <c r="E279" s="8">
        <v>164506</v>
      </c>
      <c r="F279" s="39"/>
      <c r="G279" s="578" t="s">
        <v>1424</v>
      </c>
      <c r="H279" s="17">
        <f>IF(ISNA(VLOOKUP(A279,cgas9910,9,FALSE)),"na",VLOOKUP(A279,cgas9910,9,FALSE))</f>
        <v>0</v>
      </c>
      <c r="I279" s="17">
        <f>IF(ISNA(VLOOKUP(A279,cgas9910,10,FALSE)),0,(VLOOKUP(A279,cgas9910,10,FALSE)))</f>
        <v>148</v>
      </c>
      <c r="J279" s="100">
        <f>$J$5</f>
        <v>2.14</v>
      </c>
      <c r="K279" s="17" t="str">
        <f>IF(ISNA(VLOOKUP(A279,cgas9910,7,FALSE)),0,(VLOOKUP(A279,cgas9910,7,FALSE)))</f>
        <v>I</v>
      </c>
      <c r="L279" s="17">
        <f>IF(K279="N",0,0.27)</f>
        <v>0.27</v>
      </c>
      <c r="M279" s="106">
        <v>0</v>
      </c>
      <c r="N279" s="117">
        <f>J279-L279-M279</f>
        <v>1.87</v>
      </c>
      <c r="O279" s="40">
        <f>+H279*0.001</f>
        <v>0</v>
      </c>
      <c r="P279" s="211">
        <f>IF(AND(A279&gt;700000,A279&lt;800000),+I279*0.001,0)</f>
        <v>0</v>
      </c>
      <c r="Q279" s="164">
        <f>+N279*I279</f>
        <v>276.76</v>
      </c>
      <c r="R279" s="209">
        <f>+(I279*N279)-P279</f>
        <v>276.76</v>
      </c>
      <c r="U279" s="198"/>
      <c r="V279" s="198"/>
      <c r="W279" s="108"/>
      <c r="X279" s="108"/>
    </row>
    <row r="280" spans="1:24" s="41" customFormat="1" ht="15" customHeight="1" x14ac:dyDescent="0.2">
      <c r="A280" s="285">
        <v>734209</v>
      </c>
      <c r="B280" s="143" t="str">
        <f t="shared" si="90"/>
        <v>ENNEY OILFIELD</v>
      </c>
      <c r="C280" s="286" t="s">
        <v>826</v>
      </c>
      <c r="D280" s="17">
        <v>78624</v>
      </c>
      <c r="E280" s="286" t="s">
        <v>827</v>
      </c>
      <c r="F280" s="286"/>
      <c r="G280" s="17" t="s">
        <v>1424</v>
      </c>
      <c r="H280" s="17">
        <f t="shared" si="92"/>
        <v>0</v>
      </c>
      <c r="I280" s="17">
        <f t="shared" si="93"/>
        <v>0</v>
      </c>
      <c r="J280" s="354">
        <f>+$J$5</f>
        <v>2.14</v>
      </c>
      <c r="K280" s="17" t="str">
        <f t="shared" si="86"/>
        <v>N</v>
      </c>
      <c r="L280" s="17">
        <f t="shared" si="87"/>
        <v>0</v>
      </c>
      <c r="M280" s="288">
        <v>0</v>
      </c>
      <c r="N280" s="287">
        <f t="shared" si="98"/>
        <v>2.14</v>
      </c>
      <c r="O280" s="289">
        <f t="shared" si="96"/>
        <v>0</v>
      </c>
      <c r="P280" s="211">
        <f t="shared" si="89"/>
        <v>0</v>
      </c>
      <c r="Q280" s="290">
        <f t="shared" si="97"/>
        <v>0</v>
      </c>
      <c r="R280" s="209">
        <f t="shared" si="94"/>
        <v>0</v>
      </c>
      <c r="U280" s="198"/>
      <c r="V280" s="198"/>
      <c r="W280" s="108">
        <v>0</v>
      </c>
      <c r="X280" s="108">
        <v>0</v>
      </c>
    </row>
    <row r="281" spans="1:24" s="41" customFormat="1" ht="15" customHeight="1" x14ac:dyDescent="0.2">
      <c r="A281" s="285">
        <v>734272</v>
      </c>
      <c r="B281" s="143" t="str">
        <f t="shared" si="90"/>
        <v>na</v>
      </c>
      <c r="C281" s="286" t="s">
        <v>438</v>
      </c>
      <c r="D281" s="286"/>
      <c r="E281" s="38" t="s">
        <v>439</v>
      </c>
      <c r="F281" s="285" t="s">
        <v>440</v>
      </c>
      <c r="G281" s="285" t="s">
        <v>441</v>
      </c>
      <c r="H281" s="17" t="str">
        <f t="shared" si="92"/>
        <v>na</v>
      </c>
      <c r="I281" s="17">
        <f t="shared" si="93"/>
        <v>0</v>
      </c>
      <c r="J281" s="287">
        <f>$J$5*0.985</f>
        <v>2.1078999999999999</v>
      </c>
      <c r="K281" s="17">
        <f t="shared" si="86"/>
        <v>0</v>
      </c>
      <c r="L281" s="17">
        <f t="shared" si="87"/>
        <v>0.27</v>
      </c>
      <c r="M281" s="288">
        <v>0</v>
      </c>
      <c r="N281" s="287">
        <f t="shared" si="98"/>
        <v>1.8378999999999999</v>
      </c>
      <c r="O281" s="289" t="e">
        <f t="shared" si="96"/>
        <v>#VALUE!</v>
      </c>
      <c r="P281" s="211">
        <f t="shared" si="89"/>
        <v>0</v>
      </c>
      <c r="Q281" s="290">
        <f t="shared" si="97"/>
        <v>0</v>
      </c>
      <c r="R281" s="209">
        <f t="shared" si="94"/>
        <v>0</v>
      </c>
      <c r="U281" s="288"/>
      <c r="V281" s="288"/>
    </row>
    <row r="282" spans="1:24" s="41" customFormat="1" ht="15" customHeight="1" x14ac:dyDescent="0.2">
      <c r="A282" s="285">
        <v>712310</v>
      </c>
      <c r="B282" s="143" t="str">
        <f t="shared" si="90"/>
        <v>SOUTHERN TRIANG</v>
      </c>
      <c r="C282" s="286" t="s">
        <v>442</v>
      </c>
      <c r="D282" s="286"/>
      <c r="E282" s="38" t="s">
        <v>443</v>
      </c>
      <c r="F282" s="285" t="s">
        <v>444</v>
      </c>
      <c r="G282" s="285" t="s">
        <v>445</v>
      </c>
      <c r="H282" s="17">
        <f t="shared" ref="H282:H311" si="99">IF(ISNA(VLOOKUP(A282,cgas9910,9,FALSE)),"na",VLOOKUP(A282,cgas9910,9,FALSE))</f>
        <v>0</v>
      </c>
      <c r="I282" s="17">
        <f t="shared" ref="I282:I311" si="100">IF(ISNA(VLOOKUP(A282,cgas9910,10,FALSE)),0,(VLOOKUP(A282,cgas9910,10,FALSE)))</f>
        <v>0</v>
      </c>
      <c r="J282" s="287">
        <f t="shared" ref="J282:J287" si="101">$J$5</f>
        <v>2.14</v>
      </c>
      <c r="K282" s="17" t="str">
        <f t="shared" si="86"/>
        <v>N</v>
      </c>
      <c r="L282" s="17">
        <f t="shared" si="87"/>
        <v>0</v>
      </c>
      <c r="M282" s="288">
        <v>0</v>
      </c>
      <c r="N282" s="287">
        <f t="shared" si="98"/>
        <v>2.14</v>
      </c>
      <c r="O282" s="289">
        <f t="shared" si="96"/>
        <v>0</v>
      </c>
      <c r="P282" s="211">
        <f t="shared" si="89"/>
        <v>0</v>
      </c>
      <c r="Q282" s="290">
        <f t="shared" si="97"/>
        <v>0</v>
      </c>
      <c r="R282" s="209">
        <f t="shared" si="94"/>
        <v>0</v>
      </c>
      <c r="U282" s="288"/>
      <c r="V282" s="288"/>
    </row>
    <row r="283" spans="1:24" s="41" customFormat="1" ht="15" customHeight="1" x14ac:dyDescent="0.2">
      <c r="A283" s="285">
        <v>712366</v>
      </c>
      <c r="B283" s="143" t="str">
        <f t="shared" si="90"/>
        <v>SOUTHERN TRIANG</v>
      </c>
      <c r="C283" s="286" t="s">
        <v>442</v>
      </c>
      <c r="D283" s="286"/>
      <c r="E283" s="38" t="s">
        <v>443</v>
      </c>
      <c r="F283" s="285" t="s">
        <v>444</v>
      </c>
      <c r="G283" s="285" t="s">
        <v>445</v>
      </c>
      <c r="H283" s="17">
        <f t="shared" si="99"/>
        <v>0</v>
      </c>
      <c r="I283" s="17">
        <f t="shared" si="100"/>
        <v>0</v>
      </c>
      <c r="J283" s="287">
        <f t="shared" si="101"/>
        <v>2.14</v>
      </c>
      <c r="K283" s="17" t="str">
        <f t="shared" si="86"/>
        <v>N</v>
      </c>
      <c r="L283" s="17">
        <f t="shared" si="87"/>
        <v>0</v>
      </c>
      <c r="M283" s="288">
        <v>0</v>
      </c>
      <c r="N283" s="287">
        <f t="shared" si="98"/>
        <v>2.14</v>
      </c>
      <c r="O283" s="289">
        <f t="shared" si="96"/>
        <v>0</v>
      </c>
      <c r="P283" s="211">
        <f t="shared" si="89"/>
        <v>0</v>
      </c>
      <c r="Q283" s="290">
        <f t="shared" si="97"/>
        <v>0</v>
      </c>
      <c r="R283" s="209">
        <f t="shared" si="94"/>
        <v>0</v>
      </c>
      <c r="U283" s="288"/>
      <c r="V283" s="288"/>
    </row>
    <row r="284" spans="1:24" s="41" customFormat="1" ht="15" customHeight="1" x14ac:dyDescent="0.2">
      <c r="A284" s="285">
        <v>712721</v>
      </c>
      <c r="B284" s="143" t="str">
        <f t="shared" si="90"/>
        <v>SOUTHERN TRIANG</v>
      </c>
      <c r="C284" s="286" t="s">
        <v>442</v>
      </c>
      <c r="D284" s="286"/>
      <c r="E284" s="38" t="s">
        <v>443</v>
      </c>
      <c r="F284" s="285" t="s">
        <v>444</v>
      </c>
      <c r="G284" s="285" t="s">
        <v>445</v>
      </c>
      <c r="H284" s="17">
        <f t="shared" si="99"/>
        <v>0</v>
      </c>
      <c r="I284" s="17">
        <f t="shared" si="100"/>
        <v>0</v>
      </c>
      <c r="J284" s="287">
        <f t="shared" si="101"/>
        <v>2.14</v>
      </c>
      <c r="K284" s="17" t="str">
        <f t="shared" si="86"/>
        <v>I</v>
      </c>
      <c r="L284" s="17">
        <f t="shared" si="87"/>
        <v>0.27</v>
      </c>
      <c r="M284" s="288">
        <v>0</v>
      </c>
      <c r="N284" s="287">
        <f t="shared" si="98"/>
        <v>1.87</v>
      </c>
      <c r="O284" s="289">
        <f t="shared" si="96"/>
        <v>0</v>
      </c>
      <c r="P284" s="211">
        <f t="shared" si="89"/>
        <v>0</v>
      </c>
      <c r="Q284" s="290">
        <f t="shared" si="97"/>
        <v>0</v>
      </c>
      <c r="R284" s="209">
        <f t="shared" si="94"/>
        <v>0</v>
      </c>
      <c r="U284" s="288"/>
      <c r="V284" s="288"/>
    </row>
    <row r="285" spans="1:24" s="41" customFormat="1" ht="15" customHeight="1" x14ac:dyDescent="0.2">
      <c r="A285" s="285">
        <v>716747</v>
      </c>
      <c r="B285" s="143" t="str">
        <f t="shared" si="90"/>
        <v>SOUTHERN TRIANG</v>
      </c>
      <c r="C285" s="286" t="s">
        <v>442</v>
      </c>
      <c r="D285" s="286"/>
      <c r="E285" s="38" t="s">
        <v>443</v>
      </c>
      <c r="F285" s="285" t="s">
        <v>444</v>
      </c>
      <c r="G285" s="285" t="s">
        <v>445</v>
      </c>
      <c r="H285" s="17">
        <f>IF(ISNA(VLOOKUP(A285,cgas9910,9,FALSE)),"na",VLOOKUP(A285,cgas9910,9,FALSE))</f>
        <v>0</v>
      </c>
      <c r="I285" s="17">
        <f>IF(ISNA(VLOOKUP(A285,cgas9910,10,FALSE)),0,(VLOOKUP(A285,cgas9910,10,FALSE)))</f>
        <v>0</v>
      </c>
      <c r="J285" s="287">
        <f t="shared" si="101"/>
        <v>2.14</v>
      </c>
      <c r="K285" s="17" t="str">
        <f>IF(ISNA(VLOOKUP(A285,cgas9910,7,FALSE)),0,(VLOOKUP(A285,cgas9910,7,FALSE)))</f>
        <v>N</v>
      </c>
      <c r="L285" s="17">
        <f t="shared" si="87"/>
        <v>0</v>
      </c>
      <c r="M285" s="288">
        <v>0</v>
      </c>
      <c r="N285" s="287">
        <f>+J285-L285-M285</f>
        <v>2.14</v>
      </c>
      <c r="O285" s="289">
        <f>+H285*0.001</f>
        <v>0</v>
      </c>
      <c r="P285" s="211">
        <f>IF(AND(A285&gt;700000,A285&lt;800000),+I285*0.001,0)</f>
        <v>0</v>
      </c>
      <c r="Q285" s="290">
        <f>+N285*I285</f>
        <v>0</v>
      </c>
      <c r="R285" s="209">
        <f>+(I285*N285)-P285</f>
        <v>0</v>
      </c>
      <c r="U285" s="288"/>
      <c r="V285" s="288"/>
    </row>
    <row r="286" spans="1:24" s="41" customFormat="1" ht="15" customHeight="1" x14ac:dyDescent="0.2">
      <c r="A286" s="825">
        <v>737078</v>
      </c>
      <c r="B286" s="143" t="str">
        <f t="shared" si="90"/>
        <v>na</v>
      </c>
      <c r="C286" s="286" t="s">
        <v>1585</v>
      </c>
      <c r="D286" s="838" t="s">
        <v>1596</v>
      </c>
      <c r="E286" s="38" t="s">
        <v>443</v>
      </c>
      <c r="F286" s="285" t="s">
        <v>444</v>
      </c>
      <c r="G286" s="285" t="s">
        <v>445</v>
      </c>
      <c r="H286" s="17" t="str">
        <f>IF(ISNA(VLOOKUP(A286,cgas9910,9,FALSE)),"na",VLOOKUP(A286,cgas9910,9,FALSE))</f>
        <v>na</v>
      </c>
      <c r="I286" s="17">
        <f>IF(ISNA(VLOOKUP(A286,cgas9910,10,FALSE)),0,(VLOOKUP(A286,cgas9910,10,FALSE)))</f>
        <v>0</v>
      </c>
      <c r="J286" s="287">
        <f>$J$5*0.99</f>
        <v>2.1186000000000003</v>
      </c>
      <c r="K286" s="17">
        <f t="shared" si="86"/>
        <v>0</v>
      </c>
      <c r="L286" s="17">
        <v>0</v>
      </c>
      <c r="M286" s="288">
        <v>0</v>
      </c>
      <c r="N286" s="287">
        <f t="shared" si="98"/>
        <v>2.1186000000000003</v>
      </c>
      <c r="O286" s="289" t="e">
        <f t="shared" si="96"/>
        <v>#VALUE!</v>
      </c>
      <c r="P286" s="211">
        <f t="shared" si="89"/>
        <v>0</v>
      </c>
      <c r="Q286" s="290">
        <f t="shared" si="97"/>
        <v>0</v>
      </c>
      <c r="R286" s="209">
        <f t="shared" si="94"/>
        <v>0</v>
      </c>
      <c r="S286" s="826" t="s">
        <v>462</v>
      </c>
      <c r="U286" s="288"/>
      <c r="V286" s="288"/>
    </row>
    <row r="287" spans="1:24" s="41" customFormat="1" ht="15" customHeight="1" x14ac:dyDescent="0.2">
      <c r="A287" s="285">
        <v>733453</v>
      </c>
      <c r="B287" s="143" t="str">
        <f t="shared" si="90"/>
        <v>STOCKER &amp; SITLE</v>
      </c>
      <c r="C287" s="286" t="s">
        <v>446</v>
      </c>
      <c r="D287" s="286"/>
      <c r="E287" s="38" t="s">
        <v>447</v>
      </c>
      <c r="F287" s="285" t="s">
        <v>453</v>
      </c>
      <c r="G287" s="654" t="s">
        <v>454</v>
      </c>
      <c r="H287" s="17">
        <f t="shared" si="99"/>
        <v>0</v>
      </c>
      <c r="I287" s="17">
        <f t="shared" si="100"/>
        <v>0</v>
      </c>
      <c r="J287" s="537">
        <f t="shared" si="101"/>
        <v>2.14</v>
      </c>
      <c r="K287" s="17" t="str">
        <f t="shared" si="86"/>
        <v>N</v>
      </c>
      <c r="L287" s="17">
        <f t="shared" si="87"/>
        <v>0</v>
      </c>
      <c r="M287" s="288">
        <v>0</v>
      </c>
      <c r="N287" s="287">
        <f t="shared" si="98"/>
        <v>2.14</v>
      </c>
      <c r="O287" s="289">
        <f t="shared" si="96"/>
        <v>0</v>
      </c>
      <c r="P287" s="211">
        <f t="shared" si="89"/>
        <v>0</v>
      </c>
      <c r="Q287" s="290">
        <f t="shared" si="97"/>
        <v>0</v>
      </c>
      <c r="R287" s="209">
        <f t="shared" si="94"/>
        <v>0</v>
      </c>
      <c r="U287" s="288"/>
      <c r="V287" s="288"/>
    </row>
    <row r="288" spans="1:24" s="41" customFormat="1" ht="15" customHeight="1" x14ac:dyDescent="0.2">
      <c r="A288" s="825">
        <v>717940</v>
      </c>
      <c r="B288" s="143" t="str">
        <f t="shared" si="90"/>
        <v>O`NEAL PETROLEU</v>
      </c>
      <c r="C288" s="932" t="s">
        <v>1499</v>
      </c>
      <c r="D288" s="286"/>
      <c r="E288" s="38" t="s">
        <v>401</v>
      </c>
      <c r="F288" s="285" t="s">
        <v>402</v>
      </c>
      <c r="G288" s="39" t="s">
        <v>1424</v>
      </c>
      <c r="H288" s="17">
        <f>IF(ISNA(VLOOKUP(A288,cgas9910,9,FALSE)),"na",VLOOKUP(A288,cgas9910,9,FALSE))</f>
        <v>0</v>
      </c>
      <c r="I288" s="17">
        <f>IF(ISNA(VLOOKUP(A288,cgas9910,10,FALSE)),0,(VLOOKUP(A288,cgas9910,10,FALSE)))</f>
        <v>0</v>
      </c>
      <c r="J288" s="100">
        <f>$J$5</f>
        <v>2.14</v>
      </c>
      <c r="K288" s="17" t="str">
        <f t="shared" si="86"/>
        <v>N</v>
      </c>
      <c r="L288" s="17">
        <f t="shared" si="87"/>
        <v>0</v>
      </c>
      <c r="M288" s="288">
        <v>0</v>
      </c>
      <c r="N288" s="287">
        <f>+J288-L288-M288</f>
        <v>2.14</v>
      </c>
      <c r="O288" s="289">
        <f>+H288*0.001</f>
        <v>0</v>
      </c>
      <c r="P288" s="211">
        <f>IF(AND(A288&gt;700000,A288&lt;800000),+I288*0.001,0)</f>
        <v>0</v>
      </c>
      <c r="Q288" s="290">
        <f>+N288*I288</f>
        <v>0</v>
      </c>
      <c r="R288" s="209">
        <f>+(I288*N288)-P288</f>
        <v>0</v>
      </c>
      <c r="S288" s="827" t="s">
        <v>462</v>
      </c>
      <c r="T288" s="47"/>
      <c r="U288" s="288"/>
      <c r="V288" s="288"/>
    </row>
    <row r="289" spans="1:24" s="41" customFormat="1" ht="15" customHeight="1" x14ac:dyDescent="0.2">
      <c r="A289" s="224">
        <v>721820</v>
      </c>
      <c r="B289" s="143" t="str">
        <f t="shared" si="90"/>
        <v>na</v>
      </c>
      <c r="C289" s="932" t="s">
        <v>1499</v>
      </c>
      <c r="D289" s="186" t="s">
        <v>1890</v>
      </c>
      <c r="E289" s="38">
        <v>166859</v>
      </c>
      <c r="F289" s="39"/>
      <c r="G289" s="578" t="s">
        <v>1424</v>
      </c>
      <c r="H289" s="17" t="str">
        <f>IF(ISNA(VLOOKUP(A289,cgas9910,9,FALSE)),"na",VLOOKUP(A289,cgas9910,9,FALSE))</f>
        <v>na</v>
      </c>
      <c r="I289" s="17">
        <f>IF(ISNA(VLOOKUP(A289,cgas9910,10,FALSE)),0,(VLOOKUP(A289,cgas9910,10,FALSE)))</f>
        <v>0</v>
      </c>
      <c r="J289" s="100">
        <f t="shared" ref="J289:J300" si="102">$J$5</f>
        <v>2.14</v>
      </c>
      <c r="K289" s="17">
        <f t="shared" si="86"/>
        <v>0</v>
      </c>
      <c r="L289" s="17">
        <f t="shared" si="87"/>
        <v>0.27</v>
      </c>
      <c r="M289" s="106">
        <v>0</v>
      </c>
      <c r="N289" s="117">
        <f>J289-L289-M289</f>
        <v>1.87</v>
      </c>
      <c r="O289" s="40" t="e">
        <f>+H289*0.001</f>
        <v>#VALUE!</v>
      </c>
      <c r="P289" s="211">
        <f>IF(AND(A289&gt;700000,A289&lt;800000),+I289*0.001,0)</f>
        <v>0</v>
      </c>
      <c r="Q289" s="164">
        <f>+N289*I289</f>
        <v>0</v>
      </c>
      <c r="R289" s="209">
        <f>+(I289*N289)-P289</f>
        <v>0</v>
      </c>
      <c r="U289" s="198"/>
      <c r="V289" s="198"/>
    </row>
    <row r="290" spans="1:24" s="41" customFormat="1" ht="15" customHeight="1" x14ac:dyDescent="0.2">
      <c r="A290" s="224">
        <v>721822</v>
      </c>
      <c r="B290" s="143" t="str">
        <f t="shared" si="90"/>
        <v>na</v>
      </c>
      <c r="C290" s="932" t="s">
        <v>1499</v>
      </c>
      <c r="D290" s="186" t="s">
        <v>1890</v>
      </c>
      <c r="E290" s="38">
        <v>166859</v>
      </c>
      <c r="F290" s="39"/>
      <c r="G290" s="578" t="s">
        <v>1424</v>
      </c>
      <c r="H290" s="17" t="str">
        <f>IF(ISNA(VLOOKUP(A290,cgas9910,9,FALSE)),"na",VLOOKUP(A290,cgas9910,9,FALSE))</f>
        <v>na</v>
      </c>
      <c r="I290" s="17">
        <f>IF(ISNA(VLOOKUP(A290,cgas9910,10,FALSE)),0,(VLOOKUP(A290,cgas9910,10,FALSE)))</f>
        <v>0</v>
      </c>
      <c r="J290" s="100">
        <f t="shared" si="102"/>
        <v>2.14</v>
      </c>
      <c r="K290" s="17">
        <f>IF(ISNA(VLOOKUP(A290,cgas9910,7,FALSE)),0,(VLOOKUP(A290,cgas9910,7,FALSE)))</f>
        <v>0</v>
      </c>
      <c r="L290" s="17">
        <f t="shared" si="87"/>
        <v>0.27</v>
      </c>
      <c r="M290" s="106">
        <v>0</v>
      </c>
      <c r="N290" s="117">
        <f>J290-L290-M290</f>
        <v>1.87</v>
      </c>
      <c r="O290" s="40" t="e">
        <f>+H290*0.001</f>
        <v>#VALUE!</v>
      </c>
      <c r="P290" s="211">
        <f>IF(AND(A290&gt;700000,A290&lt;800000),+I290*0.001,0)</f>
        <v>0</v>
      </c>
      <c r="Q290" s="164">
        <f>+N290*I290</f>
        <v>0</v>
      </c>
      <c r="R290" s="209">
        <f>+(I290*N290)-P290</f>
        <v>0</v>
      </c>
      <c r="U290" s="198"/>
      <c r="V290" s="198"/>
    </row>
    <row r="291" spans="1:24" s="41" customFormat="1" ht="15" customHeight="1" x14ac:dyDescent="0.2">
      <c r="A291" s="224">
        <v>721824</v>
      </c>
      <c r="B291" s="143" t="str">
        <f t="shared" si="90"/>
        <v>PRODUCERS</v>
      </c>
      <c r="C291" s="932" t="s">
        <v>1499</v>
      </c>
      <c r="D291" s="186" t="s">
        <v>1890</v>
      </c>
      <c r="E291" s="38">
        <v>166859</v>
      </c>
      <c r="F291" s="39"/>
      <c r="G291" s="578" t="s">
        <v>1424</v>
      </c>
      <c r="H291" s="17">
        <f t="shared" si="99"/>
        <v>0</v>
      </c>
      <c r="I291" s="17">
        <f t="shared" si="100"/>
        <v>0</v>
      </c>
      <c r="J291" s="100">
        <f t="shared" si="102"/>
        <v>2.14</v>
      </c>
      <c r="K291" s="17" t="str">
        <f t="shared" si="86"/>
        <v>N</v>
      </c>
      <c r="L291" s="17">
        <f t="shared" si="87"/>
        <v>0</v>
      </c>
      <c r="M291" s="106">
        <v>0</v>
      </c>
      <c r="N291" s="117">
        <f t="shared" ref="N291:N308" si="103">J291-L291-M291</f>
        <v>2.14</v>
      </c>
      <c r="O291" s="40">
        <f t="shared" si="96"/>
        <v>0</v>
      </c>
      <c r="P291" s="211">
        <f t="shared" si="89"/>
        <v>0</v>
      </c>
      <c r="Q291" s="164">
        <f t="shared" si="97"/>
        <v>0</v>
      </c>
      <c r="R291" s="209">
        <f t="shared" si="94"/>
        <v>0</v>
      </c>
      <c r="U291" s="198"/>
      <c r="V291" s="198"/>
    </row>
    <row r="292" spans="1:24" s="41" customFormat="1" ht="15" customHeight="1" x14ac:dyDescent="0.2">
      <c r="A292" s="224">
        <v>721826</v>
      </c>
      <c r="B292" s="143" t="str">
        <f t="shared" si="90"/>
        <v>PRODUCERS</v>
      </c>
      <c r="C292" s="932" t="s">
        <v>1499</v>
      </c>
      <c r="D292" s="186" t="s">
        <v>1890</v>
      </c>
      <c r="E292" s="38">
        <v>166859</v>
      </c>
      <c r="F292" s="39"/>
      <c r="G292" s="578" t="s">
        <v>1424</v>
      </c>
      <c r="H292" s="17">
        <f>IF(ISNA(VLOOKUP(A292,cgas9910,9,FALSE)),"na",VLOOKUP(A292,cgas9910,9,FALSE))</f>
        <v>0</v>
      </c>
      <c r="I292" s="17">
        <f>IF(ISNA(VLOOKUP(A292,cgas9910,10,FALSE)),0,(VLOOKUP(A292,cgas9910,10,FALSE)))</f>
        <v>0</v>
      </c>
      <c r="J292" s="100">
        <f t="shared" si="102"/>
        <v>2.14</v>
      </c>
      <c r="K292" s="17" t="str">
        <f>IF(ISNA(VLOOKUP(A292,cgas9910,7,FALSE)),0,(VLOOKUP(A292,cgas9910,7,FALSE)))</f>
        <v>N</v>
      </c>
      <c r="L292" s="17">
        <f t="shared" si="87"/>
        <v>0</v>
      </c>
      <c r="M292" s="106">
        <v>0</v>
      </c>
      <c r="N292" s="117">
        <f>J292-L292-M292</f>
        <v>2.14</v>
      </c>
      <c r="O292" s="40">
        <f>+H292*0.001</f>
        <v>0</v>
      </c>
      <c r="P292" s="211">
        <f>IF(AND(A292&gt;700000,A292&lt;800000),+I292*0.001,0)</f>
        <v>0</v>
      </c>
      <c r="Q292" s="164">
        <f>+N292*I292</f>
        <v>0</v>
      </c>
      <c r="R292" s="209">
        <f>+(I292*N292)-P292</f>
        <v>0</v>
      </c>
      <c r="U292" s="198"/>
      <c r="V292" s="198"/>
    </row>
    <row r="293" spans="1:24" s="41" customFormat="1" ht="15" customHeight="1" x14ac:dyDescent="0.2">
      <c r="A293" s="270">
        <v>721827</v>
      </c>
      <c r="B293" s="143" t="str">
        <f t="shared" si="90"/>
        <v>PRODUCERS</v>
      </c>
      <c r="C293" s="932" t="s">
        <v>1499</v>
      </c>
      <c r="D293" s="186" t="s">
        <v>1890</v>
      </c>
      <c r="E293" s="38">
        <v>166859</v>
      </c>
      <c r="F293" s="39"/>
      <c r="G293" s="578" t="s">
        <v>1424</v>
      </c>
      <c r="H293" s="17">
        <f t="shared" si="99"/>
        <v>0</v>
      </c>
      <c r="I293" s="17">
        <f t="shared" si="100"/>
        <v>0</v>
      </c>
      <c r="J293" s="100">
        <f t="shared" si="102"/>
        <v>2.14</v>
      </c>
      <c r="K293" s="17" t="str">
        <f t="shared" si="86"/>
        <v>N</v>
      </c>
      <c r="L293" s="17">
        <f t="shared" si="87"/>
        <v>0</v>
      </c>
      <c r="M293" s="106">
        <v>0</v>
      </c>
      <c r="N293" s="117">
        <f t="shared" si="103"/>
        <v>2.14</v>
      </c>
      <c r="O293" s="40">
        <f t="shared" si="96"/>
        <v>0</v>
      </c>
      <c r="P293" s="211">
        <f t="shared" si="89"/>
        <v>0</v>
      </c>
      <c r="Q293" s="164">
        <f t="shared" si="97"/>
        <v>0</v>
      </c>
      <c r="R293" s="209">
        <f t="shared" si="94"/>
        <v>0</v>
      </c>
      <c r="S293" s="827" t="s">
        <v>462</v>
      </c>
      <c r="U293" s="198"/>
      <c r="V293" s="198"/>
    </row>
    <row r="294" spans="1:24" s="41" customFormat="1" ht="15" customHeight="1" x14ac:dyDescent="0.2">
      <c r="A294" s="224">
        <v>722031</v>
      </c>
      <c r="B294" s="143" t="str">
        <f t="shared" si="90"/>
        <v>na</v>
      </c>
      <c r="C294" s="932" t="s">
        <v>1499</v>
      </c>
      <c r="D294" s="186" t="s">
        <v>1890</v>
      </c>
      <c r="E294" s="38">
        <v>166859</v>
      </c>
      <c r="F294" s="39"/>
      <c r="G294" s="578" t="s">
        <v>1424</v>
      </c>
      <c r="H294" s="17" t="str">
        <f t="shared" si="99"/>
        <v>na</v>
      </c>
      <c r="I294" s="17">
        <f t="shared" si="100"/>
        <v>0</v>
      </c>
      <c r="J294" s="100">
        <f t="shared" si="102"/>
        <v>2.14</v>
      </c>
      <c r="K294" s="17">
        <f t="shared" si="86"/>
        <v>0</v>
      </c>
      <c r="L294" s="17">
        <f t="shared" si="87"/>
        <v>0.27</v>
      </c>
      <c r="M294" s="106">
        <v>0</v>
      </c>
      <c r="N294" s="117">
        <f t="shared" si="103"/>
        <v>1.87</v>
      </c>
      <c r="O294" s="40" t="e">
        <f t="shared" si="96"/>
        <v>#VALUE!</v>
      </c>
      <c r="P294" s="211">
        <f t="shared" si="89"/>
        <v>0</v>
      </c>
      <c r="Q294" s="164">
        <f t="shared" si="97"/>
        <v>0</v>
      </c>
      <c r="R294" s="209">
        <f t="shared" si="94"/>
        <v>0</v>
      </c>
      <c r="S294" s="23"/>
      <c r="T294" s="23"/>
      <c r="U294" s="308"/>
      <c r="V294" s="198"/>
    </row>
    <row r="295" spans="1:24" s="41" customFormat="1" ht="15" customHeight="1" x14ac:dyDescent="0.2">
      <c r="A295" s="224">
        <v>722321</v>
      </c>
      <c r="B295" s="143" t="str">
        <f t="shared" si="90"/>
        <v>na</v>
      </c>
      <c r="C295" s="932" t="s">
        <v>1499</v>
      </c>
      <c r="D295" s="186" t="s">
        <v>1893</v>
      </c>
      <c r="E295" s="38">
        <v>166859</v>
      </c>
      <c r="F295" s="39"/>
      <c r="G295" s="578" t="s">
        <v>1424</v>
      </c>
      <c r="H295" s="17" t="str">
        <f t="shared" si="99"/>
        <v>na</v>
      </c>
      <c r="I295" s="17">
        <f t="shared" si="100"/>
        <v>0</v>
      </c>
      <c r="J295" s="100">
        <f t="shared" si="102"/>
        <v>2.14</v>
      </c>
      <c r="K295" s="17">
        <f t="shared" si="86"/>
        <v>0</v>
      </c>
      <c r="L295" s="17">
        <f t="shared" si="87"/>
        <v>0.27</v>
      </c>
      <c r="M295" s="106">
        <v>0</v>
      </c>
      <c r="N295" s="117">
        <f t="shared" si="103"/>
        <v>1.87</v>
      </c>
      <c r="O295" s="40" t="e">
        <f t="shared" si="96"/>
        <v>#VALUE!</v>
      </c>
      <c r="P295" s="211">
        <f t="shared" si="89"/>
        <v>0</v>
      </c>
      <c r="Q295" s="164">
        <f t="shared" si="97"/>
        <v>0</v>
      </c>
      <c r="R295" s="209">
        <f t="shared" si="94"/>
        <v>0</v>
      </c>
      <c r="U295" s="198"/>
      <c r="V295" s="198"/>
    </row>
    <row r="296" spans="1:24" s="41" customFormat="1" ht="15" customHeight="1" x14ac:dyDescent="0.2">
      <c r="A296" s="224">
        <v>722425</v>
      </c>
      <c r="B296" s="143" t="str">
        <f t="shared" si="90"/>
        <v>PRODUCERS</v>
      </c>
      <c r="C296" s="932" t="s">
        <v>1499</v>
      </c>
      <c r="D296" s="186" t="s">
        <v>1890</v>
      </c>
      <c r="E296" s="38">
        <v>166859</v>
      </c>
      <c r="F296" s="39"/>
      <c r="G296" s="578" t="s">
        <v>1424</v>
      </c>
      <c r="H296" s="17">
        <f t="shared" si="99"/>
        <v>0</v>
      </c>
      <c r="I296" s="17">
        <f t="shared" si="100"/>
        <v>0</v>
      </c>
      <c r="J296" s="100">
        <f t="shared" si="102"/>
        <v>2.14</v>
      </c>
      <c r="K296" s="17" t="str">
        <f t="shared" si="86"/>
        <v>N</v>
      </c>
      <c r="L296" s="17">
        <f t="shared" si="87"/>
        <v>0</v>
      </c>
      <c r="M296" s="106">
        <v>0</v>
      </c>
      <c r="N296" s="117">
        <f t="shared" si="103"/>
        <v>2.14</v>
      </c>
      <c r="O296" s="40">
        <f t="shared" si="96"/>
        <v>0</v>
      </c>
      <c r="P296" s="211">
        <f t="shared" si="89"/>
        <v>0</v>
      </c>
      <c r="Q296" s="164">
        <f t="shared" si="97"/>
        <v>0</v>
      </c>
      <c r="R296" s="209">
        <f t="shared" si="94"/>
        <v>0</v>
      </c>
      <c r="U296" s="198"/>
      <c r="V296" s="198"/>
    </row>
    <row r="297" spans="1:24" s="41" customFormat="1" ht="15" customHeight="1" x14ac:dyDescent="0.2">
      <c r="A297" s="7">
        <v>722735</v>
      </c>
      <c r="B297" s="143" t="str">
        <f t="shared" si="90"/>
        <v>na</v>
      </c>
      <c r="C297" s="932" t="s">
        <v>1499</v>
      </c>
      <c r="D297" s="186" t="s">
        <v>1893</v>
      </c>
      <c r="E297" s="38">
        <v>166859</v>
      </c>
      <c r="F297" s="39"/>
      <c r="G297" s="578" t="s">
        <v>1424</v>
      </c>
      <c r="H297" s="17" t="str">
        <f t="shared" si="99"/>
        <v>na</v>
      </c>
      <c r="I297" s="17">
        <f t="shared" si="100"/>
        <v>0</v>
      </c>
      <c r="J297" s="100">
        <f t="shared" si="102"/>
        <v>2.14</v>
      </c>
      <c r="K297" s="17">
        <f t="shared" si="86"/>
        <v>0</v>
      </c>
      <c r="L297" s="17">
        <f t="shared" si="87"/>
        <v>0.27</v>
      </c>
      <c r="M297" s="106">
        <v>0</v>
      </c>
      <c r="N297" s="117">
        <f t="shared" si="103"/>
        <v>1.87</v>
      </c>
      <c r="O297" s="40" t="e">
        <f t="shared" si="96"/>
        <v>#VALUE!</v>
      </c>
      <c r="P297" s="211">
        <f>IF(AND(A297&gt;700000,A297&lt;800000),+I297*0.001,0)</f>
        <v>0</v>
      </c>
      <c r="Q297" s="164">
        <f t="shared" si="97"/>
        <v>0</v>
      </c>
      <c r="R297" s="209">
        <f t="shared" si="94"/>
        <v>0</v>
      </c>
      <c r="U297" s="198"/>
      <c r="V297" s="198"/>
    </row>
    <row r="298" spans="1:24" s="41" customFormat="1" ht="15" customHeight="1" x14ac:dyDescent="0.2">
      <c r="A298" s="7">
        <v>734173</v>
      </c>
      <c r="B298" s="143" t="str">
        <f t="shared" si="90"/>
        <v>PRODUCER GAS</v>
      </c>
      <c r="C298" s="932" t="s">
        <v>1499</v>
      </c>
      <c r="D298" s="186" t="s">
        <v>1907</v>
      </c>
      <c r="E298" s="38">
        <v>166859</v>
      </c>
      <c r="F298" s="39"/>
      <c r="G298" s="578" t="s">
        <v>1424</v>
      </c>
      <c r="H298" s="17">
        <f>IF(ISNA(VLOOKUP(A298,cgas9910,9,FALSE)),"na",VLOOKUP(A298,cgas9910,9,FALSE))</f>
        <v>0</v>
      </c>
      <c r="I298" s="17">
        <f>IF(ISNA(VLOOKUP(A298,cgas9910,10,FALSE)),0,(VLOOKUP(A298,cgas9910,10,FALSE)))</f>
        <v>0</v>
      </c>
      <c r="J298" s="100">
        <f t="shared" si="102"/>
        <v>2.14</v>
      </c>
      <c r="K298" s="17" t="str">
        <f>IF(ISNA(VLOOKUP(A298,cgas9910,7,FALSE)),0,(VLOOKUP(A298,cgas9910,7,FALSE)))</f>
        <v>N</v>
      </c>
      <c r="L298" s="17">
        <f t="shared" si="87"/>
        <v>0</v>
      </c>
      <c r="M298" s="106">
        <v>0</v>
      </c>
      <c r="N298" s="117">
        <f>J298-L298-M298</f>
        <v>2.14</v>
      </c>
      <c r="O298" s="40">
        <f>+H298*0.001</f>
        <v>0</v>
      </c>
      <c r="P298" s="211">
        <f>IF(AND(A298&gt;700000,A298&lt;800000),+I298*0.001,0)</f>
        <v>0</v>
      </c>
      <c r="Q298" s="164">
        <f>+N298*I298</f>
        <v>0</v>
      </c>
      <c r="R298" s="209">
        <f>+(I298*N298)-P298</f>
        <v>0</v>
      </c>
      <c r="U298" s="198"/>
      <c r="V298" s="198"/>
      <c r="W298" s="47"/>
      <c r="X298" s="47"/>
    </row>
    <row r="299" spans="1:24" s="41" customFormat="1" ht="15" customHeight="1" x14ac:dyDescent="0.2">
      <c r="A299" s="7">
        <v>736552</v>
      </c>
      <c r="B299" s="143" t="str">
        <f t="shared" si="90"/>
        <v>STONEBRIDGE</v>
      </c>
      <c r="C299" s="932" t="s">
        <v>1499</v>
      </c>
      <c r="D299" s="306" t="s">
        <v>1499</v>
      </c>
      <c r="E299" s="38">
        <v>166859</v>
      </c>
      <c r="F299" s="39"/>
      <c r="G299" s="578" t="s">
        <v>1424</v>
      </c>
      <c r="H299" s="17">
        <f>IF(ISNA(VLOOKUP(A299,cgas9910,9,FALSE)),"na",VLOOKUP(A299,cgas9910,9,FALSE))</f>
        <v>0</v>
      </c>
      <c r="I299" s="17">
        <f>IF(ISNA(VLOOKUP(A299,cgas9910,10,FALSE)),0,(VLOOKUP(A299,cgas9910,10,FALSE)))</f>
        <v>0</v>
      </c>
      <c r="J299" s="100">
        <f t="shared" si="102"/>
        <v>2.14</v>
      </c>
      <c r="K299" s="17" t="str">
        <f>IF(ISNA(VLOOKUP(A299,cgas9910,7,FALSE)),0,(VLOOKUP(A299,cgas9910,7,FALSE)))</f>
        <v>N</v>
      </c>
      <c r="L299" s="17">
        <f t="shared" si="87"/>
        <v>0</v>
      </c>
      <c r="M299" s="106">
        <v>0</v>
      </c>
      <c r="N299" s="117">
        <f>J299-L299-M299</f>
        <v>2.14</v>
      </c>
      <c r="O299" s="40">
        <f>+H299*0.001</f>
        <v>0</v>
      </c>
      <c r="P299" s="211">
        <f>IF(AND(A299&gt;700000,A299&lt;800000),+I299*0.001,0)</f>
        <v>0</v>
      </c>
      <c r="Q299" s="164">
        <f>+N299*I299</f>
        <v>0</v>
      </c>
      <c r="R299" s="209">
        <f>+(I299*N299)-P299</f>
        <v>0</v>
      </c>
      <c r="U299" s="198"/>
      <c r="V299" s="198"/>
      <c r="W299" s="47"/>
      <c r="X299" s="47"/>
    </row>
    <row r="300" spans="1:24" s="41" customFormat="1" ht="15" customHeight="1" x14ac:dyDescent="0.2">
      <c r="A300" s="7">
        <v>736634</v>
      </c>
      <c r="B300" s="143" t="str">
        <f t="shared" si="90"/>
        <v>STONEBRIDGE</v>
      </c>
      <c r="C300" s="932" t="s">
        <v>1499</v>
      </c>
      <c r="D300" s="306" t="s">
        <v>1499</v>
      </c>
      <c r="E300" s="38">
        <v>166859</v>
      </c>
      <c r="F300" s="39"/>
      <c r="G300" s="578" t="s">
        <v>1424</v>
      </c>
      <c r="H300" s="17">
        <f t="shared" si="99"/>
        <v>0</v>
      </c>
      <c r="I300" s="17">
        <f t="shared" si="100"/>
        <v>0</v>
      </c>
      <c r="J300" s="100">
        <f t="shared" si="102"/>
        <v>2.14</v>
      </c>
      <c r="K300" s="17" t="str">
        <f t="shared" si="86"/>
        <v>N</v>
      </c>
      <c r="L300" s="17">
        <f t="shared" si="87"/>
        <v>0</v>
      </c>
      <c r="M300" s="106">
        <v>0</v>
      </c>
      <c r="N300" s="117">
        <f t="shared" si="103"/>
        <v>2.14</v>
      </c>
      <c r="O300" s="40">
        <f t="shared" si="96"/>
        <v>0</v>
      </c>
      <c r="P300" s="211">
        <f>IF(AND(A300&gt;700000,A300&lt;800000),+I300*0.001,0)</f>
        <v>0</v>
      </c>
      <c r="Q300" s="164">
        <f t="shared" si="97"/>
        <v>0</v>
      </c>
      <c r="R300" s="209">
        <f t="shared" si="94"/>
        <v>0</v>
      </c>
      <c r="U300" s="198"/>
      <c r="V300" s="198"/>
      <c r="W300" s="47"/>
      <c r="X300" s="47"/>
    </row>
    <row r="301" spans="1:24" s="41" customFormat="1" ht="15" customHeight="1" x14ac:dyDescent="0.2">
      <c r="A301" s="224">
        <v>618011</v>
      </c>
      <c r="B301" s="143" t="str">
        <f t="shared" si="90"/>
        <v>POWDER MILL GAS</v>
      </c>
      <c r="C301" s="6" t="s">
        <v>1620</v>
      </c>
      <c r="D301" s="186" t="s">
        <v>1621</v>
      </c>
      <c r="E301" s="38">
        <v>164633</v>
      </c>
      <c r="F301" s="39"/>
      <c r="G301" s="578" t="s">
        <v>2296</v>
      </c>
      <c r="H301" s="17">
        <f t="shared" si="99"/>
        <v>0</v>
      </c>
      <c r="I301" s="17">
        <f t="shared" si="100"/>
        <v>51</v>
      </c>
      <c r="J301" s="100">
        <f>$J$5-0.02</f>
        <v>2.12</v>
      </c>
      <c r="K301" s="17" t="str">
        <f t="shared" si="86"/>
        <v>I</v>
      </c>
      <c r="L301" s="17">
        <f t="shared" si="87"/>
        <v>0.27</v>
      </c>
      <c r="M301" s="106">
        <v>0</v>
      </c>
      <c r="N301" s="117">
        <f t="shared" si="103"/>
        <v>1.85</v>
      </c>
      <c r="O301" s="40">
        <f t="shared" si="96"/>
        <v>0</v>
      </c>
      <c r="P301" s="211">
        <f>IF(AND(A301&gt;700000,A301&lt;800000),+I301*0.001,0)</f>
        <v>0</v>
      </c>
      <c r="Q301" s="164">
        <f t="shared" si="97"/>
        <v>94.350000000000009</v>
      </c>
      <c r="R301" s="209">
        <f t="shared" si="94"/>
        <v>94.350000000000009</v>
      </c>
    </row>
    <row r="302" spans="1:24" s="41" customFormat="1" ht="15" customHeight="1" x14ac:dyDescent="0.2">
      <c r="A302" s="7">
        <v>602442</v>
      </c>
      <c r="B302" s="143" t="str">
        <f t="shared" si="90"/>
        <v>T J HOLLOBAUGH</v>
      </c>
      <c r="C302" s="6" t="s">
        <v>1846</v>
      </c>
      <c r="D302" s="38"/>
      <c r="E302" s="38">
        <v>142023</v>
      </c>
      <c r="F302" s="39"/>
      <c r="G302" s="578" t="s">
        <v>1421</v>
      </c>
      <c r="H302" s="17">
        <f t="shared" si="99"/>
        <v>0</v>
      </c>
      <c r="I302" s="17">
        <f t="shared" si="100"/>
        <v>0</v>
      </c>
      <c r="J302" s="100">
        <f>$J$5*0.97</f>
        <v>2.0758000000000001</v>
      </c>
      <c r="K302" s="17" t="str">
        <f t="shared" si="86"/>
        <v>I</v>
      </c>
      <c r="L302" s="17">
        <f t="shared" si="87"/>
        <v>0.27</v>
      </c>
      <c r="M302" s="106">
        <v>0</v>
      </c>
      <c r="N302" s="117">
        <f t="shared" si="103"/>
        <v>1.8058000000000001</v>
      </c>
      <c r="O302" s="40">
        <f t="shared" si="96"/>
        <v>0</v>
      </c>
      <c r="P302" s="211">
        <f t="shared" si="89"/>
        <v>0</v>
      </c>
      <c r="Q302" s="164">
        <f t="shared" si="97"/>
        <v>0</v>
      </c>
      <c r="R302" s="209">
        <f t="shared" si="94"/>
        <v>0</v>
      </c>
      <c r="U302" s="198"/>
      <c r="V302" s="198"/>
    </row>
    <row r="303" spans="1:24" s="41" customFormat="1" ht="15" customHeight="1" x14ac:dyDescent="0.2">
      <c r="A303" s="146">
        <v>636989</v>
      </c>
      <c r="B303" s="683" t="str">
        <f t="shared" si="90"/>
        <v>R B ROBERTSON</v>
      </c>
      <c r="C303" s="6" t="s">
        <v>432</v>
      </c>
      <c r="D303" s="674"/>
      <c r="E303" s="674">
        <v>224114</v>
      </c>
      <c r="F303" s="275"/>
      <c r="G303" s="275" t="s">
        <v>1</v>
      </c>
      <c r="H303" s="176">
        <f>IF(ISNA(VLOOKUP(A303,cgas9910,9,FALSE)),"na",VLOOKUP(A303,cgas9910,9,FALSE))</f>
        <v>0</v>
      </c>
      <c r="I303" s="176">
        <f>IF(ISNA(VLOOKUP(A303,cgas9910,10,FALSE)),0,(VLOOKUP(A303,cgas9910,10,FALSE)))</f>
        <v>0</v>
      </c>
      <c r="J303" s="100">
        <f>$J$5*0.99</f>
        <v>2.1186000000000003</v>
      </c>
      <c r="K303" s="176" t="str">
        <f>IF(ISNA(VLOOKUP(A303,cgas9910,7,FALSE)),0,(VLOOKUP(A303,cgas9910,7,FALSE)))</f>
        <v>N</v>
      </c>
      <c r="L303" s="176">
        <f t="shared" si="87"/>
        <v>0</v>
      </c>
      <c r="M303" s="675">
        <v>0</v>
      </c>
      <c r="N303" s="676">
        <f>J303-L303-M303</f>
        <v>2.1186000000000003</v>
      </c>
      <c r="O303" s="677">
        <f>+H303*0.001</f>
        <v>0</v>
      </c>
      <c r="P303" s="678">
        <f>IF(AND(A303&gt;700000,A303&lt;800000),+I303*0.001,0)</f>
        <v>0</v>
      </c>
      <c r="Q303" s="679">
        <f>+N303*I303</f>
        <v>0</v>
      </c>
      <c r="R303" s="680">
        <f>+(I303*N303)-P303</f>
        <v>0</v>
      </c>
      <c r="S303" s="281" t="s">
        <v>433</v>
      </c>
      <c r="U303" s="198"/>
      <c r="V303" s="198"/>
    </row>
    <row r="304" spans="1:24" s="41" customFormat="1" ht="15" customHeight="1" x14ac:dyDescent="0.2">
      <c r="A304" s="224">
        <v>622546</v>
      </c>
      <c r="B304" s="143" t="str">
        <f t="shared" si="90"/>
        <v>LONG II</v>
      </c>
      <c r="C304" s="6" t="s">
        <v>2324</v>
      </c>
      <c r="D304" s="186" t="s">
        <v>1868</v>
      </c>
      <c r="E304" s="38">
        <v>141128</v>
      </c>
      <c r="F304" s="39"/>
      <c r="G304" s="578" t="s">
        <v>1427</v>
      </c>
      <c r="H304" s="17">
        <f t="shared" si="99"/>
        <v>0</v>
      </c>
      <c r="I304" s="17">
        <f t="shared" si="100"/>
        <v>0</v>
      </c>
      <c r="J304" s="100">
        <f>$J$5*0.98</f>
        <v>2.0972</v>
      </c>
      <c r="K304" s="17" t="str">
        <f t="shared" si="86"/>
        <v>I</v>
      </c>
      <c r="L304" s="215">
        <v>0.27</v>
      </c>
      <c r="M304" s="106">
        <v>0</v>
      </c>
      <c r="N304" s="117">
        <f t="shared" si="103"/>
        <v>1.8271999999999999</v>
      </c>
      <c r="O304" s="40">
        <f t="shared" si="96"/>
        <v>0</v>
      </c>
      <c r="P304" s="211">
        <f t="shared" si="89"/>
        <v>0</v>
      </c>
      <c r="Q304" s="164">
        <f t="shared" si="97"/>
        <v>0</v>
      </c>
      <c r="R304" s="209">
        <f t="shared" si="94"/>
        <v>0</v>
      </c>
      <c r="U304" s="198"/>
      <c r="V304" s="198"/>
    </row>
    <row r="305" spans="1:24" s="41" customFormat="1" ht="15" customHeight="1" x14ac:dyDescent="0.2">
      <c r="A305" s="224">
        <v>622550</v>
      </c>
      <c r="B305" s="143" t="str">
        <f t="shared" si="90"/>
        <v>LONG II</v>
      </c>
      <c r="C305" s="6" t="s">
        <v>2324</v>
      </c>
      <c r="D305" s="186" t="s">
        <v>1868</v>
      </c>
      <c r="E305" s="38">
        <v>141128</v>
      </c>
      <c r="F305" s="39"/>
      <c r="G305" s="578" t="s">
        <v>1427</v>
      </c>
      <c r="H305" s="17">
        <f t="shared" si="99"/>
        <v>0</v>
      </c>
      <c r="I305" s="17">
        <f t="shared" si="100"/>
        <v>0</v>
      </c>
      <c r="J305" s="100">
        <f>$J$5*0.98</f>
        <v>2.0972</v>
      </c>
      <c r="K305" s="17" t="str">
        <f t="shared" si="86"/>
        <v>N</v>
      </c>
      <c r="L305" s="215">
        <v>0.27</v>
      </c>
      <c r="M305" s="106">
        <v>0</v>
      </c>
      <c r="N305" s="117">
        <f t="shared" si="103"/>
        <v>1.8271999999999999</v>
      </c>
      <c r="O305" s="40">
        <f t="shared" si="96"/>
        <v>0</v>
      </c>
      <c r="P305" s="211">
        <f t="shared" si="89"/>
        <v>0</v>
      </c>
      <c r="Q305" s="164">
        <f t="shared" si="97"/>
        <v>0</v>
      </c>
      <c r="R305" s="209">
        <f t="shared" si="94"/>
        <v>0</v>
      </c>
      <c r="U305" s="198"/>
      <c r="V305" s="198"/>
      <c r="W305" s="47"/>
      <c r="X305" s="47"/>
    </row>
    <row r="306" spans="1:24" s="41" customFormat="1" ht="15" customHeight="1" x14ac:dyDescent="0.2">
      <c r="A306" s="224">
        <v>600431</v>
      </c>
      <c r="B306" s="143" t="str">
        <f t="shared" si="90"/>
        <v>na</v>
      </c>
      <c r="C306" s="6" t="s">
        <v>629</v>
      </c>
      <c r="D306" s="186" t="s">
        <v>1741</v>
      </c>
      <c r="E306" s="38">
        <v>272348</v>
      </c>
      <c r="F306" s="39"/>
      <c r="G306" s="578" t="s">
        <v>1421</v>
      </c>
      <c r="H306" s="17" t="str">
        <f t="shared" si="99"/>
        <v>na</v>
      </c>
      <c r="I306" s="17">
        <f t="shared" si="100"/>
        <v>0</v>
      </c>
      <c r="J306" s="100">
        <f>$J$5*0.97</f>
        <v>2.0758000000000001</v>
      </c>
      <c r="K306" s="17">
        <f t="shared" si="86"/>
        <v>0</v>
      </c>
      <c r="L306" s="17">
        <f>IF(K306="N",0,0.27)</f>
        <v>0.27</v>
      </c>
      <c r="M306" s="106">
        <v>0</v>
      </c>
      <c r="N306" s="117">
        <f t="shared" si="103"/>
        <v>1.8058000000000001</v>
      </c>
      <c r="O306" s="40" t="e">
        <f t="shared" si="96"/>
        <v>#VALUE!</v>
      </c>
      <c r="P306" s="211">
        <f t="shared" si="89"/>
        <v>0</v>
      </c>
      <c r="Q306" s="164">
        <f t="shared" si="97"/>
        <v>0</v>
      </c>
      <c r="R306" s="209">
        <f t="shared" si="94"/>
        <v>0</v>
      </c>
      <c r="U306" s="198"/>
      <c r="V306" s="198"/>
    </row>
    <row r="307" spans="1:24" s="41" customFormat="1" ht="15" customHeight="1" x14ac:dyDescent="0.2">
      <c r="A307" s="224">
        <v>602575</v>
      </c>
      <c r="B307" s="143" t="str">
        <f t="shared" si="90"/>
        <v>na</v>
      </c>
      <c r="C307" s="6" t="s">
        <v>629</v>
      </c>
      <c r="D307" s="186" t="s">
        <v>624</v>
      </c>
      <c r="E307" s="38">
        <v>272348</v>
      </c>
      <c r="F307" s="39"/>
      <c r="G307" s="578" t="s">
        <v>1421</v>
      </c>
      <c r="H307" s="17" t="str">
        <f t="shared" si="99"/>
        <v>na</v>
      </c>
      <c r="I307" s="17">
        <f t="shared" si="100"/>
        <v>0</v>
      </c>
      <c r="J307" s="100">
        <f>$J$5*0.97</f>
        <v>2.0758000000000001</v>
      </c>
      <c r="K307" s="17">
        <f t="shared" si="86"/>
        <v>0</v>
      </c>
      <c r="L307" s="17">
        <f>IF(K307="N",0,0.27)</f>
        <v>0.27</v>
      </c>
      <c r="M307" s="106">
        <v>0</v>
      </c>
      <c r="N307" s="117">
        <f t="shared" si="103"/>
        <v>1.8058000000000001</v>
      </c>
      <c r="O307" s="40" t="e">
        <f t="shared" si="96"/>
        <v>#VALUE!</v>
      </c>
      <c r="P307" s="211">
        <f t="shared" si="89"/>
        <v>0</v>
      </c>
      <c r="Q307" s="164">
        <f t="shared" si="97"/>
        <v>0</v>
      </c>
      <c r="R307" s="209">
        <f t="shared" si="94"/>
        <v>0</v>
      </c>
      <c r="U307" s="198"/>
      <c r="V307" s="198"/>
    </row>
    <row r="308" spans="1:24" s="42" customFormat="1" ht="15" customHeight="1" x14ac:dyDescent="0.2">
      <c r="A308" s="224">
        <v>631841</v>
      </c>
      <c r="B308" s="143" t="str">
        <f t="shared" si="90"/>
        <v>na</v>
      </c>
      <c r="C308" s="6" t="s">
        <v>629</v>
      </c>
      <c r="D308" s="186" t="s">
        <v>1741</v>
      </c>
      <c r="E308" s="38">
        <v>272348</v>
      </c>
      <c r="F308" s="39"/>
      <c r="G308" s="578" t="s">
        <v>1421</v>
      </c>
      <c r="H308" s="17" t="str">
        <f t="shared" si="99"/>
        <v>na</v>
      </c>
      <c r="I308" s="17">
        <f t="shared" si="100"/>
        <v>0</v>
      </c>
      <c r="J308" s="100">
        <f>$J$5*0.97</f>
        <v>2.0758000000000001</v>
      </c>
      <c r="K308" s="17">
        <f t="shared" si="86"/>
        <v>0</v>
      </c>
      <c r="L308" s="17">
        <f>IF(K308="N",0,0.27)</f>
        <v>0.27</v>
      </c>
      <c r="M308" s="106">
        <v>0</v>
      </c>
      <c r="N308" s="117">
        <f t="shared" si="103"/>
        <v>1.8058000000000001</v>
      </c>
      <c r="O308" s="40" t="e">
        <f t="shared" si="96"/>
        <v>#VALUE!</v>
      </c>
      <c r="P308" s="211">
        <f t="shared" si="89"/>
        <v>0</v>
      </c>
      <c r="Q308" s="164">
        <f t="shared" si="97"/>
        <v>0</v>
      </c>
      <c r="R308" s="209">
        <f t="shared" si="94"/>
        <v>0</v>
      </c>
      <c r="S308" s="41"/>
      <c r="T308" s="41"/>
      <c r="U308" s="198"/>
      <c r="V308" s="198"/>
      <c r="W308" s="41"/>
      <c r="X308" s="41"/>
    </row>
    <row r="309" spans="1:24" s="15" customFormat="1" ht="15" customHeight="1" x14ac:dyDescent="0.2">
      <c r="A309" s="285">
        <v>720942</v>
      </c>
      <c r="B309" s="143" t="str">
        <f t="shared" si="90"/>
        <v>na</v>
      </c>
      <c r="C309" s="286" t="s">
        <v>811</v>
      </c>
      <c r="D309" s="456">
        <v>89903</v>
      </c>
      <c r="E309" s="447" t="s">
        <v>812</v>
      </c>
      <c r="F309" s="447"/>
      <c r="G309" s="662" t="s">
        <v>1024</v>
      </c>
      <c r="H309" s="17" t="str">
        <f t="shared" si="99"/>
        <v>na</v>
      </c>
      <c r="I309" s="17">
        <f t="shared" si="100"/>
        <v>0</v>
      </c>
      <c r="J309" s="423" t="e">
        <f>+'Special Pricing'!$G$577</f>
        <v>#DIV/0!</v>
      </c>
      <c r="K309" s="17">
        <f t="shared" si="86"/>
        <v>0</v>
      </c>
      <c r="L309" s="17">
        <f>IF(K309="N",0,0.27)</f>
        <v>0.27</v>
      </c>
      <c r="M309" s="288">
        <v>0</v>
      </c>
      <c r="N309" s="287" t="e">
        <f>+J309-L309-M309</f>
        <v>#DIV/0!</v>
      </c>
      <c r="O309" s="289" t="e">
        <f t="shared" si="96"/>
        <v>#VALUE!</v>
      </c>
      <c r="P309" s="211">
        <f t="shared" si="89"/>
        <v>0</v>
      </c>
      <c r="Q309" s="290" t="e">
        <f t="shared" si="97"/>
        <v>#DIV/0!</v>
      </c>
      <c r="R309" s="209" t="e">
        <f t="shared" si="94"/>
        <v>#DIV/0!</v>
      </c>
      <c r="S309" s="41"/>
      <c r="T309" s="41"/>
      <c r="U309" s="198"/>
      <c r="V309" s="198"/>
      <c r="W309" s="108">
        <v>0</v>
      </c>
      <c r="X309" s="108">
        <v>0</v>
      </c>
    </row>
    <row r="310" spans="1:24" s="42" customFormat="1" ht="15" customHeight="1" x14ac:dyDescent="0.2">
      <c r="A310" s="224">
        <v>617598</v>
      </c>
      <c r="B310" s="143" t="str">
        <f t="shared" si="90"/>
        <v>TRIO PETROLEUM</v>
      </c>
      <c r="C310" s="6" t="s">
        <v>1742</v>
      </c>
      <c r="D310" s="38"/>
      <c r="E310" s="38">
        <v>166863</v>
      </c>
      <c r="F310" s="39"/>
      <c r="G310" s="578" t="s">
        <v>1424</v>
      </c>
      <c r="H310" s="17">
        <f t="shared" si="99"/>
        <v>0</v>
      </c>
      <c r="I310" s="17">
        <f t="shared" si="100"/>
        <v>0</v>
      </c>
      <c r="J310" s="100">
        <f>$J$5</f>
        <v>2.14</v>
      </c>
      <c r="K310" s="17" t="str">
        <f t="shared" si="86"/>
        <v>I</v>
      </c>
      <c r="L310" s="215">
        <v>0</v>
      </c>
      <c r="M310" s="106">
        <v>0</v>
      </c>
      <c r="N310" s="117">
        <f t="shared" ref="N310:N320" si="104">J310-L310-M310</f>
        <v>2.14</v>
      </c>
      <c r="O310" s="40">
        <f t="shared" ref="O310:O336" si="105">+H310*0.001</f>
        <v>0</v>
      </c>
      <c r="P310" s="211">
        <f t="shared" si="89"/>
        <v>0</v>
      </c>
      <c r="Q310" s="164">
        <f t="shared" si="97"/>
        <v>0</v>
      </c>
      <c r="R310" s="209">
        <f t="shared" si="94"/>
        <v>0</v>
      </c>
      <c r="S310" s="41"/>
      <c r="T310" s="41"/>
      <c r="U310" s="198"/>
      <c r="V310" s="198"/>
      <c r="W310" s="41"/>
      <c r="X310" s="41"/>
    </row>
    <row r="311" spans="1:24" s="42" customFormat="1" ht="15" customHeight="1" x14ac:dyDescent="0.2">
      <c r="A311" s="224">
        <v>634585</v>
      </c>
      <c r="B311" s="143" t="str">
        <f t="shared" si="90"/>
        <v>TRIO PETROLEUM</v>
      </c>
      <c r="C311" s="6" t="s">
        <v>1742</v>
      </c>
      <c r="D311" s="38"/>
      <c r="E311" s="38">
        <v>166683</v>
      </c>
      <c r="F311" s="39"/>
      <c r="G311" s="578" t="s">
        <v>1424</v>
      </c>
      <c r="H311" s="17">
        <f t="shared" si="99"/>
        <v>0</v>
      </c>
      <c r="I311" s="17">
        <f t="shared" si="100"/>
        <v>0</v>
      </c>
      <c r="J311" s="100">
        <f>$J$5</f>
        <v>2.14</v>
      </c>
      <c r="K311" s="17" t="str">
        <f t="shared" si="86"/>
        <v>N</v>
      </c>
      <c r="L311" s="17">
        <f t="shared" ref="L311:L328" si="106">IF(K311="N",0,0.27)</f>
        <v>0</v>
      </c>
      <c r="M311" s="106">
        <v>0</v>
      </c>
      <c r="N311" s="117">
        <f t="shared" si="104"/>
        <v>2.14</v>
      </c>
      <c r="O311" s="40">
        <f t="shared" si="105"/>
        <v>0</v>
      </c>
      <c r="P311" s="211">
        <f t="shared" si="89"/>
        <v>0</v>
      </c>
      <c r="Q311" s="164">
        <f t="shared" ref="Q311:Q335" si="107">+N311*I311</f>
        <v>0</v>
      </c>
      <c r="R311" s="209">
        <f t="shared" si="94"/>
        <v>0</v>
      </c>
      <c r="S311" s="41"/>
      <c r="T311" s="41"/>
      <c r="U311" s="198"/>
      <c r="V311" s="198"/>
      <c r="W311" s="41"/>
      <c r="X311" s="41"/>
    </row>
    <row r="312" spans="1:24" s="42" customFormat="1" ht="15" customHeight="1" x14ac:dyDescent="0.2">
      <c r="A312" s="224">
        <v>722212</v>
      </c>
      <c r="B312" s="143" t="str">
        <f t="shared" si="90"/>
        <v>na</v>
      </c>
      <c r="C312" s="6" t="s">
        <v>2322</v>
      </c>
      <c r="D312" s="583" t="s">
        <v>1447</v>
      </c>
      <c r="E312" s="295">
        <v>165402</v>
      </c>
      <c r="F312" s="581"/>
      <c r="G312" s="581" t="s">
        <v>1421</v>
      </c>
      <c r="H312" s="582" t="str">
        <f t="shared" ref="H312:H321" si="108">IF(ISNA(VLOOKUP(A312,cgas9910,9,FALSE)),"na",VLOOKUP(A312,cgas9910,9,FALSE))</f>
        <v>na</v>
      </c>
      <c r="I312" s="582">
        <f t="shared" ref="I312:I321" si="109">IF(ISNA(VLOOKUP(A312,cgas9910,10,FALSE)),0,(VLOOKUP(A312,cgas9910,10,FALSE)))</f>
        <v>0</v>
      </c>
      <c r="J312" s="579">
        <f>$J$5*0.97</f>
        <v>2.0758000000000001</v>
      </c>
      <c r="K312" s="17">
        <f t="shared" ref="K312:K335" si="110">IF(ISNA(VLOOKUP(A312,cgas9910,7,FALSE)),0,(VLOOKUP(A312,cgas9910,7,FALSE)))</f>
        <v>0</v>
      </c>
      <c r="L312" s="17">
        <f t="shared" si="106"/>
        <v>0.27</v>
      </c>
      <c r="M312" s="106">
        <v>0</v>
      </c>
      <c r="N312" s="117">
        <f t="shared" si="104"/>
        <v>1.8058000000000001</v>
      </c>
      <c r="O312" s="40" t="e">
        <f t="shared" si="105"/>
        <v>#VALUE!</v>
      </c>
      <c r="P312" s="211">
        <f t="shared" ref="P312:P335" si="111">IF(AND(A312&gt;700000,A312&lt;800000),+I312*0.001,0)</f>
        <v>0</v>
      </c>
      <c r="Q312" s="164">
        <f t="shared" si="107"/>
        <v>0</v>
      </c>
      <c r="R312" s="209">
        <f t="shared" si="94"/>
        <v>0</v>
      </c>
      <c r="S312" s="41"/>
      <c r="T312" s="41"/>
      <c r="U312" s="41"/>
      <c r="V312" s="41"/>
      <c r="W312" s="198"/>
      <c r="X312" s="198"/>
    </row>
    <row r="313" spans="1:24" s="15" customFormat="1" ht="15" customHeight="1" x14ac:dyDescent="0.2">
      <c r="A313" s="224">
        <v>834809</v>
      </c>
      <c r="B313" s="143" t="str">
        <f t="shared" si="90"/>
        <v>TUG FORK DEVEL</v>
      </c>
      <c r="C313" s="6" t="s">
        <v>1753</v>
      </c>
      <c r="D313" s="272"/>
      <c r="E313" s="272">
        <v>140937</v>
      </c>
      <c r="F313" s="44"/>
      <c r="G313" s="44" t="s">
        <v>2298</v>
      </c>
      <c r="H313" s="17">
        <f t="shared" si="108"/>
        <v>0</v>
      </c>
      <c r="I313" s="17">
        <f t="shared" si="109"/>
        <v>0</v>
      </c>
      <c r="J313" s="276" t="e">
        <f>+'Special Pricing'!$G$594</f>
        <v>#DIV/0!</v>
      </c>
      <c r="K313" s="17" t="str">
        <f t="shared" si="110"/>
        <v>N</v>
      </c>
      <c r="L313" s="17">
        <f t="shared" si="106"/>
        <v>0</v>
      </c>
      <c r="M313" s="106">
        <v>0</v>
      </c>
      <c r="N313" s="117" t="e">
        <f t="shared" si="104"/>
        <v>#DIV/0!</v>
      </c>
      <c r="O313" s="40">
        <f t="shared" si="105"/>
        <v>0</v>
      </c>
      <c r="P313" s="211">
        <f t="shared" si="111"/>
        <v>0</v>
      </c>
      <c r="Q313" s="164" t="e">
        <f t="shared" si="107"/>
        <v>#DIV/0!</v>
      </c>
      <c r="R313" s="209" t="e">
        <f t="shared" si="94"/>
        <v>#DIV/0!</v>
      </c>
      <c r="S313" s="41"/>
      <c r="T313" s="41"/>
      <c r="U313" s="41"/>
      <c r="V313" s="41"/>
      <c r="W313" s="198"/>
      <c r="X313" s="198"/>
    </row>
    <row r="314" spans="1:24" s="41" customFormat="1" ht="15" customHeight="1" x14ac:dyDescent="0.2">
      <c r="A314" s="224">
        <v>834152</v>
      </c>
      <c r="B314" s="143" t="str">
        <f t="shared" si="90"/>
        <v>na</v>
      </c>
      <c r="C314" s="6" t="s">
        <v>1753</v>
      </c>
      <c r="D314" s="186" t="s">
        <v>1751</v>
      </c>
      <c r="E314" s="8">
        <v>214211</v>
      </c>
      <c r="F314" s="39"/>
      <c r="G314" s="578" t="s">
        <v>1424</v>
      </c>
      <c r="H314" s="17" t="str">
        <f t="shared" si="108"/>
        <v>na</v>
      </c>
      <c r="I314" s="17">
        <f t="shared" si="109"/>
        <v>0</v>
      </c>
      <c r="J314" s="276" t="e">
        <f>+'Special Pricing'!$G$594</f>
        <v>#DIV/0!</v>
      </c>
      <c r="K314" s="17">
        <f t="shared" si="110"/>
        <v>0</v>
      </c>
      <c r="L314" s="17">
        <f t="shared" si="106"/>
        <v>0.27</v>
      </c>
      <c r="M314" s="106">
        <v>0</v>
      </c>
      <c r="N314" s="117" t="e">
        <f t="shared" si="104"/>
        <v>#DIV/0!</v>
      </c>
      <c r="O314" s="40" t="e">
        <f t="shared" si="105"/>
        <v>#VALUE!</v>
      </c>
      <c r="P314" s="211">
        <f t="shared" si="111"/>
        <v>0</v>
      </c>
      <c r="Q314" s="164" t="e">
        <f t="shared" si="107"/>
        <v>#DIV/0!</v>
      </c>
      <c r="R314" s="209" t="e">
        <f t="shared" si="94"/>
        <v>#DIV/0!</v>
      </c>
      <c r="S314"/>
      <c r="T314"/>
      <c r="U314" s="4"/>
      <c r="V314" s="4"/>
    </row>
    <row r="315" spans="1:24" s="41" customFormat="1" ht="15" customHeight="1" x14ac:dyDescent="0.2">
      <c r="A315" s="224">
        <v>834596</v>
      </c>
      <c r="B315" s="143" t="str">
        <f t="shared" si="90"/>
        <v>TUG FORK DEVEL</v>
      </c>
      <c r="C315" s="6" t="s">
        <v>1753</v>
      </c>
      <c r="D315" s="186" t="s">
        <v>1751</v>
      </c>
      <c r="E315" s="38">
        <v>214213</v>
      </c>
      <c r="F315" s="39"/>
      <c r="G315" s="578" t="s">
        <v>1424</v>
      </c>
      <c r="H315" s="17">
        <f>IF(ISNA(VLOOKUP(A315,cgas9910,9,FALSE)),"na",VLOOKUP(A315,cgas9910,9,FALSE))</f>
        <v>0</v>
      </c>
      <c r="I315" s="17">
        <f>IF(ISNA(VLOOKUP(A315,cgas9910,10,FALSE)),0,(VLOOKUP(A315,cgas9910,10,FALSE)))</f>
        <v>0</v>
      </c>
      <c r="J315" s="276" t="e">
        <f>+'Special Pricing'!$G$594</f>
        <v>#DIV/0!</v>
      </c>
      <c r="K315" s="17" t="str">
        <f>IF(ISNA(VLOOKUP(A315,cgas9910,7,FALSE)),0,(VLOOKUP(A315,cgas9910,7,FALSE)))</f>
        <v>N</v>
      </c>
      <c r="L315" s="17">
        <f t="shared" si="106"/>
        <v>0</v>
      </c>
      <c r="M315" s="106">
        <v>0</v>
      </c>
      <c r="N315" s="117" t="e">
        <f>J315-L315-M315</f>
        <v>#DIV/0!</v>
      </c>
      <c r="O315" s="40">
        <f>+H315*0.001</f>
        <v>0</v>
      </c>
      <c r="P315" s="211">
        <f>IF(AND(A315&gt;700000,A315&lt;800000),+I315*0.001,0)</f>
        <v>0</v>
      </c>
      <c r="Q315" s="164" t="e">
        <f>+N315*I315</f>
        <v>#DIV/0!</v>
      </c>
      <c r="R315" s="209" t="e">
        <f>+(I315*N315)-P315</f>
        <v>#DIV/0!</v>
      </c>
      <c r="S315"/>
      <c r="T315"/>
      <c r="U315" s="4"/>
      <c r="V315" s="4"/>
    </row>
    <row r="316" spans="1:24" s="42" customFormat="1" ht="15" customHeight="1" x14ac:dyDescent="0.2">
      <c r="A316" s="224">
        <v>835035</v>
      </c>
      <c r="B316" s="143" t="str">
        <f t="shared" si="90"/>
        <v>TUG FORK DEVEL</v>
      </c>
      <c r="C316" s="6" t="s">
        <v>1753</v>
      </c>
      <c r="D316" s="272"/>
      <c r="E316" s="272">
        <v>140937</v>
      </c>
      <c r="F316" s="44"/>
      <c r="G316" s="44" t="s">
        <v>2298</v>
      </c>
      <c r="H316" s="17">
        <f t="shared" si="108"/>
        <v>0</v>
      </c>
      <c r="I316" s="17">
        <f t="shared" si="109"/>
        <v>0</v>
      </c>
      <c r="J316" s="276" t="e">
        <f>+'Special Pricing'!$G$594</f>
        <v>#DIV/0!</v>
      </c>
      <c r="K316" s="17" t="str">
        <f t="shared" si="110"/>
        <v>N</v>
      </c>
      <c r="L316" s="17">
        <f t="shared" si="106"/>
        <v>0</v>
      </c>
      <c r="M316" s="106">
        <v>0</v>
      </c>
      <c r="N316" s="117" t="e">
        <f t="shared" si="104"/>
        <v>#DIV/0!</v>
      </c>
      <c r="O316" s="40">
        <f t="shared" si="105"/>
        <v>0</v>
      </c>
      <c r="P316" s="211">
        <f t="shared" si="111"/>
        <v>0</v>
      </c>
      <c r="Q316" s="164" t="e">
        <f t="shared" si="107"/>
        <v>#DIV/0!</v>
      </c>
      <c r="R316" s="209" t="e">
        <f t="shared" si="94"/>
        <v>#DIV/0!</v>
      </c>
      <c r="S316" s="46"/>
      <c r="T316" s="46"/>
      <c r="U316" s="46"/>
      <c r="V316" s="46"/>
      <c r="W316" s="198"/>
      <c r="X316" s="198"/>
    </row>
    <row r="317" spans="1:24" s="42" customFormat="1" ht="15" customHeight="1" x14ac:dyDescent="0.2">
      <c r="A317" s="224">
        <v>835057</v>
      </c>
      <c r="B317" s="143" t="str">
        <f t="shared" si="90"/>
        <v>na</v>
      </c>
      <c r="C317" s="6" t="s">
        <v>1753</v>
      </c>
      <c r="D317" s="272"/>
      <c r="E317" s="272">
        <v>140937</v>
      </c>
      <c r="F317" s="44"/>
      <c r="G317" s="44" t="s">
        <v>2298</v>
      </c>
      <c r="H317" s="17" t="str">
        <f t="shared" si="108"/>
        <v>na</v>
      </c>
      <c r="I317" s="17">
        <f t="shared" si="109"/>
        <v>0</v>
      </c>
      <c r="J317" s="276" t="e">
        <f>+'Special Pricing'!$G$594</f>
        <v>#DIV/0!</v>
      </c>
      <c r="K317" s="17">
        <f t="shared" si="110"/>
        <v>0</v>
      </c>
      <c r="L317" s="17">
        <f t="shared" si="106"/>
        <v>0.27</v>
      </c>
      <c r="M317" s="106">
        <v>0</v>
      </c>
      <c r="N317" s="117" t="e">
        <f t="shared" si="104"/>
        <v>#DIV/0!</v>
      </c>
      <c r="O317" s="40" t="e">
        <f t="shared" si="105"/>
        <v>#VALUE!</v>
      </c>
      <c r="P317" s="211">
        <f t="shared" si="111"/>
        <v>0</v>
      </c>
      <c r="Q317" s="164" t="e">
        <f t="shared" si="107"/>
        <v>#DIV/0!</v>
      </c>
      <c r="R317" s="209" t="e">
        <f t="shared" si="94"/>
        <v>#DIV/0!</v>
      </c>
      <c r="S317" s="41"/>
      <c r="T317" s="41"/>
      <c r="U317" s="41"/>
      <c r="V317" s="41"/>
      <c r="W317" s="198"/>
      <c r="X317" s="198"/>
    </row>
    <row r="318" spans="1:24" s="42" customFormat="1" ht="15" customHeight="1" x14ac:dyDescent="0.2">
      <c r="A318">
        <v>836633</v>
      </c>
      <c r="B318" s="143" t="str">
        <f t="shared" si="90"/>
        <v>TUG FORK DEVEL</v>
      </c>
      <c r="C318" s="6" t="s">
        <v>1753</v>
      </c>
      <c r="D318" s="272"/>
      <c r="E318" s="272">
        <v>140937</v>
      </c>
      <c r="F318" s="44"/>
      <c r="G318" s="44" t="s">
        <v>2298</v>
      </c>
      <c r="H318" s="17">
        <f t="shared" si="108"/>
        <v>0</v>
      </c>
      <c r="I318" s="17">
        <f t="shared" si="109"/>
        <v>0</v>
      </c>
      <c r="J318" s="276" t="e">
        <f>+'Special Pricing'!$G$594</f>
        <v>#DIV/0!</v>
      </c>
      <c r="K318" s="17" t="str">
        <f t="shared" si="110"/>
        <v>N</v>
      </c>
      <c r="L318" s="17">
        <f t="shared" si="106"/>
        <v>0</v>
      </c>
      <c r="M318" s="106">
        <v>0</v>
      </c>
      <c r="N318" s="117" t="e">
        <f t="shared" si="104"/>
        <v>#DIV/0!</v>
      </c>
      <c r="O318" s="40">
        <f t="shared" si="105"/>
        <v>0</v>
      </c>
      <c r="P318" s="211">
        <f t="shared" si="111"/>
        <v>0</v>
      </c>
      <c r="Q318" s="164" t="e">
        <f t="shared" si="107"/>
        <v>#DIV/0!</v>
      </c>
      <c r="R318" s="209" t="e">
        <f t="shared" si="94"/>
        <v>#DIV/0!</v>
      </c>
      <c r="S318" s="47"/>
      <c r="T318" s="47"/>
      <c r="U318" s="47"/>
      <c r="V318" s="47"/>
      <c r="W318" s="198"/>
      <c r="X318" s="198"/>
    </row>
    <row r="319" spans="1:24" s="42" customFormat="1" ht="15" customHeight="1" x14ac:dyDescent="0.2">
      <c r="A319" s="817">
        <v>835585</v>
      </c>
      <c r="B319" s="808" t="str">
        <f t="shared" si="90"/>
        <v>na</v>
      </c>
      <c r="C319" s="6" t="s">
        <v>1753</v>
      </c>
      <c r="D319" s="809"/>
      <c r="E319" s="809">
        <v>140937</v>
      </c>
      <c r="F319" s="810"/>
      <c r="G319" s="810" t="s">
        <v>2298</v>
      </c>
      <c r="H319" s="735" t="str">
        <f>IF(ISNA(VLOOKUP(A319,cgas9910,9,FALSE)),"na",VLOOKUP(A319,cgas9910,9,FALSE))</f>
        <v>na</v>
      </c>
      <c r="I319" s="735">
        <f>IF(ISNA(VLOOKUP(A319,cgas9910,10,FALSE)),0,(VLOOKUP(A319,cgas9910,10,FALSE)))</f>
        <v>0</v>
      </c>
      <c r="J319" s="811" t="e">
        <f>+'Special Pricing'!$G$594</f>
        <v>#DIV/0!</v>
      </c>
      <c r="K319" s="735">
        <f>IF(ISNA(VLOOKUP(A319,cgas9910,7,FALSE)),0,(VLOOKUP(A319,cgas9910,7,FALSE)))</f>
        <v>0</v>
      </c>
      <c r="L319" s="735">
        <f t="shared" si="106"/>
        <v>0.27</v>
      </c>
      <c r="M319" s="812">
        <v>0</v>
      </c>
      <c r="N319" s="813" t="e">
        <f>J319-L319-M319</f>
        <v>#DIV/0!</v>
      </c>
      <c r="O319" s="814" t="e">
        <f>+H319*0.001</f>
        <v>#VALUE!</v>
      </c>
      <c r="P319" s="815">
        <f>IF(AND(A319&gt;700000,A319&lt;800000),+I319*0.001,0)</f>
        <v>0</v>
      </c>
      <c r="Q319" s="816" t="e">
        <f>+N319*I319</f>
        <v>#DIV/0!</v>
      </c>
      <c r="R319" s="789" t="e">
        <f>+(I319*N319)-P319</f>
        <v>#DIV/0!</v>
      </c>
      <c r="S319" s="759" t="s">
        <v>1477</v>
      </c>
      <c r="T319" s="47"/>
      <c r="U319" s="47"/>
      <c r="V319" s="47"/>
      <c r="W319" s="198"/>
      <c r="X319" s="198"/>
    </row>
    <row r="320" spans="1:24" s="42" customFormat="1" ht="15" customHeight="1" x14ac:dyDescent="0.2">
      <c r="A320" s="224">
        <v>602364</v>
      </c>
      <c r="B320" s="143" t="str">
        <f t="shared" si="90"/>
        <v>VERN SHUMAKER</v>
      </c>
      <c r="C320" s="6" t="s">
        <v>1842</v>
      </c>
      <c r="D320" s="38"/>
      <c r="E320" s="38">
        <v>141091</v>
      </c>
      <c r="F320" s="39"/>
      <c r="G320" s="578" t="s">
        <v>1424</v>
      </c>
      <c r="H320" s="17">
        <f t="shared" si="108"/>
        <v>0</v>
      </c>
      <c r="I320" s="17">
        <f t="shared" si="109"/>
        <v>0</v>
      </c>
      <c r="J320" s="100">
        <f>$J$5-0.005</f>
        <v>2.1350000000000002</v>
      </c>
      <c r="K320" s="17" t="str">
        <f t="shared" si="110"/>
        <v>I</v>
      </c>
      <c r="L320" s="17">
        <f t="shared" si="106"/>
        <v>0.27</v>
      </c>
      <c r="M320" s="106">
        <v>0</v>
      </c>
      <c r="N320" s="117">
        <f t="shared" si="104"/>
        <v>1.8650000000000002</v>
      </c>
      <c r="O320" s="40">
        <f t="shared" si="105"/>
        <v>0</v>
      </c>
      <c r="P320" s="211">
        <f t="shared" si="111"/>
        <v>0</v>
      </c>
      <c r="Q320" s="164">
        <f t="shared" si="107"/>
        <v>0</v>
      </c>
      <c r="R320" s="209">
        <f t="shared" si="94"/>
        <v>0</v>
      </c>
      <c r="S320" s="41"/>
      <c r="T320" s="41"/>
      <c r="U320" s="41"/>
      <c r="V320" s="41"/>
      <c r="W320" s="198"/>
      <c r="X320" s="198"/>
    </row>
    <row r="321" spans="1:24" s="42" customFormat="1" ht="15" customHeight="1" x14ac:dyDescent="0.2">
      <c r="A321" s="285">
        <v>723559</v>
      </c>
      <c r="B321" s="143" t="str">
        <f t="shared" si="90"/>
        <v>na</v>
      </c>
      <c r="C321" s="286" t="s">
        <v>1422</v>
      </c>
      <c r="D321" s="286"/>
      <c r="E321" s="38" t="s">
        <v>455</v>
      </c>
      <c r="F321" s="285" t="s">
        <v>456</v>
      </c>
      <c r="G321" s="654" t="s">
        <v>457</v>
      </c>
      <c r="H321" s="17" t="str">
        <f t="shared" si="108"/>
        <v>na</v>
      </c>
      <c r="I321" s="17">
        <f t="shared" si="109"/>
        <v>0</v>
      </c>
      <c r="J321" s="537">
        <f>$J$5</f>
        <v>2.14</v>
      </c>
      <c r="K321" s="17">
        <f t="shared" si="110"/>
        <v>0</v>
      </c>
      <c r="L321" s="17">
        <f t="shared" si="106"/>
        <v>0.27</v>
      </c>
      <c r="M321" s="288">
        <v>0</v>
      </c>
      <c r="N321" s="287">
        <f t="shared" ref="N321:N326" si="112">+J321-L321-M321</f>
        <v>1.87</v>
      </c>
      <c r="O321" s="289" t="e">
        <f t="shared" si="105"/>
        <v>#VALUE!</v>
      </c>
      <c r="P321" s="211">
        <f t="shared" si="111"/>
        <v>0</v>
      </c>
      <c r="Q321" s="290">
        <f t="shared" si="107"/>
        <v>0</v>
      </c>
      <c r="R321" s="209">
        <f t="shared" si="94"/>
        <v>0</v>
      </c>
      <c r="S321" s="41"/>
      <c r="T321" s="41"/>
      <c r="U321" s="108"/>
      <c r="V321" s="108"/>
      <c r="W321" s="198"/>
      <c r="X321" s="198"/>
    </row>
    <row r="322" spans="1:24" s="42" customFormat="1" ht="15" customHeight="1" x14ac:dyDescent="0.2">
      <c r="A322" s="305">
        <v>723889</v>
      </c>
      <c r="B322" s="143" t="str">
        <f t="shared" si="90"/>
        <v>na</v>
      </c>
      <c r="C322" s="286" t="s">
        <v>1422</v>
      </c>
      <c r="D322" s="286"/>
      <c r="E322" s="38" t="s">
        <v>455</v>
      </c>
      <c r="F322" s="285" t="s">
        <v>456</v>
      </c>
      <c r="G322" s="654" t="s">
        <v>457</v>
      </c>
      <c r="H322" s="17" t="str">
        <f t="shared" ref="H322:H335" si="113">IF(ISNA(VLOOKUP(A322,cgas9910,9,FALSE)),"na",VLOOKUP(A322,cgas9910,9,FALSE))</f>
        <v>na</v>
      </c>
      <c r="I322" s="17">
        <f t="shared" ref="I322:I335" si="114">IF(ISNA(VLOOKUP(A322,cgas9910,10,FALSE)),0,(VLOOKUP(A322,cgas9910,10,FALSE)))</f>
        <v>0</v>
      </c>
      <c r="J322" s="537">
        <f>$J$5</f>
        <v>2.14</v>
      </c>
      <c r="K322" s="17">
        <f t="shared" si="110"/>
        <v>0</v>
      </c>
      <c r="L322" s="17">
        <f t="shared" si="106"/>
        <v>0.27</v>
      </c>
      <c r="M322" s="288">
        <v>0</v>
      </c>
      <c r="N322" s="287">
        <f t="shared" si="112"/>
        <v>1.87</v>
      </c>
      <c r="O322" s="289" t="e">
        <f t="shared" si="105"/>
        <v>#VALUE!</v>
      </c>
      <c r="P322" s="211">
        <f t="shared" si="111"/>
        <v>0</v>
      </c>
      <c r="Q322" s="290">
        <f t="shared" si="107"/>
        <v>0</v>
      </c>
      <c r="R322" s="209">
        <f t="shared" si="94"/>
        <v>0</v>
      </c>
      <c r="S322" s="41"/>
      <c r="T322" s="41"/>
      <c r="U322" s="108"/>
      <c r="V322" s="108"/>
      <c r="W322" s="198"/>
      <c r="X322" s="198"/>
    </row>
    <row r="323" spans="1:24" s="42" customFormat="1" ht="15" customHeight="1" x14ac:dyDescent="0.2">
      <c r="A323" s="285">
        <v>730935</v>
      </c>
      <c r="B323" s="143" t="str">
        <f t="shared" si="90"/>
        <v>VIKING RESOURCE</v>
      </c>
      <c r="C323" s="286" t="s">
        <v>1422</v>
      </c>
      <c r="D323" s="286"/>
      <c r="E323" s="38" t="s">
        <v>455</v>
      </c>
      <c r="F323" s="285" t="s">
        <v>456</v>
      </c>
      <c r="G323" s="654" t="s">
        <v>457</v>
      </c>
      <c r="H323" s="17">
        <f t="shared" si="113"/>
        <v>0</v>
      </c>
      <c r="I323" s="17">
        <f t="shared" si="114"/>
        <v>0</v>
      </c>
      <c r="J323" s="537">
        <f>$J$5</f>
        <v>2.14</v>
      </c>
      <c r="K323" s="17" t="str">
        <f t="shared" si="110"/>
        <v>N</v>
      </c>
      <c r="L323" s="17">
        <f t="shared" si="106"/>
        <v>0</v>
      </c>
      <c r="M323" s="288">
        <v>0</v>
      </c>
      <c r="N323" s="287">
        <f t="shared" si="112"/>
        <v>2.14</v>
      </c>
      <c r="O323" s="289">
        <f t="shared" si="105"/>
        <v>0</v>
      </c>
      <c r="P323" s="211">
        <f t="shared" si="111"/>
        <v>0</v>
      </c>
      <c r="Q323" s="290">
        <f t="shared" si="107"/>
        <v>0</v>
      </c>
      <c r="R323" s="209">
        <f t="shared" si="94"/>
        <v>0</v>
      </c>
      <c r="S323" s="41"/>
      <c r="T323" s="41"/>
      <c r="U323" s="108"/>
      <c r="V323" s="108"/>
      <c r="W323" s="198"/>
      <c r="X323" s="198"/>
    </row>
    <row r="324" spans="1:24" s="42" customFormat="1" ht="15" customHeight="1" x14ac:dyDescent="0.2">
      <c r="A324" s="285">
        <v>732209</v>
      </c>
      <c r="B324" s="143" t="str">
        <f t="shared" si="90"/>
        <v>na</v>
      </c>
      <c r="C324" s="286" t="s">
        <v>1422</v>
      </c>
      <c r="D324" s="286"/>
      <c r="E324" s="38" t="s">
        <v>455</v>
      </c>
      <c r="F324" s="285" t="s">
        <v>456</v>
      </c>
      <c r="G324" s="654" t="s">
        <v>457</v>
      </c>
      <c r="H324" s="17" t="str">
        <f t="shared" si="113"/>
        <v>na</v>
      </c>
      <c r="I324" s="17">
        <f t="shared" si="114"/>
        <v>0</v>
      </c>
      <c r="J324" s="537">
        <f>$J$5</f>
        <v>2.14</v>
      </c>
      <c r="K324" s="17">
        <f t="shared" si="110"/>
        <v>0</v>
      </c>
      <c r="L324" s="17">
        <f t="shared" si="106"/>
        <v>0.27</v>
      </c>
      <c r="M324" s="288">
        <v>0</v>
      </c>
      <c r="N324" s="287">
        <f t="shared" si="112"/>
        <v>1.87</v>
      </c>
      <c r="O324" s="289" t="e">
        <f t="shared" si="105"/>
        <v>#VALUE!</v>
      </c>
      <c r="P324" s="211">
        <f t="shared" si="111"/>
        <v>0</v>
      </c>
      <c r="Q324" s="290">
        <f t="shared" si="107"/>
        <v>0</v>
      </c>
      <c r="R324" s="209">
        <f t="shared" si="94"/>
        <v>0</v>
      </c>
      <c r="S324" s="47"/>
      <c r="T324" s="47"/>
      <c r="U324" s="108"/>
      <c r="V324" s="108"/>
      <c r="W324" s="198"/>
      <c r="X324" s="198"/>
    </row>
    <row r="325" spans="1:24" s="42" customFormat="1" ht="15" customHeight="1" x14ac:dyDescent="0.2">
      <c r="A325" s="285">
        <v>732211</v>
      </c>
      <c r="B325" s="143" t="str">
        <f t="shared" ref="B325:B335" si="115">IF(ISNA(VLOOKUP(A325,cgas9910,3,FALSE)),"na",VLOOKUP(A325,cgas9910,3,FALSE))</f>
        <v>na</v>
      </c>
      <c r="C325" s="286" t="s">
        <v>1422</v>
      </c>
      <c r="D325" s="286"/>
      <c r="E325" s="38" t="s">
        <v>455</v>
      </c>
      <c r="F325" s="285" t="s">
        <v>456</v>
      </c>
      <c r="G325" s="654" t="s">
        <v>457</v>
      </c>
      <c r="H325" s="17" t="str">
        <f t="shared" si="113"/>
        <v>na</v>
      </c>
      <c r="I325" s="17">
        <f t="shared" si="114"/>
        <v>0</v>
      </c>
      <c r="J325" s="537">
        <f>$J$5</f>
        <v>2.14</v>
      </c>
      <c r="K325" s="17">
        <f t="shared" si="110"/>
        <v>0</v>
      </c>
      <c r="L325" s="17">
        <f t="shared" si="106"/>
        <v>0.27</v>
      </c>
      <c r="M325" s="288">
        <v>0</v>
      </c>
      <c r="N325" s="287">
        <f t="shared" si="112"/>
        <v>1.87</v>
      </c>
      <c r="O325" s="289" t="e">
        <f t="shared" si="105"/>
        <v>#VALUE!</v>
      </c>
      <c r="P325" s="211">
        <f t="shared" si="111"/>
        <v>0</v>
      </c>
      <c r="Q325" s="290">
        <f t="shared" si="107"/>
        <v>0</v>
      </c>
      <c r="R325" s="209">
        <f t="shared" si="94"/>
        <v>0</v>
      </c>
      <c r="S325" s="41"/>
      <c r="T325" s="41"/>
      <c r="U325" s="108"/>
      <c r="V325" s="108"/>
      <c r="W325" s="198"/>
      <c r="X325" s="198"/>
    </row>
    <row r="326" spans="1:24" s="15" customFormat="1" ht="15" customHeight="1" x14ac:dyDescent="0.2">
      <c r="A326" s="285">
        <v>602556</v>
      </c>
      <c r="B326" s="143" t="str">
        <f t="shared" si="115"/>
        <v>W G SHANER</v>
      </c>
      <c r="C326" s="6" t="s">
        <v>461</v>
      </c>
      <c r="D326" s="311" t="s">
        <v>462</v>
      </c>
      <c r="E326" s="38"/>
      <c r="F326" s="285"/>
      <c r="G326" s="39" t="s">
        <v>1423</v>
      </c>
      <c r="H326" s="17">
        <f t="shared" si="113"/>
        <v>0</v>
      </c>
      <c r="I326" s="17">
        <f t="shared" si="114"/>
        <v>0</v>
      </c>
      <c r="J326" s="287">
        <f>$J$5*0.99</f>
        <v>2.1186000000000003</v>
      </c>
      <c r="K326" s="17" t="str">
        <f t="shared" si="110"/>
        <v>I</v>
      </c>
      <c r="L326" s="17">
        <f t="shared" si="106"/>
        <v>0.27</v>
      </c>
      <c r="M326" s="288">
        <v>0</v>
      </c>
      <c r="N326" s="287">
        <f t="shared" si="112"/>
        <v>1.8486000000000002</v>
      </c>
      <c r="O326" s="289">
        <f t="shared" si="105"/>
        <v>0</v>
      </c>
      <c r="P326" s="211">
        <f t="shared" si="111"/>
        <v>0</v>
      </c>
      <c r="Q326" s="290">
        <f t="shared" si="107"/>
        <v>0</v>
      </c>
      <c r="R326" s="209">
        <f t="shared" si="94"/>
        <v>0</v>
      </c>
      <c r="S326" s="41"/>
      <c r="T326" s="41"/>
      <c r="U326" s="108"/>
      <c r="V326" s="108"/>
      <c r="W326" s="198"/>
      <c r="X326" s="198"/>
    </row>
    <row r="327" spans="1:24" s="42" customFormat="1" ht="15" customHeight="1" x14ac:dyDescent="0.2">
      <c r="A327" s="224">
        <v>602368</v>
      </c>
      <c r="B327" s="143" t="str">
        <f t="shared" si="115"/>
        <v>FINLEASE</v>
      </c>
      <c r="C327" s="6" t="s">
        <v>2323</v>
      </c>
      <c r="D327" s="186" t="s">
        <v>1843</v>
      </c>
      <c r="E327" s="38">
        <v>141129</v>
      </c>
      <c r="F327" s="39"/>
      <c r="G327" s="39" t="s">
        <v>1424</v>
      </c>
      <c r="H327" s="17">
        <f>IF(ISNA(VLOOKUP(A327,cgas9910,9,FALSE)),"na",VLOOKUP(A327,cgas9910,9,FALSE))</f>
        <v>0</v>
      </c>
      <c r="I327" s="17">
        <f>IF(ISNA(VLOOKUP(A327,cgas9910,10,FALSE)),0,(VLOOKUP(A327,cgas9910,10,FALSE)))</f>
        <v>0</v>
      </c>
      <c r="J327" s="100">
        <f>$J$5</f>
        <v>2.14</v>
      </c>
      <c r="K327" s="17" t="str">
        <f t="shared" si="110"/>
        <v>I</v>
      </c>
      <c r="L327" s="17">
        <f t="shared" si="106"/>
        <v>0.27</v>
      </c>
      <c r="M327" s="106">
        <v>0</v>
      </c>
      <c r="N327" s="117">
        <f t="shared" ref="N327:N334" si="116">J327-L327-M327</f>
        <v>1.87</v>
      </c>
      <c r="O327" s="40">
        <f t="shared" si="105"/>
        <v>0</v>
      </c>
      <c r="P327" s="211">
        <f t="shared" si="111"/>
        <v>0</v>
      </c>
      <c r="Q327" s="164">
        <f t="shared" si="107"/>
        <v>0</v>
      </c>
      <c r="R327" s="209">
        <f t="shared" ref="R327:R335" si="117">+(I327*N327)-P327</f>
        <v>0</v>
      </c>
      <c r="S327" s="41"/>
      <c r="T327" s="41"/>
      <c r="U327" s="41"/>
      <c r="V327" s="41"/>
      <c r="W327" s="198"/>
      <c r="X327" s="198"/>
    </row>
    <row r="328" spans="1:24" s="42" customFormat="1" ht="15" customHeight="1" x14ac:dyDescent="0.2">
      <c r="A328" s="224">
        <v>602467</v>
      </c>
      <c r="B328" s="143" t="str">
        <f t="shared" si="115"/>
        <v>FINLEASE</v>
      </c>
      <c r="C328" s="6" t="s">
        <v>2323</v>
      </c>
      <c r="D328" s="186" t="s">
        <v>1843</v>
      </c>
      <c r="E328" s="38">
        <v>141129</v>
      </c>
      <c r="F328" s="39"/>
      <c r="G328" s="39" t="s">
        <v>1424</v>
      </c>
      <c r="H328" s="17">
        <f>IF(ISNA(VLOOKUP(A328,cgas9910,9,FALSE)),"na",VLOOKUP(A328,cgas9910,9,FALSE))</f>
        <v>0</v>
      </c>
      <c r="I328" s="17">
        <f>IF(ISNA(VLOOKUP(A328,cgas9910,10,FALSE)),0,(VLOOKUP(A328,cgas9910,10,FALSE)))</f>
        <v>0</v>
      </c>
      <c r="J328" s="100">
        <f>$J$5</f>
        <v>2.14</v>
      </c>
      <c r="K328" s="17" t="str">
        <f t="shared" si="110"/>
        <v>I</v>
      </c>
      <c r="L328" s="17">
        <f t="shared" si="106"/>
        <v>0.27</v>
      </c>
      <c r="M328" s="106">
        <v>0</v>
      </c>
      <c r="N328" s="117">
        <f t="shared" si="116"/>
        <v>1.87</v>
      </c>
      <c r="O328" s="40">
        <f t="shared" si="105"/>
        <v>0</v>
      </c>
      <c r="P328" s="211">
        <f t="shared" si="111"/>
        <v>0</v>
      </c>
      <c r="Q328" s="164">
        <f t="shared" si="107"/>
        <v>0</v>
      </c>
      <c r="R328" s="209">
        <f t="shared" si="117"/>
        <v>0</v>
      </c>
      <c r="S328" s="41"/>
      <c r="T328" s="41"/>
      <c r="U328" s="41"/>
      <c r="V328" s="41"/>
      <c r="W328" s="198"/>
      <c r="X328" s="198"/>
    </row>
    <row r="329" spans="1:24" s="42" customFormat="1" ht="15" customHeight="1" x14ac:dyDescent="0.2">
      <c r="A329" s="224">
        <v>731828</v>
      </c>
      <c r="B329" s="143" t="str">
        <f t="shared" si="115"/>
        <v>na</v>
      </c>
      <c r="C329" s="6" t="s">
        <v>1906</v>
      </c>
      <c r="D329" s="38"/>
      <c r="E329" s="38">
        <v>141982</v>
      </c>
      <c r="F329" s="39"/>
      <c r="G329" s="578" t="s">
        <v>1427</v>
      </c>
      <c r="H329" s="17" t="str">
        <f t="shared" si="113"/>
        <v>na</v>
      </c>
      <c r="I329" s="17">
        <f t="shared" si="114"/>
        <v>0</v>
      </c>
      <c r="J329" s="100">
        <f>$J$5*0.98</f>
        <v>2.0972</v>
      </c>
      <c r="K329" s="17">
        <f t="shared" si="110"/>
        <v>0</v>
      </c>
      <c r="L329" s="215">
        <v>0.27</v>
      </c>
      <c r="M329" s="106">
        <v>0</v>
      </c>
      <c r="N329" s="117">
        <f t="shared" si="116"/>
        <v>1.8271999999999999</v>
      </c>
      <c r="O329" s="40" t="e">
        <f t="shared" si="105"/>
        <v>#VALUE!</v>
      </c>
      <c r="P329" s="211">
        <f t="shared" si="111"/>
        <v>0</v>
      </c>
      <c r="Q329" s="164">
        <f t="shared" si="107"/>
        <v>0</v>
      </c>
      <c r="R329" s="209">
        <f t="shared" si="117"/>
        <v>0</v>
      </c>
      <c r="S329" s="41"/>
      <c r="T329" s="41"/>
      <c r="U329" s="41"/>
      <c r="V329" s="41"/>
      <c r="W329" s="198"/>
      <c r="X329" s="198"/>
    </row>
    <row r="330" spans="1:24" s="42" customFormat="1" ht="15" customHeight="1" x14ac:dyDescent="0.2">
      <c r="A330" s="224">
        <v>802477</v>
      </c>
      <c r="B330" s="143" t="str">
        <f t="shared" si="115"/>
        <v>WG BAILEY AGENT</v>
      </c>
      <c r="C330" s="6" t="s">
        <v>1746</v>
      </c>
      <c r="D330" s="38"/>
      <c r="E330" s="38">
        <v>214207</v>
      </c>
      <c r="F330" s="39"/>
      <c r="G330" s="578" t="s">
        <v>1427</v>
      </c>
      <c r="H330" s="17">
        <f t="shared" si="113"/>
        <v>0</v>
      </c>
      <c r="I330" s="17">
        <f t="shared" si="114"/>
        <v>0</v>
      </c>
      <c r="J330" s="100">
        <f>$J$5*0.98</f>
        <v>2.0972</v>
      </c>
      <c r="K330" s="17" t="str">
        <f t="shared" si="110"/>
        <v>N</v>
      </c>
      <c r="L330" s="17">
        <f t="shared" ref="L330:L335" si="118">IF(K330="N",0,0.27)</f>
        <v>0</v>
      </c>
      <c r="M330" s="106">
        <v>0</v>
      </c>
      <c r="N330" s="117">
        <f t="shared" si="116"/>
        <v>2.0972</v>
      </c>
      <c r="O330" s="40">
        <f t="shared" si="105"/>
        <v>0</v>
      </c>
      <c r="P330" s="211">
        <f t="shared" si="111"/>
        <v>0</v>
      </c>
      <c r="Q330" s="164">
        <f t="shared" si="107"/>
        <v>0</v>
      </c>
      <c r="R330" s="209">
        <f t="shared" si="117"/>
        <v>0</v>
      </c>
      <c r="S330" s="41"/>
      <c r="T330" s="41"/>
      <c r="U330" s="41"/>
      <c r="V330" s="41"/>
      <c r="W330" s="198"/>
      <c r="X330" s="198"/>
    </row>
    <row r="331" spans="1:24" s="42" customFormat="1" ht="15" customHeight="1" x14ac:dyDescent="0.2">
      <c r="A331" s="224">
        <v>630211</v>
      </c>
      <c r="B331" s="143" t="str">
        <f t="shared" si="115"/>
        <v>WILMOUTH INC</v>
      </c>
      <c r="C331" s="6" t="s">
        <v>1880</v>
      </c>
      <c r="D331" s="195"/>
      <c r="E331" s="195"/>
      <c r="F331" s="196"/>
      <c r="G331" s="39" t="s">
        <v>1424</v>
      </c>
      <c r="H331" s="17">
        <f t="shared" si="113"/>
        <v>0</v>
      </c>
      <c r="I331" s="17">
        <f t="shared" si="114"/>
        <v>0</v>
      </c>
      <c r="J331" s="100">
        <f>$J$5</f>
        <v>2.14</v>
      </c>
      <c r="K331" s="17" t="str">
        <f t="shared" si="110"/>
        <v>N</v>
      </c>
      <c r="L331" s="17">
        <f t="shared" si="118"/>
        <v>0</v>
      </c>
      <c r="M331" s="106">
        <v>0</v>
      </c>
      <c r="N331" s="117">
        <f t="shared" si="116"/>
        <v>2.14</v>
      </c>
      <c r="O331" s="40">
        <f t="shared" si="105"/>
        <v>0</v>
      </c>
      <c r="P331" s="211">
        <f t="shared" si="111"/>
        <v>0</v>
      </c>
      <c r="Q331" s="164">
        <f t="shared" si="107"/>
        <v>0</v>
      </c>
      <c r="R331" s="209">
        <f t="shared" si="117"/>
        <v>0</v>
      </c>
      <c r="S331" s="41"/>
      <c r="T331" s="41"/>
      <c r="U331" s="41"/>
      <c r="V331" s="41"/>
      <c r="W331" s="198"/>
      <c r="X331" s="198"/>
    </row>
    <row r="332" spans="1:24" s="869" customFormat="1" ht="15" customHeight="1" x14ac:dyDescent="0.2">
      <c r="A332" s="858">
        <v>800140</v>
      </c>
      <c r="B332" s="859" t="str">
        <f t="shared" si="115"/>
        <v>GERONIMO ENERGY</v>
      </c>
      <c r="C332" s="6" t="s">
        <v>1156</v>
      </c>
      <c r="D332" s="194"/>
      <c r="E332" s="860">
        <v>141129</v>
      </c>
      <c r="F332" s="830"/>
      <c r="G332" s="830" t="s">
        <v>1424</v>
      </c>
      <c r="H332" s="861">
        <f t="shared" si="113"/>
        <v>0</v>
      </c>
      <c r="I332" s="861">
        <f t="shared" si="114"/>
        <v>0</v>
      </c>
      <c r="J332" s="831">
        <f>$J$5</f>
        <v>2.14</v>
      </c>
      <c r="K332" s="861" t="str">
        <f>IF(ISNA(VLOOKUP(A332,cgas9910,7,FALSE)),0,(VLOOKUP(A332,cgas9910,7,FALSE)))</f>
        <v>N</v>
      </c>
      <c r="L332" s="861">
        <f t="shared" si="118"/>
        <v>0</v>
      </c>
      <c r="M332" s="862">
        <v>0</v>
      </c>
      <c r="N332" s="863">
        <f>J332-L332-M332</f>
        <v>2.14</v>
      </c>
      <c r="O332" s="864">
        <f>+H332*0.001</f>
        <v>0</v>
      </c>
      <c r="P332" s="865">
        <f>IF(AND(A332&gt;700000,A332&lt;800000),+I332*0.001,0)</f>
        <v>0</v>
      </c>
      <c r="Q332" s="866">
        <f>+N332*I332</f>
        <v>0</v>
      </c>
      <c r="R332" s="832">
        <f>+(I332*N332)-P332</f>
        <v>0</v>
      </c>
      <c r="S332" s="867"/>
      <c r="T332" s="867"/>
      <c r="U332" s="867"/>
      <c r="V332" s="867"/>
      <c r="W332" s="868"/>
      <c r="X332" s="868"/>
    </row>
    <row r="333" spans="1:24" s="42" customFormat="1" ht="15" customHeight="1" x14ac:dyDescent="0.2">
      <c r="A333" s="224">
        <v>731230</v>
      </c>
      <c r="B333" s="143" t="str">
        <f t="shared" si="115"/>
        <v>na</v>
      </c>
      <c r="C333" s="6" t="s">
        <v>1904</v>
      </c>
      <c r="D333" s="38"/>
      <c r="E333" s="38"/>
      <c r="F333" s="39"/>
      <c r="G333" s="578" t="s">
        <v>1427</v>
      </c>
      <c r="H333" s="17" t="str">
        <f t="shared" si="113"/>
        <v>na</v>
      </c>
      <c r="I333" s="17">
        <f t="shared" si="114"/>
        <v>0</v>
      </c>
      <c r="J333" s="100">
        <f>$J$5*0.98</f>
        <v>2.0972</v>
      </c>
      <c r="K333" s="17">
        <f t="shared" si="110"/>
        <v>0</v>
      </c>
      <c r="L333" s="17">
        <f t="shared" si="118"/>
        <v>0.27</v>
      </c>
      <c r="M333" s="106">
        <v>0</v>
      </c>
      <c r="N333" s="117">
        <f t="shared" si="116"/>
        <v>1.8271999999999999</v>
      </c>
      <c r="O333" s="40" t="e">
        <f t="shared" si="105"/>
        <v>#VALUE!</v>
      </c>
      <c r="P333" s="211">
        <f t="shared" si="111"/>
        <v>0</v>
      </c>
      <c r="Q333" s="164">
        <f t="shared" si="107"/>
        <v>0</v>
      </c>
      <c r="R333" s="209">
        <f t="shared" si="117"/>
        <v>0</v>
      </c>
      <c r="S333" s="41"/>
      <c r="T333" s="41"/>
      <c r="U333" s="41"/>
      <c r="V333" s="41"/>
      <c r="W333" s="307"/>
      <c r="X333" s="307"/>
    </row>
    <row r="334" spans="1:24" s="42" customFormat="1" ht="15" customHeight="1" x14ac:dyDescent="0.2">
      <c r="A334" s="224">
        <v>734617</v>
      </c>
      <c r="B334" s="143" t="str">
        <f t="shared" si="115"/>
        <v>na</v>
      </c>
      <c r="C334" s="6" t="s">
        <v>1908</v>
      </c>
      <c r="D334" s="38"/>
      <c r="E334" s="38">
        <v>168359</v>
      </c>
      <c r="F334" s="39"/>
      <c r="G334" s="578" t="s">
        <v>1427</v>
      </c>
      <c r="H334" s="17" t="str">
        <f t="shared" si="113"/>
        <v>na</v>
      </c>
      <c r="I334" s="17">
        <f t="shared" si="114"/>
        <v>0</v>
      </c>
      <c r="J334" s="100">
        <f>$J$5*0.98</f>
        <v>2.0972</v>
      </c>
      <c r="K334" s="17">
        <f t="shared" si="110"/>
        <v>0</v>
      </c>
      <c r="L334" s="17">
        <f t="shared" si="118"/>
        <v>0.27</v>
      </c>
      <c r="M334" s="106">
        <v>0</v>
      </c>
      <c r="N334" s="117">
        <f t="shared" si="116"/>
        <v>1.8271999999999999</v>
      </c>
      <c r="O334" s="40" t="e">
        <f t="shared" si="105"/>
        <v>#VALUE!</v>
      </c>
      <c r="P334" s="211">
        <f t="shared" si="111"/>
        <v>0</v>
      </c>
      <c r="Q334" s="164">
        <f t="shared" si="107"/>
        <v>0</v>
      </c>
      <c r="R334" s="209">
        <f t="shared" si="117"/>
        <v>0</v>
      </c>
      <c r="S334" s="41"/>
      <c r="T334" s="41"/>
      <c r="U334" s="41"/>
      <c r="V334" s="41"/>
      <c r="W334" s="198"/>
      <c r="X334" s="198"/>
    </row>
    <row r="335" spans="1:24" s="42" customFormat="1" ht="15" customHeight="1" x14ac:dyDescent="0.2">
      <c r="A335" s="285">
        <v>602485</v>
      </c>
      <c r="B335" s="143" t="str">
        <f t="shared" si="115"/>
        <v>FLORA K WOLFE</v>
      </c>
      <c r="C335" s="286" t="s">
        <v>458</v>
      </c>
      <c r="D335" s="286"/>
      <c r="E335" s="38" t="s">
        <v>459</v>
      </c>
      <c r="F335" s="285" t="s">
        <v>460</v>
      </c>
      <c r="G335" s="285" t="s">
        <v>273</v>
      </c>
      <c r="H335" s="17">
        <f t="shared" si="113"/>
        <v>0</v>
      </c>
      <c r="I335" s="17">
        <f t="shared" si="114"/>
        <v>0</v>
      </c>
      <c r="J335" s="287">
        <f>$J$4*0.95</f>
        <v>2.0044999999999997</v>
      </c>
      <c r="K335" s="17" t="str">
        <f t="shared" si="110"/>
        <v>I</v>
      </c>
      <c r="L335" s="17">
        <f t="shared" si="118"/>
        <v>0.27</v>
      </c>
      <c r="M335" s="288">
        <v>0.06</v>
      </c>
      <c r="N335" s="287">
        <f>+J335-L335-M335</f>
        <v>1.6744999999999997</v>
      </c>
      <c r="O335" s="289">
        <f t="shared" si="105"/>
        <v>0</v>
      </c>
      <c r="P335" s="211">
        <f t="shared" si="111"/>
        <v>0</v>
      </c>
      <c r="Q335" s="290">
        <f t="shared" si="107"/>
        <v>0</v>
      </c>
      <c r="R335" s="209">
        <f t="shared" si="117"/>
        <v>0</v>
      </c>
      <c r="S335" s="41"/>
      <c r="T335" s="41"/>
      <c r="U335" s="108"/>
      <c r="V335" s="108"/>
      <c r="W335" s="198"/>
      <c r="X335" s="198"/>
    </row>
    <row r="336" spans="1:24" s="15" customFormat="1" ht="15" customHeight="1" x14ac:dyDescent="0.2">
      <c r="A336" s="50"/>
      <c r="B336" s="51"/>
      <c r="C336" s="59"/>
      <c r="D336" s="60"/>
      <c r="E336" s="60"/>
      <c r="F336" s="50"/>
      <c r="G336" s="50"/>
      <c r="H336" s="54"/>
      <c r="I336" s="54"/>
      <c r="J336" s="103"/>
      <c r="K336" s="103"/>
      <c r="L336" s="108"/>
      <c r="M336" s="108"/>
      <c r="N336" s="111"/>
      <c r="O336" s="67">
        <f t="shared" si="105"/>
        <v>0</v>
      </c>
      <c r="P336" s="212"/>
      <c r="Q336" s="166"/>
      <c r="R336" s="166"/>
      <c r="S336" s="47"/>
      <c r="T336" s="47"/>
      <c r="U336" s="47"/>
    </row>
    <row r="337" spans="1:21" s="42" customFormat="1" ht="15" customHeight="1" x14ac:dyDescent="0.2">
      <c r="A337" s="68"/>
      <c r="B337" s="636"/>
      <c r="C337" s="59"/>
      <c r="D337" s="60"/>
      <c r="E337" s="60"/>
      <c r="F337" s="50"/>
      <c r="G337" s="50"/>
      <c r="H337" s="58">
        <f>SUM(H5:H336)-H248</f>
        <v>0</v>
      </c>
      <c r="I337" s="58">
        <f>SUM(I5:I336)-I248</f>
        <v>18425</v>
      </c>
      <c r="J337" s="102"/>
      <c r="K337" s="102"/>
      <c r="L337" s="107"/>
      <c r="M337" s="107"/>
      <c r="N337" s="102"/>
      <c r="O337" s="55"/>
      <c r="P337" s="167"/>
      <c r="Q337" s="165"/>
      <c r="R337" s="165"/>
      <c r="S337" s="41"/>
      <c r="T337" s="41"/>
      <c r="U337" s="41"/>
    </row>
    <row r="338" spans="1:21" s="42" customFormat="1" ht="15" customHeight="1" x14ac:dyDescent="0.2">
      <c r="A338" s="50"/>
      <c r="B338" s="51"/>
      <c r="C338" s="59"/>
      <c r="D338" s="60"/>
      <c r="E338" s="60"/>
      <c r="F338" s="50"/>
      <c r="G338" s="50"/>
      <c r="H338" s="54"/>
      <c r="I338" s="58"/>
      <c r="J338" s="102"/>
      <c r="K338" s="102"/>
      <c r="L338" s="107"/>
      <c r="M338" s="107"/>
      <c r="N338" s="102"/>
      <c r="O338" s="55"/>
      <c r="P338" s="167"/>
      <c r="Q338" s="165"/>
      <c r="R338" s="165"/>
      <c r="S338" s="41"/>
      <c r="T338" s="41"/>
      <c r="U338" s="41"/>
    </row>
    <row r="339" spans="1:21" s="42" customFormat="1" ht="15" customHeight="1" x14ac:dyDescent="0.2">
      <c r="A339" s="50"/>
      <c r="B339" s="51"/>
      <c r="C339" s="59"/>
      <c r="D339" s="60"/>
      <c r="E339" s="60"/>
      <c r="F339" s="50"/>
      <c r="G339" s="50"/>
      <c r="H339" s="54"/>
      <c r="I339" s="58"/>
      <c r="J339" s="102"/>
      <c r="K339" s="102"/>
      <c r="L339" s="107"/>
      <c r="M339" s="107"/>
      <c r="N339" s="102"/>
      <c r="O339" s="55"/>
      <c r="P339" s="167"/>
      <c r="Q339" s="165"/>
      <c r="R339" s="165"/>
      <c r="S339" s="41"/>
      <c r="T339" s="41"/>
      <c r="U339" s="41"/>
    </row>
    <row r="340" spans="1:21" s="42" customFormat="1" ht="15" customHeight="1" x14ac:dyDescent="0.2">
      <c r="A340" s="50"/>
      <c r="B340" s="51"/>
      <c r="C340" s="59"/>
      <c r="D340" s="60"/>
      <c r="E340" s="60"/>
      <c r="F340" s="50"/>
      <c r="G340" s="50"/>
      <c r="H340" s="54"/>
      <c r="I340" s="58"/>
      <c r="J340" s="102"/>
      <c r="K340" s="102"/>
      <c r="L340" s="107"/>
      <c r="M340" s="107"/>
      <c r="N340" s="102"/>
      <c r="O340" s="55"/>
      <c r="P340" s="167"/>
      <c r="Q340" s="165"/>
      <c r="R340" s="165"/>
      <c r="S340" s="41"/>
      <c r="T340" s="41"/>
      <c r="U340" s="41"/>
    </row>
    <row r="341" spans="1:21" s="42" customFormat="1" ht="15" customHeight="1" x14ac:dyDescent="0.2">
      <c r="A341" s="50"/>
      <c r="B341" s="51"/>
      <c r="C341" s="59"/>
      <c r="D341" s="60"/>
      <c r="E341" s="60"/>
      <c r="F341" s="50"/>
      <c r="G341" s="50"/>
      <c r="H341" s="54"/>
      <c r="I341" s="58"/>
      <c r="J341" s="102"/>
      <c r="K341" s="102"/>
      <c r="L341" s="107"/>
      <c r="M341" s="107"/>
      <c r="N341" s="102"/>
      <c r="O341" s="55"/>
      <c r="P341" s="167"/>
      <c r="Q341" s="165"/>
      <c r="R341" s="165"/>
      <c r="S341" s="41"/>
      <c r="T341" s="41"/>
      <c r="U341" s="41"/>
    </row>
    <row r="342" spans="1:21" s="42" customFormat="1" ht="15" customHeight="1" x14ac:dyDescent="0.2">
      <c r="A342" s="50"/>
      <c r="B342" s="51"/>
      <c r="C342" s="59"/>
      <c r="D342" s="60"/>
      <c r="E342" s="60"/>
      <c r="F342" s="50"/>
      <c r="G342" s="50"/>
      <c r="H342" s="54"/>
      <c r="I342" s="58"/>
      <c r="J342" s="102"/>
      <c r="K342" s="102"/>
      <c r="L342" s="107"/>
      <c r="M342" s="107"/>
      <c r="N342" s="102"/>
      <c r="O342" s="55"/>
      <c r="P342" s="167"/>
      <c r="Q342" s="165"/>
      <c r="R342" s="165"/>
      <c r="S342" s="41"/>
      <c r="T342" s="41"/>
      <c r="U342" s="41"/>
    </row>
    <row r="343" spans="1:21" s="42" customFormat="1" ht="15" customHeight="1" x14ac:dyDescent="0.2">
      <c r="A343" s="50"/>
      <c r="B343" s="51"/>
      <c r="C343" s="59"/>
      <c r="D343" s="60"/>
      <c r="E343" s="60"/>
      <c r="F343" s="50"/>
      <c r="G343" s="50"/>
      <c r="H343" s="54"/>
      <c r="I343" s="58"/>
      <c r="J343" s="102"/>
      <c r="K343" s="102"/>
      <c r="L343" s="107"/>
      <c r="M343" s="107"/>
      <c r="N343" s="102"/>
      <c r="O343" s="55"/>
      <c r="P343" s="167"/>
      <c r="Q343" s="165"/>
      <c r="R343" s="165"/>
      <c r="S343" s="41"/>
      <c r="T343" s="41"/>
      <c r="U343" s="41"/>
    </row>
    <row r="344" spans="1:21" s="42" customFormat="1" ht="15" customHeight="1" x14ac:dyDescent="0.2">
      <c r="A344" s="50"/>
      <c r="B344" s="51"/>
      <c r="C344" s="51"/>
      <c r="D344" s="52"/>
      <c r="E344" s="52"/>
      <c r="F344" s="53"/>
      <c r="G344" s="50"/>
      <c r="H344" s="54"/>
      <c r="I344" s="54"/>
      <c r="J344" s="102"/>
      <c r="K344" s="102"/>
      <c r="L344" s="107"/>
      <c r="M344" s="107"/>
      <c r="N344" s="102"/>
      <c r="O344" s="55"/>
      <c r="P344" s="167"/>
      <c r="Q344" s="167"/>
      <c r="R344" s="165"/>
      <c r="S344" s="41"/>
      <c r="T344" s="41"/>
      <c r="U344" s="41"/>
    </row>
    <row r="345" spans="1:21" s="41" customFormat="1" ht="15" customHeight="1" x14ac:dyDescent="0.2">
      <c r="A345" s="50"/>
      <c r="B345" s="51"/>
      <c r="C345" s="51"/>
      <c r="D345" s="56"/>
      <c r="E345" s="56"/>
      <c r="F345" s="50"/>
      <c r="G345" s="50"/>
      <c r="H345" s="54"/>
      <c r="I345" s="54"/>
      <c r="J345" s="102"/>
      <c r="K345" s="102"/>
      <c r="L345" s="107"/>
      <c r="M345" s="107"/>
      <c r="N345" s="102"/>
      <c r="O345" s="55"/>
      <c r="P345" s="167"/>
      <c r="Q345" s="165"/>
      <c r="R345" s="165"/>
    </row>
    <row r="346" spans="1:21" s="41" customFormat="1" ht="15" customHeight="1" x14ac:dyDescent="0.2">
      <c r="A346" s="50"/>
      <c r="B346" s="51"/>
      <c r="C346" s="59"/>
      <c r="D346" s="60"/>
      <c r="E346" s="60"/>
      <c r="F346" s="50"/>
      <c r="G346" s="57"/>
      <c r="H346" s="54"/>
      <c r="I346" s="58"/>
      <c r="J346" s="102"/>
      <c r="K346" s="102"/>
      <c r="L346" s="107"/>
      <c r="M346" s="107"/>
      <c r="N346" s="102"/>
      <c r="O346" s="55"/>
      <c r="P346" s="167"/>
      <c r="Q346" s="165"/>
      <c r="R346" s="165"/>
    </row>
    <row r="347" spans="1:21" s="41" customFormat="1" ht="15" customHeight="1" x14ac:dyDescent="0.2">
      <c r="A347" s="50"/>
      <c r="B347" s="51"/>
      <c r="C347" s="51"/>
      <c r="D347" s="56"/>
      <c r="E347" s="56"/>
      <c r="F347" s="50"/>
      <c r="G347" s="50"/>
      <c r="H347" s="54"/>
      <c r="I347" s="58"/>
      <c r="J347" s="102"/>
      <c r="K347" s="102"/>
      <c r="L347" s="107"/>
      <c r="M347" s="107"/>
      <c r="N347" s="102"/>
      <c r="O347" s="55"/>
      <c r="P347" s="167"/>
      <c r="Q347" s="165"/>
      <c r="R347" s="165"/>
    </row>
    <row r="348" spans="1:21" s="41" customFormat="1" ht="15" customHeight="1" x14ac:dyDescent="0.2">
      <c r="A348" s="50"/>
      <c r="B348" s="51"/>
      <c r="C348" s="51"/>
      <c r="D348" s="56"/>
      <c r="E348" s="56"/>
      <c r="F348" s="50"/>
      <c r="G348" s="50"/>
      <c r="H348" s="54"/>
      <c r="I348" s="58"/>
      <c r="J348" s="102"/>
      <c r="K348" s="102"/>
      <c r="L348" s="107"/>
      <c r="M348" s="107"/>
      <c r="N348" s="102"/>
      <c r="O348" s="55"/>
      <c r="P348" s="167"/>
      <c r="Q348" s="165"/>
      <c r="R348" s="165"/>
    </row>
    <row r="349" spans="1:21" s="41" customFormat="1" ht="15" customHeight="1" x14ac:dyDescent="0.2">
      <c r="A349" s="50"/>
      <c r="B349" s="51"/>
      <c r="C349" s="59"/>
      <c r="D349" s="60"/>
      <c r="E349" s="60"/>
      <c r="F349" s="50"/>
      <c r="G349" s="50"/>
      <c r="H349" s="54"/>
      <c r="I349" s="58"/>
      <c r="J349" s="102"/>
      <c r="K349" s="102"/>
      <c r="L349" s="107"/>
      <c r="M349" s="107"/>
      <c r="N349" s="102"/>
      <c r="O349" s="55"/>
      <c r="P349" s="167"/>
      <c r="Q349" s="165"/>
      <c r="R349" s="165"/>
    </row>
    <row r="350" spans="1:21" s="41" customFormat="1" ht="15" customHeight="1" x14ac:dyDescent="0.2">
      <c r="A350" s="50"/>
      <c r="B350" s="51"/>
      <c r="C350" s="59"/>
      <c r="D350" s="60"/>
      <c r="E350" s="60"/>
      <c r="F350" s="50"/>
      <c r="G350" s="50"/>
      <c r="H350" s="54"/>
      <c r="I350" s="58"/>
      <c r="J350" s="102"/>
      <c r="K350" s="102"/>
      <c r="L350" s="107"/>
      <c r="M350" s="107"/>
      <c r="N350" s="102"/>
      <c r="O350" s="55"/>
      <c r="P350" s="167"/>
      <c r="Q350" s="165"/>
      <c r="R350" s="165"/>
    </row>
    <row r="351" spans="1:21" s="41" customFormat="1" ht="15" customHeight="1" x14ac:dyDescent="0.2">
      <c r="A351" s="50"/>
      <c r="B351" s="51"/>
      <c r="C351" s="59"/>
      <c r="D351" s="60"/>
      <c r="E351" s="60"/>
      <c r="F351" s="50"/>
      <c r="G351" s="50"/>
      <c r="H351" s="54"/>
      <c r="I351" s="58"/>
      <c r="J351" s="102"/>
      <c r="K351" s="102"/>
      <c r="L351" s="107"/>
      <c r="M351" s="107"/>
      <c r="N351" s="102"/>
      <c r="O351" s="55"/>
      <c r="P351" s="167"/>
      <c r="Q351" s="165"/>
      <c r="R351" s="165"/>
    </row>
    <row r="352" spans="1:21" s="41" customFormat="1" ht="15" customHeight="1" x14ac:dyDescent="0.2">
      <c r="A352" s="50"/>
      <c r="B352" s="51"/>
      <c r="C352" s="59"/>
      <c r="D352" s="60"/>
      <c r="E352" s="60"/>
      <c r="F352" s="50"/>
      <c r="G352" s="50"/>
      <c r="H352" s="54"/>
      <c r="I352" s="58"/>
      <c r="J352" s="102"/>
      <c r="K352" s="102"/>
      <c r="L352" s="107"/>
      <c r="M352" s="107"/>
      <c r="N352" s="102"/>
      <c r="O352" s="55"/>
      <c r="P352" s="167"/>
      <c r="Q352" s="165"/>
      <c r="R352" s="165"/>
    </row>
    <row r="353" spans="1:18" s="41" customFormat="1" ht="15" customHeight="1" x14ac:dyDescent="0.2">
      <c r="A353" s="50"/>
      <c r="B353" s="51"/>
      <c r="C353" s="59"/>
      <c r="D353" s="60"/>
      <c r="E353" s="60"/>
      <c r="F353" s="50"/>
      <c r="G353" s="50"/>
      <c r="H353" s="54"/>
      <c r="I353" s="58"/>
      <c r="J353" s="102"/>
      <c r="K353" s="102"/>
      <c r="L353" s="107"/>
      <c r="M353" s="107"/>
      <c r="N353" s="102"/>
      <c r="O353" s="55"/>
      <c r="P353" s="167"/>
      <c r="Q353" s="165"/>
      <c r="R353" s="165"/>
    </row>
    <row r="354" spans="1:18" s="41" customFormat="1" ht="15" customHeight="1" x14ac:dyDescent="0.2">
      <c r="A354" s="50"/>
      <c r="B354" s="51"/>
      <c r="C354" s="59"/>
      <c r="D354" s="60"/>
      <c r="E354" s="60"/>
      <c r="F354" s="50"/>
      <c r="G354" s="50"/>
      <c r="H354" s="54"/>
      <c r="I354" s="58"/>
      <c r="J354" s="102"/>
      <c r="K354" s="102"/>
      <c r="L354" s="107"/>
      <c r="M354" s="107"/>
      <c r="N354" s="102"/>
      <c r="O354" s="55"/>
      <c r="P354" s="167"/>
      <c r="Q354" s="165"/>
      <c r="R354" s="165"/>
    </row>
    <row r="355" spans="1:18" s="41" customFormat="1" ht="15" customHeight="1" x14ac:dyDescent="0.2">
      <c r="A355" s="50"/>
      <c r="B355" s="51"/>
      <c r="C355" s="59"/>
      <c r="D355" s="60"/>
      <c r="E355" s="60"/>
      <c r="F355" s="50"/>
      <c r="G355" s="50"/>
      <c r="H355" s="54"/>
      <c r="I355" s="58"/>
      <c r="J355" s="102"/>
      <c r="K355" s="102"/>
      <c r="L355" s="107"/>
      <c r="M355" s="107"/>
      <c r="N355" s="102"/>
      <c r="O355" s="55"/>
      <c r="P355" s="167"/>
      <c r="Q355" s="165"/>
      <c r="R355" s="165"/>
    </row>
    <row r="356" spans="1:18" s="41" customFormat="1" ht="15" customHeight="1" x14ac:dyDescent="0.2">
      <c r="A356" s="50"/>
      <c r="B356" s="51"/>
      <c r="C356" s="59"/>
      <c r="D356" s="60"/>
      <c r="E356" s="60"/>
      <c r="F356" s="53"/>
      <c r="G356" s="50"/>
      <c r="H356" s="54"/>
      <c r="I356" s="58"/>
      <c r="J356" s="102"/>
      <c r="K356" s="102"/>
      <c r="L356" s="107"/>
      <c r="M356" s="107"/>
      <c r="N356" s="102"/>
      <c r="O356" s="55"/>
      <c r="P356" s="167"/>
      <c r="Q356" s="165"/>
      <c r="R356" s="165"/>
    </row>
    <row r="357" spans="1:18" s="41" customFormat="1" ht="15" customHeight="1" x14ac:dyDescent="0.2">
      <c r="A357" s="50"/>
      <c r="B357" s="51"/>
      <c r="C357" s="59"/>
      <c r="D357" s="60"/>
      <c r="E357" s="60"/>
      <c r="F357" s="50"/>
      <c r="G357" s="50"/>
      <c r="H357" s="54"/>
      <c r="I357" s="58"/>
      <c r="J357" s="102"/>
      <c r="K357" s="102"/>
      <c r="L357" s="107"/>
      <c r="M357" s="107"/>
      <c r="N357" s="102"/>
      <c r="O357" s="55"/>
      <c r="P357" s="167"/>
      <c r="Q357" s="165"/>
      <c r="R357" s="165"/>
    </row>
    <row r="358" spans="1:18" s="41" customFormat="1" ht="15" customHeight="1" x14ac:dyDescent="0.2">
      <c r="A358" s="50"/>
      <c r="B358" s="51"/>
      <c r="C358" s="59"/>
      <c r="D358" s="60"/>
      <c r="E358" s="60"/>
      <c r="F358" s="50"/>
      <c r="G358" s="50"/>
      <c r="H358" s="54"/>
      <c r="I358" s="58"/>
      <c r="J358" s="102"/>
      <c r="K358" s="102"/>
      <c r="L358" s="107"/>
      <c r="M358" s="107"/>
      <c r="N358" s="102"/>
      <c r="O358" s="55"/>
      <c r="P358" s="167"/>
      <c r="Q358" s="165"/>
      <c r="R358" s="165"/>
    </row>
    <row r="359" spans="1:18" s="47" customFormat="1" ht="15" customHeight="1" x14ac:dyDescent="0.2">
      <c r="A359" s="50"/>
      <c r="B359" s="51"/>
      <c r="C359" s="59"/>
      <c r="D359" s="60"/>
      <c r="E359" s="60"/>
      <c r="F359" s="50"/>
      <c r="G359" s="50"/>
      <c r="H359" s="54"/>
      <c r="I359" s="58"/>
      <c r="J359" s="103"/>
      <c r="K359" s="103"/>
      <c r="L359" s="108"/>
      <c r="M359" s="108"/>
      <c r="N359" s="103"/>
      <c r="O359" s="66"/>
      <c r="P359" s="213"/>
      <c r="Q359" s="166"/>
      <c r="R359" s="166"/>
    </row>
    <row r="360" spans="1:18" s="41" customFormat="1" ht="15" customHeight="1" x14ac:dyDescent="0.2">
      <c r="A360" s="68"/>
      <c r="B360" s="636"/>
      <c r="C360" s="59"/>
      <c r="D360" s="60"/>
      <c r="E360" s="60"/>
      <c r="F360" s="50"/>
      <c r="G360" s="50"/>
      <c r="H360" s="54"/>
      <c r="I360" s="58"/>
      <c r="J360" s="102"/>
      <c r="K360" s="102"/>
      <c r="L360" s="107"/>
      <c r="M360" s="107"/>
      <c r="N360" s="102"/>
      <c r="O360" s="55"/>
      <c r="P360" s="167"/>
      <c r="Q360" s="165"/>
      <c r="R360" s="165"/>
    </row>
    <row r="361" spans="1:18" s="41" customFormat="1" ht="15" customHeight="1" x14ac:dyDescent="0.2">
      <c r="A361" s="50"/>
      <c r="B361" s="51"/>
      <c r="C361" s="59"/>
      <c r="D361" s="60"/>
      <c r="E361" s="60"/>
      <c r="F361" s="50"/>
      <c r="G361" s="50"/>
      <c r="H361" s="54"/>
      <c r="I361" s="58"/>
      <c r="J361" s="102"/>
      <c r="K361" s="102"/>
      <c r="L361" s="107"/>
      <c r="M361" s="107"/>
      <c r="N361" s="102"/>
      <c r="O361" s="55"/>
      <c r="P361" s="167"/>
      <c r="Q361" s="165"/>
      <c r="R361" s="165"/>
    </row>
    <row r="362" spans="1:18" s="41" customFormat="1" ht="15" customHeight="1" x14ac:dyDescent="0.2">
      <c r="A362" s="50"/>
      <c r="B362" s="51"/>
      <c r="C362" s="59"/>
      <c r="D362" s="60"/>
      <c r="E362" s="60"/>
      <c r="F362" s="50"/>
      <c r="G362" s="50"/>
      <c r="H362" s="54"/>
      <c r="I362" s="58"/>
      <c r="J362" s="102"/>
      <c r="K362" s="102"/>
      <c r="L362" s="107"/>
      <c r="M362" s="107"/>
      <c r="N362" s="102"/>
      <c r="O362" s="55"/>
      <c r="P362" s="167"/>
      <c r="Q362" s="165"/>
      <c r="R362" s="165"/>
    </row>
    <row r="363" spans="1:18" s="41" customFormat="1" ht="15" customHeight="1" x14ac:dyDescent="0.2">
      <c r="A363" s="50"/>
      <c r="B363" s="51"/>
      <c r="C363" s="59"/>
      <c r="D363" s="60"/>
      <c r="E363" s="60"/>
      <c r="F363" s="50"/>
      <c r="G363" s="50"/>
      <c r="H363" s="54"/>
      <c r="I363" s="58"/>
      <c r="J363" s="102"/>
      <c r="K363" s="102"/>
      <c r="L363" s="107"/>
      <c r="M363" s="107"/>
      <c r="N363" s="102"/>
      <c r="O363" s="55"/>
      <c r="P363" s="167"/>
      <c r="Q363" s="165"/>
      <c r="R363" s="165"/>
    </row>
    <row r="364" spans="1:18" s="41" customFormat="1" ht="15" customHeight="1" x14ac:dyDescent="0.2">
      <c r="A364" s="50"/>
      <c r="B364" s="51"/>
      <c r="C364" s="59"/>
      <c r="D364" s="60"/>
      <c r="E364" s="60"/>
      <c r="F364" s="50"/>
      <c r="G364" s="50"/>
      <c r="H364" s="54"/>
      <c r="I364" s="58"/>
      <c r="J364" s="102"/>
      <c r="K364" s="102"/>
      <c r="L364" s="107"/>
      <c r="M364" s="107"/>
      <c r="N364" s="102"/>
      <c r="O364" s="55"/>
      <c r="P364" s="167"/>
      <c r="Q364" s="165"/>
      <c r="R364" s="165"/>
    </row>
    <row r="365" spans="1:18" s="41" customFormat="1" ht="15" customHeight="1" x14ac:dyDescent="0.2">
      <c r="A365" s="50"/>
      <c r="B365" s="51"/>
      <c r="C365" s="59"/>
      <c r="D365" s="60"/>
      <c r="E365" s="60"/>
      <c r="F365" s="50"/>
      <c r="G365" s="50"/>
      <c r="H365" s="54"/>
      <c r="I365" s="58"/>
      <c r="J365" s="102"/>
      <c r="K365" s="102"/>
      <c r="L365" s="107"/>
      <c r="M365" s="107"/>
      <c r="N365" s="102"/>
      <c r="O365" s="55"/>
      <c r="P365" s="167"/>
      <c r="Q365" s="165"/>
      <c r="R365" s="165"/>
    </row>
    <row r="366" spans="1:18" s="41" customFormat="1" ht="15" customHeight="1" x14ac:dyDescent="0.2">
      <c r="A366" s="50"/>
      <c r="B366" s="51"/>
      <c r="C366" s="59"/>
      <c r="D366" s="60"/>
      <c r="E366" s="60"/>
      <c r="F366" s="50"/>
      <c r="G366" s="61"/>
      <c r="H366" s="54"/>
      <c r="I366" s="58"/>
      <c r="J366" s="102"/>
      <c r="K366" s="102"/>
      <c r="L366" s="107"/>
      <c r="M366" s="107"/>
      <c r="N366" s="102"/>
      <c r="O366" s="55"/>
      <c r="P366" s="167"/>
      <c r="Q366" s="165"/>
      <c r="R366" s="165"/>
    </row>
    <row r="367" spans="1:18" s="41" customFormat="1" ht="15" customHeight="1" x14ac:dyDescent="0.2">
      <c r="A367" s="50"/>
      <c r="B367" s="51"/>
      <c r="C367" s="62"/>
      <c r="D367" s="60"/>
      <c r="E367" s="60"/>
      <c r="F367" s="50"/>
      <c r="G367" s="50"/>
      <c r="H367" s="54"/>
      <c r="I367" s="58"/>
      <c r="J367" s="102"/>
      <c r="K367" s="102"/>
      <c r="L367" s="107"/>
      <c r="M367" s="107"/>
      <c r="N367" s="102"/>
      <c r="O367" s="55"/>
      <c r="P367" s="167"/>
      <c r="Q367" s="165"/>
      <c r="R367" s="165"/>
    </row>
    <row r="368" spans="1:18" s="41" customFormat="1" ht="15" customHeight="1" x14ac:dyDescent="0.2">
      <c r="A368" s="50"/>
      <c r="B368" s="51"/>
      <c r="C368" s="59"/>
      <c r="D368" s="60"/>
      <c r="E368" s="60"/>
      <c r="F368" s="50"/>
      <c r="G368" s="50"/>
      <c r="H368" s="54"/>
      <c r="I368" s="58"/>
      <c r="J368" s="102"/>
      <c r="K368" s="102"/>
      <c r="L368" s="107"/>
      <c r="M368" s="107"/>
      <c r="N368" s="102"/>
      <c r="O368" s="55"/>
      <c r="P368" s="167"/>
      <c r="Q368" s="165"/>
      <c r="R368" s="165"/>
    </row>
    <row r="369" spans="1:18" s="41" customFormat="1" ht="15" customHeight="1" x14ac:dyDescent="0.2">
      <c r="A369" s="50"/>
      <c r="B369" s="51"/>
      <c r="C369" s="59"/>
      <c r="D369" s="60"/>
      <c r="E369" s="60"/>
      <c r="F369" s="50"/>
      <c r="G369" s="50"/>
      <c r="H369" s="54"/>
      <c r="I369" s="58"/>
      <c r="J369" s="102"/>
      <c r="K369" s="102"/>
      <c r="L369" s="107"/>
      <c r="M369" s="107"/>
      <c r="N369" s="102"/>
      <c r="O369" s="55"/>
      <c r="P369" s="167"/>
      <c r="Q369" s="165"/>
      <c r="R369" s="165"/>
    </row>
    <row r="370" spans="1:18" s="41" customFormat="1" ht="15" customHeight="1" x14ac:dyDescent="0.2">
      <c r="A370" s="50"/>
      <c r="B370" s="51"/>
      <c r="C370" s="59"/>
      <c r="D370" s="60"/>
      <c r="E370" s="60"/>
      <c r="F370" s="50"/>
      <c r="G370" s="50"/>
      <c r="H370" s="54"/>
      <c r="I370" s="58"/>
      <c r="J370" s="102"/>
      <c r="K370" s="102"/>
      <c r="L370" s="107"/>
      <c r="M370" s="107"/>
      <c r="N370" s="102"/>
      <c r="O370" s="55"/>
      <c r="P370" s="167"/>
      <c r="Q370" s="165"/>
      <c r="R370" s="165"/>
    </row>
    <row r="371" spans="1:18" s="41" customFormat="1" ht="15" customHeight="1" x14ac:dyDescent="0.2">
      <c r="A371" s="50"/>
      <c r="B371" s="51"/>
      <c r="C371" s="59"/>
      <c r="D371" s="60"/>
      <c r="E371" s="60"/>
      <c r="F371" s="50"/>
      <c r="G371" s="50"/>
      <c r="H371" s="54"/>
      <c r="I371" s="58"/>
      <c r="J371" s="102"/>
      <c r="K371" s="102"/>
      <c r="L371" s="107"/>
      <c r="M371" s="107"/>
      <c r="N371" s="102"/>
      <c r="O371" s="55"/>
      <c r="P371" s="167"/>
      <c r="Q371" s="165"/>
      <c r="R371" s="165"/>
    </row>
    <row r="372" spans="1:18" s="41" customFormat="1" ht="15" customHeight="1" x14ac:dyDescent="0.2">
      <c r="A372" s="50"/>
      <c r="B372" s="51"/>
      <c r="C372" s="59"/>
      <c r="D372" s="60"/>
      <c r="E372" s="60"/>
      <c r="F372" s="50"/>
      <c r="G372" s="50"/>
      <c r="H372" s="54"/>
      <c r="I372" s="58"/>
      <c r="J372" s="102"/>
      <c r="K372" s="102"/>
      <c r="L372" s="107"/>
      <c r="M372" s="107"/>
      <c r="N372" s="102"/>
      <c r="O372" s="55"/>
      <c r="P372" s="167"/>
      <c r="Q372" s="165"/>
      <c r="R372" s="165"/>
    </row>
    <row r="373" spans="1:18" s="41" customFormat="1" ht="15" customHeight="1" x14ac:dyDescent="0.2">
      <c r="A373" s="50"/>
      <c r="B373" s="51"/>
      <c r="C373" s="59"/>
      <c r="D373" s="60"/>
      <c r="E373" s="60"/>
      <c r="F373" s="50"/>
      <c r="G373" s="50"/>
      <c r="H373" s="54"/>
      <c r="I373" s="58"/>
      <c r="J373" s="102"/>
      <c r="K373" s="102"/>
      <c r="L373" s="107"/>
      <c r="M373" s="107"/>
      <c r="N373" s="102"/>
      <c r="O373" s="55"/>
      <c r="P373" s="167"/>
      <c r="Q373" s="165"/>
      <c r="R373" s="165"/>
    </row>
    <row r="374" spans="1:18" s="41" customFormat="1" ht="15" customHeight="1" x14ac:dyDescent="0.2">
      <c r="A374" s="50"/>
      <c r="B374" s="51"/>
      <c r="C374" s="59"/>
      <c r="D374" s="60"/>
      <c r="E374" s="60"/>
      <c r="F374" s="50"/>
      <c r="G374" s="50"/>
      <c r="H374" s="54"/>
      <c r="I374" s="58"/>
      <c r="J374" s="102"/>
      <c r="K374" s="102"/>
      <c r="L374" s="107"/>
      <c r="M374" s="107"/>
      <c r="N374" s="102"/>
      <c r="O374" s="55"/>
      <c r="P374" s="167"/>
      <c r="Q374" s="165"/>
      <c r="R374" s="165"/>
    </row>
    <row r="375" spans="1:18" s="41" customFormat="1" ht="15" customHeight="1" x14ac:dyDescent="0.2">
      <c r="A375" s="50"/>
      <c r="B375" s="51"/>
      <c r="C375" s="59"/>
      <c r="D375" s="60"/>
      <c r="E375" s="60"/>
      <c r="F375" s="50"/>
      <c r="G375" s="50"/>
      <c r="H375" s="54"/>
      <c r="I375" s="58"/>
      <c r="J375" s="102"/>
      <c r="K375" s="102"/>
      <c r="L375" s="107"/>
      <c r="M375" s="107"/>
      <c r="N375" s="102"/>
      <c r="O375" s="55"/>
      <c r="P375" s="167"/>
      <c r="Q375" s="165"/>
      <c r="R375" s="165"/>
    </row>
    <row r="376" spans="1:18" s="41" customFormat="1" ht="15" customHeight="1" x14ac:dyDescent="0.2">
      <c r="A376" s="50"/>
      <c r="B376" s="51"/>
      <c r="C376" s="59"/>
      <c r="D376" s="60"/>
      <c r="E376" s="60"/>
      <c r="F376" s="50"/>
      <c r="G376" s="50"/>
      <c r="H376" s="54"/>
      <c r="I376" s="58"/>
      <c r="J376" s="102"/>
      <c r="K376" s="102"/>
      <c r="L376" s="107"/>
      <c r="M376" s="107"/>
      <c r="N376" s="102"/>
      <c r="O376" s="55"/>
      <c r="P376" s="167"/>
      <c r="Q376" s="165"/>
      <c r="R376" s="165"/>
    </row>
    <row r="377" spans="1:18" s="41" customFormat="1" ht="15" customHeight="1" x14ac:dyDescent="0.2">
      <c r="A377" s="58"/>
      <c r="B377" s="637"/>
      <c r="C377" s="59"/>
      <c r="D377" s="63"/>
      <c r="E377" s="63"/>
      <c r="F377" s="50"/>
      <c r="G377" s="50"/>
      <c r="H377" s="54"/>
      <c r="I377" s="58"/>
      <c r="J377" s="102"/>
      <c r="K377" s="102"/>
      <c r="L377" s="107"/>
      <c r="M377" s="107"/>
      <c r="N377" s="102"/>
      <c r="O377" s="55"/>
      <c r="P377" s="167"/>
      <c r="Q377" s="165"/>
      <c r="R377" s="165"/>
    </row>
    <row r="378" spans="1:18" s="47" customFormat="1" ht="15" customHeight="1" x14ac:dyDescent="0.2">
      <c r="A378" s="50"/>
      <c r="B378" s="51"/>
      <c r="C378" s="59"/>
      <c r="D378" s="60"/>
      <c r="E378" s="60"/>
      <c r="F378" s="50"/>
      <c r="G378" s="50"/>
      <c r="H378" s="54"/>
      <c r="I378" s="58"/>
      <c r="J378" s="102"/>
      <c r="K378" s="102"/>
      <c r="L378" s="107"/>
      <c r="M378" s="107"/>
      <c r="N378" s="103"/>
      <c r="O378" s="66"/>
      <c r="P378" s="213"/>
      <c r="Q378" s="166"/>
      <c r="R378" s="166"/>
    </row>
    <row r="379" spans="1:18" s="41" customFormat="1" ht="15" customHeight="1" x14ac:dyDescent="0.2">
      <c r="A379" s="68"/>
      <c r="B379" s="636"/>
      <c r="C379" s="59"/>
      <c r="D379" s="60"/>
      <c r="E379" s="60"/>
      <c r="F379" s="50"/>
      <c r="G379" s="50"/>
      <c r="H379" s="54"/>
      <c r="I379" s="58"/>
      <c r="J379" s="102"/>
      <c r="K379" s="102"/>
      <c r="L379" s="107"/>
      <c r="M379" s="107"/>
      <c r="N379" s="102"/>
      <c r="O379" s="55"/>
      <c r="P379" s="167"/>
      <c r="Q379" s="165"/>
      <c r="R379" s="165"/>
    </row>
    <row r="380" spans="1:18" s="41" customFormat="1" ht="15" customHeight="1" x14ac:dyDescent="0.2">
      <c r="A380" s="50"/>
      <c r="B380" s="51"/>
      <c r="C380" s="59"/>
      <c r="D380" s="60"/>
      <c r="E380" s="60"/>
      <c r="F380" s="50"/>
      <c r="G380" s="50"/>
      <c r="H380" s="54"/>
      <c r="I380" s="58"/>
      <c r="J380" s="102"/>
      <c r="K380" s="102"/>
      <c r="L380" s="107"/>
      <c r="M380" s="107"/>
      <c r="N380" s="102"/>
      <c r="O380" s="55"/>
      <c r="P380" s="167"/>
      <c r="Q380" s="165"/>
      <c r="R380" s="165"/>
    </row>
    <row r="381" spans="1:18" s="41" customFormat="1" ht="15" customHeight="1" x14ac:dyDescent="0.2">
      <c r="A381" s="50"/>
      <c r="B381" s="51"/>
      <c r="C381" s="59"/>
      <c r="D381" s="60"/>
      <c r="E381" s="60"/>
      <c r="F381" s="50"/>
      <c r="G381" s="50"/>
      <c r="H381" s="54"/>
      <c r="I381" s="58"/>
      <c r="J381" s="102"/>
      <c r="K381" s="102"/>
      <c r="L381" s="107"/>
      <c r="M381" s="107"/>
      <c r="N381" s="102"/>
      <c r="O381" s="55"/>
      <c r="P381" s="167"/>
      <c r="Q381" s="165"/>
      <c r="R381" s="165"/>
    </row>
    <row r="382" spans="1:18" s="41" customFormat="1" ht="15" customHeight="1" x14ac:dyDescent="0.2">
      <c r="A382" s="50"/>
      <c r="B382" s="51"/>
      <c r="C382" s="59"/>
      <c r="D382" s="60"/>
      <c r="E382" s="60"/>
      <c r="F382" s="50"/>
      <c r="G382" s="50"/>
      <c r="H382" s="54"/>
      <c r="I382" s="58"/>
      <c r="J382" s="102"/>
      <c r="K382" s="102"/>
      <c r="L382" s="107"/>
      <c r="M382" s="107"/>
      <c r="N382" s="102"/>
      <c r="O382" s="55"/>
      <c r="P382" s="167"/>
      <c r="Q382" s="165"/>
      <c r="R382" s="165"/>
    </row>
    <row r="383" spans="1:18" s="41" customFormat="1" ht="15" customHeight="1" x14ac:dyDescent="0.2">
      <c r="A383" s="50"/>
      <c r="B383" s="51"/>
      <c r="C383" s="59"/>
      <c r="D383" s="60"/>
      <c r="E383" s="60"/>
      <c r="F383" s="50"/>
      <c r="G383" s="50"/>
      <c r="H383" s="54"/>
      <c r="I383" s="58"/>
      <c r="J383" s="102"/>
      <c r="K383" s="102"/>
      <c r="L383" s="107"/>
      <c r="M383" s="107"/>
      <c r="N383" s="102"/>
      <c r="O383" s="55"/>
      <c r="P383" s="167"/>
      <c r="Q383" s="165"/>
      <c r="R383" s="165"/>
    </row>
    <row r="384" spans="1:18" s="41" customFormat="1" ht="15" customHeight="1" x14ac:dyDescent="0.2">
      <c r="A384" s="50"/>
      <c r="B384" s="51"/>
      <c r="C384" s="59"/>
      <c r="D384" s="60"/>
      <c r="E384" s="60"/>
      <c r="F384" s="50"/>
      <c r="G384" s="50"/>
      <c r="H384" s="54"/>
      <c r="I384" s="58"/>
      <c r="J384" s="102"/>
      <c r="K384" s="102"/>
      <c r="L384" s="107"/>
      <c r="M384" s="107"/>
      <c r="N384" s="102"/>
      <c r="O384" s="55"/>
      <c r="P384" s="167"/>
      <c r="Q384" s="165"/>
      <c r="R384" s="165"/>
    </row>
    <row r="385" spans="1:18" s="41" customFormat="1" ht="15" customHeight="1" x14ac:dyDescent="0.2">
      <c r="A385" s="58"/>
      <c r="B385" s="637"/>
      <c r="C385" s="59"/>
      <c r="D385" s="60"/>
      <c r="E385" s="60"/>
      <c r="F385" s="50"/>
      <c r="G385" s="50"/>
      <c r="H385" s="54"/>
      <c r="I385" s="58"/>
      <c r="J385" s="102"/>
      <c r="K385" s="102"/>
      <c r="L385" s="107"/>
      <c r="M385" s="107"/>
      <c r="N385" s="102"/>
      <c r="O385" s="55"/>
      <c r="P385" s="167"/>
      <c r="Q385" s="165"/>
      <c r="R385" s="165"/>
    </row>
    <row r="386" spans="1:18" s="41" customFormat="1" ht="15" customHeight="1" x14ac:dyDescent="0.2">
      <c r="A386" s="50"/>
      <c r="B386" s="51"/>
      <c r="C386" s="59"/>
      <c r="D386" s="60"/>
      <c r="E386" s="60"/>
      <c r="F386" s="50"/>
      <c r="G386" s="50"/>
      <c r="H386" s="54"/>
      <c r="I386" s="58"/>
      <c r="J386" s="102"/>
      <c r="K386" s="102"/>
      <c r="L386" s="107"/>
      <c r="M386" s="107"/>
      <c r="N386" s="102"/>
      <c r="O386" s="55"/>
      <c r="P386" s="167"/>
      <c r="Q386" s="165"/>
      <c r="R386" s="165"/>
    </row>
    <row r="387" spans="1:18" s="41" customFormat="1" ht="15" customHeight="1" x14ac:dyDescent="0.2">
      <c r="A387" s="50"/>
      <c r="B387" s="51"/>
      <c r="C387" s="59"/>
      <c r="D387" s="60"/>
      <c r="E387" s="60"/>
      <c r="F387" s="50"/>
      <c r="G387" s="50"/>
      <c r="H387" s="54"/>
      <c r="I387" s="58"/>
      <c r="J387" s="102"/>
      <c r="K387" s="102"/>
      <c r="L387" s="107"/>
      <c r="M387" s="107"/>
      <c r="N387" s="102"/>
      <c r="O387" s="55"/>
      <c r="P387" s="167"/>
      <c r="Q387" s="165"/>
      <c r="R387" s="165"/>
    </row>
    <row r="388" spans="1:18" s="41" customFormat="1" ht="15" customHeight="1" x14ac:dyDescent="0.2">
      <c r="A388" s="50"/>
      <c r="B388" s="51"/>
      <c r="C388" s="59"/>
      <c r="D388" s="60"/>
      <c r="E388" s="60"/>
      <c r="F388" s="50"/>
      <c r="G388" s="50"/>
      <c r="H388" s="54"/>
      <c r="I388" s="58"/>
      <c r="J388" s="102"/>
      <c r="K388" s="102"/>
      <c r="L388" s="107"/>
      <c r="M388" s="107"/>
      <c r="N388" s="102"/>
      <c r="O388" s="55"/>
      <c r="P388" s="167"/>
      <c r="Q388" s="165"/>
      <c r="R388" s="165"/>
    </row>
    <row r="389" spans="1:18" s="41" customFormat="1" ht="15" customHeight="1" x14ac:dyDescent="0.2">
      <c r="A389" s="50"/>
      <c r="B389" s="51"/>
      <c r="C389" s="59"/>
      <c r="D389" s="60"/>
      <c r="E389" s="60"/>
      <c r="F389" s="53"/>
      <c r="G389" s="64"/>
      <c r="H389" s="54"/>
      <c r="I389" s="58"/>
      <c r="J389" s="102"/>
      <c r="K389" s="102"/>
      <c r="L389" s="107"/>
      <c r="M389" s="107"/>
      <c r="N389" s="102"/>
      <c r="O389" s="55"/>
      <c r="P389" s="167"/>
      <c r="Q389" s="165"/>
      <c r="R389" s="165"/>
    </row>
    <row r="390" spans="1:18" s="41" customFormat="1" ht="15" customHeight="1" x14ac:dyDescent="0.2">
      <c r="A390" s="50"/>
      <c r="B390" s="51"/>
      <c r="C390" s="59"/>
      <c r="D390" s="60"/>
      <c r="E390" s="60"/>
      <c r="F390" s="53"/>
      <c r="G390" s="64"/>
      <c r="H390" s="54"/>
      <c r="I390" s="58"/>
      <c r="J390" s="102"/>
      <c r="K390" s="102"/>
      <c r="L390" s="107"/>
      <c r="M390" s="107"/>
      <c r="N390" s="102"/>
      <c r="O390" s="55"/>
      <c r="P390" s="167"/>
      <c r="Q390" s="165"/>
      <c r="R390" s="165"/>
    </row>
    <row r="391" spans="1:18" s="41" customFormat="1" ht="15" customHeight="1" x14ac:dyDescent="0.2">
      <c r="A391" s="50"/>
      <c r="B391" s="51"/>
      <c r="C391" s="59"/>
      <c r="D391" s="60"/>
      <c r="E391" s="60"/>
      <c r="F391" s="50"/>
      <c r="G391" s="50"/>
      <c r="H391" s="54"/>
      <c r="I391" s="58"/>
      <c r="J391" s="102"/>
      <c r="K391" s="102"/>
      <c r="L391" s="107"/>
      <c r="M391" s="107"/>
      <c r="N391" s="102"/>
      <c r="O391" s="55"/>
      <c r="P391" s="167"/>
      <c r="Q391" s="165"/>
      <c r="R391" s="165"/>
    </row>
    <row r="392" spans="1:18" s="41" customFormat="1" ht="15" customHeight="1" x14ac:dyDescent="0.2">
      <c r="A392" s="50"/>
      <c r="B392" s="51"/>
      <c r="C392" s="59"/>
      <c r="D392" s="60"/>
      <c r="E392" s="60"/>
      <c r="F392" s="50"/>
      <c r="G392" s="50"/>
      <c r="H392" s="54"/>
      <c r="I392" s="58"/>
      <c r="J392" s="102"/>
      <c r="K392" s="102"/>
      <c r="L392" s="107"/>
      <c r="M392" s="107"/>
      <c r="N392" s="102"/>
      <c r="O392" s="55"/>
      <c r="P392" s="167"/>
      <c r="Q392" s="165"/>
      <c r="R392" s="165"/>
    </row>
    <row r="393" spans="1:18" s="41" customFormat="1" ht="15" customHeight="1" x14ac:dyDescent="0.2">
      <c r="A393" s="50"/>
      <c r="B393" s="51"/>
      <c r="C393" s="59"/>
      <c r="D393" s="60"/>
      <c r="E393" s="60"/>
      <c r="F393" s="50"/>
      <c r="G393" s="57"/>
      <c r="H393" s="54"/>
      <c r="I393" s="58"/>
      <c r="J393" s="102"/>
      <c r="K393" s="102"/>
      <c r="L393" s="107"/>
      <c r="M393" s="107"/>
      <c r="N393" s="102"/>
      <c r="O393" s="55"/>
      <c r="P393" s="167"/>
      <c r="Q393" s="165"/>
      <c r="R393" s="165"/>
    </row>
    <row r="394" spans="1:18" s="41" customFormat="1" ht="15" customHeight="1" x14ac:dyDescent="0.2">
      <c r="A394" s="50"/>
      <c r="B394" s="51"/>
      <c r="C394" s="59"/>
      <c r="D394" s="60"/>
      <c r="E394" s="60"/>
      <c r="F394" s="50"/>
      <c r="G394" s="50"/>
      <c r="H394" s="54"/>
      <c r="I394" s="58"/>
      <c r="J394" s="102"/>
      <c r="K394" s="102"/>
      <c r="L394" s="107"/>
      <c r="M394" s="107"/>
      <c r="N394" s="102"/>
      <c r="O394" s="55"/>
      <c r="P394" s="167"/>
      <c r="Q394" s="165"/>
      <c r="R394" s="165"/>
    </row>
    <row r="395" spans="1:18" s="41" customFormat="1" ht="15" customHeight="1" x14ac:dyDescent="0.2">
      <c r="A395" s="50"/>
      <c r="B395" s="51"/>
      <c r="C395" s="59"/>
      <c r="D395" s="60"/>
      <c r="E395" s="60"/>
      <c r="F395" s="50"/>
      <c r="G395" s="50"/>
      <c r="H395" s="54"/>
      <c r="I395" s="58"/>
      <c r="J395" s="102"/>
      <c r="K395" s="102"/>
      <c r="L395" s="107"/>
      <c r="M395" s="107"/>
      <c r="N395" s="102"/>
      <c r="O395" s="55"/>
      <c r="P395" s="167"/>
      <c r="Q395" s="165"/>
      <c r="R395" s="165"/>
    </row>
    <row r="396" spans="1:18" s="41" customFormat="1" ht="15" customHeight="1" x14ac:dyDescent="0.2">
      <c r="A396" s="50"/>
      <c r="B396" s="51"/>
      <c r="C396" s="59"/>
      <c r="D396" s="60"/>
      <c r="E396" s="60"/>
      <c r="F396" s="50"/>
      <c r="G396" s="50"/>
      <c r="H396" s="54"/>
      <c r="I396" s="58"/>
      <c r="J396" s="102"/>
      <c r="K396" s="102"/>
      <c r="L396" s="107"/>
      <c r="M396" s="107"/>
      <c r="N396" s="102"/>
      <c r="O396" s="55"/>
      <c r="P396" s="167"/>
      <c r="Q396" s="165"/>
      <c r="R396" s="165"/>
    </row>
    <row r="397" spans="1:18" s="41" customFormat="1" ht="15" customHeight="1" x14ac:dyDescent="0.2">
      <c r="A397" s="50"/>
      <c r="B397" s="51"/>
      <c r="C397" s="59"/>
      <c r="D397" s="60"/>
      <c r="E397" s="60"/>
      <c r="F397" s="50"/>
      <c r="G397" s="50"/>
      <c r="H397" s="54"/>
      <c r="I397" s="58"/>
      <c r="J397" s="102"/>
      <c r="K397" s="102"/>
      <c r="L397" s="107"/>
      <c r="M397" s="107"/>
      <c r="N397" s="102"/>
      <c r="O397" s="55"/>
      <c r="P397" s="167"/>
      <c r="Q397" s="165"/>
      <c r="R397" s="165"/>
    </row>
    <row r="398" spans="1:18" s="47" customFormat="1" ht="15" customHeight="1" x14ac:dyDescent="0.2">
      <c r="A398" s="53"/>
      <c r="B398" s="638"/>
      <c r="C398" s="65"/>
      <c r="D398" s="60"/>
      <c r="E398" s="60"/>
      <c r="F398" s="50"/>
      <c r="G398" s="50"/>
      <c r="H398" s="54"/>
      <c r="I398" s="58"/>
      <c r="J398" s="103"/>
      <c r="K398" s="103"/>
      <c r="L398" s="108"/>
      <c r="M398" s="108"/>
      <c r="N398" s="103"/>
      <c r="O398" s="66"/>
      <c r="P398" s="213"/>
      <c r="Q398" s="166"/>
      <c r="R398" s="166"/>
    </row>
    <row r="399" spans="1:18" s="41" customFormat="1" ht="15" customHeight="1" x14ac:dyDescent="0.2">
      <c r="A399" s="68"/>
      <c r="B399" s="636"/>
      <c r="C399" s="59"/>
      <c r="D399" s="60"/>
      <c r="E399" s="60"/>
      <c r="F399" s="50"/>
      <c r="G399" s="50"/>
      <c r="H399" s="54"/>
      <c r="I399" s="58"/>
      <c r="J399" s="102"/>
      <c r="K399" s="102"/>
      <c r="L399" s="107"/>
      <c r="M399" s="107"/>
      <c r="N399" s="102"/>
      <c r="O399" s="55"/>
      <c r="P399" s="167"/>
      <c r="Q399" s="165"/>
      <c r="R399" s="165"/>
    </row>
    <row r="400" spans="1:18" s="41" customFormat="1" ht="15" customHeight="1" x14ac:dyDescent="0.2">
      <c r="A400" s="50"/>
      <c r="B400" s="51"/>
      <c r="C400" s="59"/>
      <c r="D400" s="60"/>
      <c r="E400" s="60"/>
      <c r="F400" s="50"/>
      <c r="G400" s="50"/>
      <c r="H400" s="54"/>
      <c r="I400" s="58"/>
      <c r="J400" s="102"/>
      <c r="K400" s="102"/>
      <c r="L400" s="107"/>
      <c r="M400" s="107"/>
      <c r="N400" s="102"/>
      <c r="O400" s="55"/>
      <c r="P400" s="167"/>
      <c r="Q400" s="165"/>
      <c r="R400" s="165"/>
    </row>
    <row r="401" spans="1:18" s="41" customFormat="1" ht="15" customHeight="1" x14ac:dyDescent="0.2">
      <c r="A401" s="50"/>
      <c r="B401" s="51"/>
      <c r="C401" s="59"/>
      <c r="D401" s="60"/>
      <c r="E401" s="60"/>
      <c r="F401" s="50"/>
      <c r="G401" s="50"/>
      <c r="H401" s="54"/>
      <c r="I401" s="58"/>
      <c r="J401" s="102"/>
      <c r="K401" s="102"/>
      <c r="L401" s="107"/>
      <c r="M401" s="107"/>
      <c r="N401" s="102"/>
      <c r="O401" s="55"/>
      <c r="P401" s="167"/>
      <c r="Q401" s="165"/>
      <c r="R401" s="165"/>
    </row>
    <row r="402" spans="1:18" s="41" customFormat="1" ht="15" customHeight="1" x14ac:dyDescent="0.2">
      <c r="A402" s="50"/>
      <c r="B402" s="51"/>
      <c r="C402" s="59"/>
      <c r="D402" s="60"/>
      <c r="E402" s="60"/>
      <c r="F402" s="50"/>
      <c r="G402" s="50"/>
      <c r="H402" s="54"/>
      <c r="I402" s="58"/>
      <c r="J402" s="102"/>
      <c r="K402" s="102"/>
      <c r="L402" s="107"/>
      <c r="M402" s="107"/>
      <c r="N402" s="102"/>
      <c r="O402" s="55"/>
      <c r="P402" s="167"/>
      <c r="Q402" s="165"/>
      <c r="R402" s="165"/>
    </row>
    <row r="403" spans="1:18" s="41" customFormat="1" ht="15" customHeight="1" x14ac:dyDescent="0.2">
      <c r="A403" s="50"/>
      <c r="B403" s="51"/>
      <c r="C403" s="59"/>
      <c r="D403" s="60"/>
      <c r="E403" s="60"/>
      <c r="F403" s="50"/>
      <c r="G403" s="50"/>
      <c r="H403" s="54"/>
      <c r="I403" s="58"/>
      <c r="J403" s="102"/>
      <c r="K403" s="102"/>
      <c r="L403" s="107"/>
      <c r="M403" s="107"/>
      <c r="N403" s="102"/>
      <c r="O403" s="55"/>
      <c r="P403" s="167"/>
      <c r="Q403" s="165"/>
      <c r="R403" s="165"/>
    </row>
    <row r="404" spans="1:18" s="41" customFormat="1" ht="15" customHeight="1" x14ac:dyDescent="0.2">
      <c r="A404" s="50"/>
      <c r="B404" s="51"/>
      <c r="C404" s="59"/>
      <c r="D404" s="60"/>
      <c r="E404" s="60"/>
      <c r="F404" s="50"/>
      <c r="G404" s="50"/>
      <c r="H404" s="54"/>
      <c r="I404" s="58"/>
      <c r="J404" s="102"/>
      <c r="K404" s="102"/>
      <c r="L404" s="107"/>
      <c r="M404" s="107"/>
      <c r="N404" s="102"/>
      <c r="O404" s="55"/>
      <c r="P404" s="167"/>
      <c r="Q404" s="165"/>
      <c r="R404" s="165"/>
    </row>
    <row r="405" spans="1:18" s="41" customFormat="1" ht="15" customHeight="1" x14ac:dyDescent="0.2">
      <c r="A405" s="50"/>
      <c r="B405" s="51"/>
      <c r="C405" s="59"/>
      <c r="D405" s="60"/>
      <c r="E405" s="60"/>
      <c r="F405" s="50"/>
      <c r="G405" s="50"/>
      <c r="H405" s="54"/>
      <c r="I405" s="58"/>
      <c r="J405" s="102"/>
      <c r="K405" s="102"/>
      <c r="L405" s="107"/>
      <c r="M405" s="107"/>
      <c r="N405" s="102"/>
      <c r="O405" s="55"/>
      <c r="P405" s="167"/>
      <c r="Q405" s="165"/>
      <c r="R405" s="165"/>
    </row>
    <row r="406" spans="1:18" s="41" customFormat="1" ht="15" customHeight="1" x14ac:dyDescent="0.2">
      <c r="A406" s="50"/>
      <c r="B406" s="51"/>
      <c r="C406" s="59"/>
      <c r="D406" s="60"/>
      <c r="E406" s="60"/>
      <c r="F406" s="50"/>
      <c r="G406" s="50"/>
      <c r="H406" s="54"/>
      <c r="I406" s="58"/>
      <c r="J406" s="102"/>
      <c r="K406" s="102"/>
      <c r="L406" s="107"/>
      <c r="M406" s="107"/>
      <c r="N406" s="102"/>
      <c r="O406" s="55"/>
      <c r="P406" s="167"/>
      <c r="Q406" s="165"/>
      <c r="R406" s="165"/>
    </row>
    <row r="407" spans="1:18" s="41" customFormat="1" ht="15" customHeight="1" x14ac:dyDescent="0.2">
      <c r="A407" s="50"/>
      <c r="B407" s="51"/>
      <c r="C407" s="59"/>
      <c r="D407" s="60"/>
      <c r="E407" s="60"/>
      <c r="F407" s="50"/>
      <c r="G407" s="50"/>
      <c r="H407" s="54"/>
      <c r="I407" s="58"/>
      <c r="J407" s="102"/>
      <c r="K407" s="102"/>
      <c r="L407" s="107"/>
      <c r="M407" s="107"/>
      <c r="N407" s="102"/>
      <c r="O407" s="55"/>
      <c r="P407" s="167"/>
      <c r="Q407" s="165"/>
      <c r="R407" s="165"/>
    </row>
    <row r="408" spans="1:18" s="41" customFormat="1" ht="15" customHeight="1" x14ac:dyDescent="0.2">
      <c r="A408" s="50"/>
      <c r="B408" s="51"/>
      <c r="C408" s="59"/>
      <c r="D408" s="60"/>
      <c r="E408" s="60"/>
      <c r="F408" s="50"/>
      <c r="G408" s="50"/>
      <c r="H408" s="54"/>
      <c r="I408" s="58"/>
      <c r="J408" s="102"/>
      <c r="K408" s="102"/>
      <c r="L408" s="107"/>
      <c r="M408" s="107"/>
      <c r="N408" s="102"/>
      <c r="O408" s="55"/>
      <c r="P408" s="167"/>
      <c r="Q408" s="165"/>
      <c r="R408" s="165"/>
    </row>
    <row r="409" spans="1:18" s="41" customFormat="1" ht="15" customHeight="1" x14ac:dyDescent="0.2">
      <c r="A409" s="50"/>
      <c r="B409" s="51"/>
      <c r="C409" s="59"/>
      <c r="D409" s="60"/>
      <c r="E409" s="60"/>
      <c r="F409" s="50"/>
      <c r="G409" s="50"/>
      <c r="H409" s="54"/>
      <c r="I409" s="58"/>
      <c r="J409" s="102"/>
      <c r="K409" s="102"/>
      <c r="L409" s="107"/>
      <c r="M409" s="107"/>
      <c r="N409" s="102"/>
      <c r="O409" s="55"/>
      <c r="P409" s="167"/>
      <c r="Q409" s="165"/>
      <c r="R409" s="165"/>
    </row>
    <row r="410" spans="1:18" s="41" customFormat="1" ht="15" customHeight="1" x14ac:dyDescent="0.2">
      <c r="A410" s="50"/>
      <c r="B410" s="51"/>
      <c r="C410" s="59"/>
      <c r="D410" s="60"/>
      <c r="E410" s="60"/>
      <c r="F410" s="50"/>
      <c r="G410" s="50"/>
      <c r="H410" s="54"/>
      <c r="I410" s="58"/>
      <c r="J410" s="102"/>
      <c r="K410" s="102"/>
      <c r="L410" s="107"/>
      <c r="M410" s="107"/>
      <c r="N410" s="102"/>
      <c r="O410" s="55"/>
      <c r="P410" s="167"/>
      <c r="Q410" s="165"/>
      <c r="R410" s="165"/>
    </row>
    <row r="411" spans="1:18" s="47" customFormat="1" ht="15" customHeight="1" x14ac:dyDescent="0.2">
      <c r="A411" s="50"/>
      <c r="B411" s="51"/>
      <c r="C411" s="59"/>
      <c r="D411" s="60"/>
      <c r="E411" s="60"/>
      <c r="F411" s="50"/>
      <c r="G411" s="50"/>
      <c r="H411" s="54"/>
      <c r="I411" s="58"/>
      <c r="J411" s="102"/>
      <c r="K411" s="102"/>
      <c r="L411" s="107"/>
      <c r="M411" s="107"/>
      <c r="N411" s="103"/>
      <c r="O411" s="66"/>
      <c r="P411" s="213"/>
      <c r="Q411" s="166"/>
      <c r="R411" s="166"/>
    </row>
    <row r="412" spans="1:18" s="41" customFormat="1" ht="15" customHeight="1" x14ac:dyDescent="0.2">
      <c r="A412" s="68"/>
      <c r="B412" s="636"/>
      <c r="C412" s="59"/>
      <c r="D412" s="63"/>
      <c r="E412" s="63"/>
      <c r="F412" s="50"/>
      <c r="G412" s="50"/>
      <c r="H412" s="54"/>
      <c r="I412" s="58"/>
      <c r="J412" s="102"/>
      <c r="K412" s="102"/>
      <c r="L412" s="107"/>
      <c r="M412" s="107"/>
      <c r="N412" s="102"/>
      <c r="O412" s="55"/>
      <c r="P412" s="167"/>
      <c r="Q412" s="165"/>
      <c r="R412" s="165"/>
    </row>
    <row r="413" spans="1:18" s="41" customFormat="1" ht="15" customHeight="1" x14ac:dyDescent="0.2">
      <c r="A413" s="50"/>
      <c r="B413" s="51"/>
      <c r="C413" s="59"/>
      <c r="D413" s="60"/>
      <c r="E413" s="60"/>
      <c r="F413" s="50"/>
      <c r="G413" s="50"/>
      <c r="H413" s="54"/>
      <c r="I413" s="58"/>
      <c r="J413" s="102"/>
      <c r="K413" s="102"/>
      <c r="L413" s="107"/>
      <c r="M413" s="107"/>
      <c r="N413" s="102"/>
      <c r="O413" s="55"/>
      <c r="P413" s="167"/>
      <c r="Q413" s="165"/>
      <c r="R413" s="165"/>
    </row>
    <row r="414" spans="1:18" s="41" customFormat="1" ht="15" customHeight="1" x14ac:dyDescent="0.2">
      <c r="A414" s="50"/>
      <c r="B414" s="51"/>
      <c r="C414" s="59"/>
      <c r="D414" s="60"/>
      <c r="E414" s="60"/>
      <c r="F414" s="50"/>
      <c r="G414" s="50"/>
      <c r="H414" s="54"/>
      <c r="I414" s="58"/>
      <c r="J414" s="102"/>
      <c r="K414" s="102"/>
      <c r="L414" s="107"/>
      <c r="M414" s="107"/>
      <c r="N414" s="102"/>
      <c r="O414" s="55"/>
      <c r="P414" s="167"/>
      <c r="Q414" s="165"/>
      <c r="R414" s="165"/>
    </row>
    <row r="415" spans="1:18" s="41" customFormat="1" ht="15" customHeight="1" x14ac:dyDescent="0.2">
      <c r="A415" s="50"/>
      <c r="B415" s="51"/>
      <c r="C415" s="59"/>
      <c r="D415" s="60"/>
      <c r="E415" s="60"/>
      <c r="F415" s="50"/>
      <c r="G415" s="50"/>
      <c r="H415" s="54"/>
      <c r="I415" s="58"/>
      <c r="J415" s="102"/>
      <c r="K415" s="102"/>
      <c r="L415" s="107"/>
      <c r="M415" s="107"/>
      <c r="N415" s="102"/>
      <c r="O415" s="55"/>
      <c r="P415" s="167"/>
      <c r="Q415" s="165"/>
      <c r="R415" s="165"/>
    </row>
    <row r="416" spans="1:18" s="41" customFormat="1" ht="15" customHeight="1" x14ac:dyDescent="0.2">
      <c r="A416" s="50"/>
      <c r="B416" s="51"/>
      <c r="C416" s="59"/>
      <c r="D416" s="60"/>
      <c r="E416" s="60"/>
      <c r="F416" s="50"/>
      <c r="G416" s="50"/>
      <c r="H416" s="54"/>
      <c r="I416" s="58"/>
      <c r="J416" s="102"/>
      <c r="K416" s="102"/>
      <c r="L416" s="107"/>
      <c r="M416" s="107"/>
      <c r="N416" s="102"/>
      <c r="O416" s="55"/>
      <c r="P416" s="167"/>
      <c r="Q416" s="165"/>
      <c r="R416" s="165"/>
    </row>
    <row r="417" spans="1:18" s="41" customFormat="1" ht="15" customHeight="1" x14ac:dyDescent="0.2">
      <c r="A417" s="50"/>
      <c r="B417" s="51"/>
      <c r="C417" s="59"/>
      <c r="D417" s="60"/>
      <c r="E417" s="60"/>
      <c r="F417" s="50"/>
      <c r="G417" s="50"/>
      <c r="H417" s="54"/>
      <c r="I417" s="58"/>
      <c r="J417" s="102"/>
      <c r="K417" s="102"/>
      <c r="L417" s="107"/>
      <c r="M417" s="107"/>
      <c r="N417" s="102"/>
      <c r="O417" s="55"/>
      <c r="P417" s="167"/>
      <c r="Q417" s="165"/>
      <c r="R417" s="165"/>
    </row>
    <row r="418" spans="1:18" s="41" customFormat="1" ht="15" customHeight="1" x14ac:dyDescent="0.2">
      <c r="A418" s="50"/>
      <c r="B418" s="51"/>
      <c r="C418" s="59"/>
      <c r="D418" s="60"/>
      <c r="E418" s="60"/>
      <c r="F418" s="50"/>
      <c r="G418" s="50"/>
      <c r="H418" s="54"/>
      <c r="I418" s="58"/>
      <c r="J418" s="102"/>
      <c r="K418" s="102"/>
      <c r="L418" s="107"/>
      <c r="M418" s="107"/>
      <c r="N418" s="102"/>
      <c r="O418" s="55"/>
      <c r="P418" s="167"/>
      <c r="Q418" s="165"/>
      <c r="R418" s="165"/>
    </row>
    <row r="419" spans="1:18" s="41" customFormat="1" ht="15" customHeight="1" x14ac:dyDescent="0.2">
      <c r="A419" s="50"/>
      <c r="B419" s="51"/>
      <c r="C419" s="59"/>
      <c r="D419" s="60"/>
      <c r="E419" s="60"/>
      <c r="F419" s="50"/>
      <c r="G419" s="50"/>
      <c r="H419" s="54"/>
      <c r="I419" s="58"/>
      <c r="J419" s="102"/>
      <c r="K419" s="102"/>
      <c r="L419" s="107"/>
      <c r="M419" s="107"/>
      <c r="N419" s="102"/>
      <c r="O419" s="55"/>
      <c r="P419" s="167"/>
      <c r="Q419" s="165"/>
      <c r="R419" s="165"/>
    </row>
    <row r="420" spans="1:18" s="41" customFormat="1" ht="15" customHeight="1" x14ac:dyDescent="0.2">
      <c r="A420" s="50"/>
      <c r="B420" s="51"/>
      <c r="C420" s="59"/>
      <c r="D420" s="60"/>
      <c r="E420" s="60"/>
      <c r="F420" s="50"/>
      <c r="G420" s="50"/>
      <c r="H420" s="54"/>
      <c r="I420" s="58"/>
      <c r="J420" s="102"/>
      <c r="K420" s="102"/>
      <c r="L420" s="107"/>
      <c r="M420" s="107"/>
      <c r="N420" s="102"/>
      <c r="O420" s="55"/>
      <c r="P420" s="167"/>
      <c r="Q420" s="165"/>
      <c r="R420" s="165"/>
    </row>
    <row r="421" spans="1:18" s="41" customFormat="1" ht="15" customHeight="1" x14ac:dyDescent="0.2">
      <c r="A421" s="50"/>
      <c r="B421" s="51"/>
      <c r="C421" s="59"/>
      <c r="D421" s="60"/>
      <c r="E421" s="60"/>
      <c r="F421" s="50"/>
      <c r="G421" s="50"/>
      <c r="H421" s="54"/>
      <c r="I421" s="58"/>
      <c r="J421" s="102"/>
      <c r="K421" s="102"/>
      <c r="L421" s="107"/>
      <c r="M421" s="107"/>
      <c r="N421" s="102"/>
      <c r="O421" s="55"/>
      <c r="P421" s="167"/>
      <c r="Q421" s="165"/>
      <c r="R421" s="165"/>
    </row>
    <row r="422" spans="1:18" s="41" customFormat="1" ht="15" customHeight="1" x14ac:dyDescent="0.2">
      <c r="A422" s="50"/>
      <c r="B422" s="51"/>
      <c r="C422" s="59"/>
      <c r="D422" s="60"/>
      <c r="E422" s="60"/>
      <c r="F422" s="50"/>
      <c r="G422" s="50"/>
      <c r="H422" s="54"/>
      <c r="I422" s="58"/>
      <c r="J422" s="102"/>
      <c r="K422" s="102"/>
      <c r="L422" s="107"/>
      <c r="M422" s="107"/>
      <c r="N422" s="102"/>
      <c r="O422" s="55"/>
      <c r="P422" s="167"/>
      <c r="Q422" s="165"/>
      <c r="R422" s="165"/>
    </row>
    <row r="423" spans="1:18" s="41" customFormat="1" ht="15" customHeight="1" x14ac:dyDescent="0.2">
      <c r="A423" s="50"/>
      <c r="B423" s="51"/>
      <c r="C423" s="59"/>
      <c r="D423" s="60"/>
      <c r="E423" s="60"/>
      <c r="F423" s="50"/>
      <c r="G423" s="50"/>
      <c r="H423" s="54"/>
      <c r="I423" s="58"/>
      <c r="J423" s="102"/>
      <c r="K423" s="102"/>
      <c r="L423" s="107"/>
      <c r="M423" s="107"/>
      <c r="N423" s="102"/>
      <c r="O423" s="55"/>
      <c r="P423" s="167"/>
      <c r="Q423" s="165"/>
      <c r="R423" s="165"/>
    </row>
    <row r="424" spans="1:18" s="41" customFormat="1" ht="15" customHeight="1" x14ac:dyDescent="0.2">
      <c r="A424" s="50"/>
      <c r="B424" s="51"/>
      <c r="C424" s="59"/>
      <c r="D424" s="60"/>
      <c r="E424" s="60"/>
      <c r="F424" s="50"/>
      <c r="G424" s="50"/>
      <c r="H424" s="54"/>
      <c r="I424" s="58"/>
      <c r="J424" s="102"/>
      <c r="K424" s="102"/>
      <c r="L424" s="107"/>
      <c r="M424" s="107"/>
      <c r="N424" s="102"/>
      <c r="O424" s="55"/>
      <c r="P424" s="167"/>
      <c r="Q424" s="165"/>
      <c r="R424" s="165"/>
    </row>
    <row r="425" spans="1:18" s="41" customFormat="1" ht="15" customHeight="1" x14ac:dyDescent="0.2">
      <c r="A425" s="50"/>
      <c r="B425" s="51"/>
      <c r="C425" s="59"/>
      <c r="D425" s="60"/>
      <c r="E425" s="60"/>
      <c r="F425" s="50"/>
      <c r="G425" s="50"/>
      <c r="H425" s="54"/>
      <c r="I425" s="58"/>
      <c r="J425" s="102"/>
      <c r="K425" s="102"/>
      <c r="L425" s="107"/>
      <c r="M425" s="107"/>
      <c r="N425" s="102"/>
      <c r="O425" s="55"/>
      <c r="P425" s="167"/>
      <c r="Q425" s="165"/>
      <c r="R425" s="165"/>
    </row>
    <row r="426" spans="1:18" s="41" customFormat="1" ht="15" customHeight="1" x14ac:dyDescent="0.2">
      <c r="A426" s="50"/>
      <c r="B426" s="51"/>
      <c r="C426" s="59"/>
      <c r="D426" s="60"/>
      <c r="E426" s="60"/>
      <c r="F426" s="50"/>
      <c r="G426" s="50"/>
      <c r="H426" s="54"/>
      <c r="I426" s="58"/>
      <c r="J426" s="102"/>
      <c r="K426" s="102"/>
      <c r="L426" s="107"/>
      <c r="M426" s="107"/>
      <c r="N426" s="102"/>
      <c r="O426" s="55"/>
      <c r="P426" s="167"/>
      <c r="Q426" s="165"/>
      <c r="R426" s="165"/>
    </row>
    <row r="427" spans="1:18" s="41" customFormat="1" ht="15" customHeight="1" x14ac:dyDescent="0.2">
      <c r="A427" s="50"/>
      <c r="B427" s="51"/>
      <c r="C427" s="59"/>
      <c r="D427" s="60"/>
      <c r="E427" s="60"/>
      <c r="F427" s="50"/>
      <c r="G427" s="50"/>
      <c r="H427" s="54"/>
      <c r="I427" s="58"/>
      <c r="J427" s="102"/>
      <c r="K427" s="102"/>
      <c r="L427" s="107"/>
      <c r="M427" s="107"/>
      <c r="N427" s="102"/>
      <c r="O427" s="55"/>
      <c r="P427" s="167"/>
      <c r="Q427" s="165"/>
      <c r="R427" s="165"/>
    </row>
    <row r="428" spans="1:18" s="41" customFormat="1" ht="15" customHeight="1" x14ac:dyDescent="0.2">
      <c r="A428" s="50"/>
      <c r="B428" s="51"/>
      <c r="C428" s="51"/>
      <c r="D428" s="60"/>
      <c r="E428" s="60"/>
      <c r="F428" s="50"/>
      <c r="G428" s="50"/>
      <c r="H428" s="54"/>
      <c r="I428" s="58"/>
      <c r="J428" s="102"/>
      <c r="K428" s="102"/>
      <c r="L428" s="107"/>
      <c r="M428" s="107"/>
      <c r="N428" s="102"/>
      <c r="O428" s="55"/>
      <c r="P428" s="167"/>
      <c r="Q428" s="165"/>
      <c r="R428" s="165"/>
    </row>
    <row r="429" spans="1:18" s="41" customFormat="1" ht="15" customHeight="1" x14ac:dyDescent="0.2">
      <c r="A429" s="50"/>
      <c r="B429" s="51"/>
      <c r="C429" s="59"/>
      <c r="D429" s="60"/>
      <c r="E429" s="60"/>
      <c r="F429" s="50"/>
      <c r="G429" s="50"/>
      <c r="H429" s="54"/>
      <c r="I429" s="58"/>
      <c r="J429" s="102"/>
      <c r="K429" s="102"/>
      <c r="L429" s="107"/>
      <c r="M429" s="107"/>
      <c r="N429" s="102"/>
      <c r="O429" s="55"/>
      <c r="P429" s="167"/>
      <c r="Q429" s="165"/>
      <c r="R429" s="165"/>
    </row>
    <row r="430" spans="1:18" s="41" customFormat="1" ht="15" customHeight="1" x14ac:dyDescent="0.2">
      <c r="A430" s="50"/>
      <c r="B430" s="51"/>
      <c r="C430" s="59"/>
      <c r="D430" s="60"/>
      <c r="E430" s="60"/>
      <c r="F430" s="50"/>
      <c r="G430" s="50"/>
      <c r="H430" s="54"/>
      <c r="I430" s="58"/>
      <c r="J430" s="102"/>
      <c r="K430" s="102"/>
      <c r="L430" s="107"/>
      <c r="M430" s="107"/>
      <c r="N430" s="102"/>
      <c r="O430" s="55"/>
      <c r="P430" s="167"/>
      <c r="Q430" s="165"/>
      <c r="R430" s="165"/>
    </row>
    <row r="431" spans="1:18" s="41" customFormat="1" ht="15" customHeight="1" x14ac:dyDescent="0.2">
      <c r="A431" s="50"/>
      <c r="B431" s="51"/>
      <c r="C431" s="59"/>
      <c r="D431" s="60"/>
      <c r="E431" s="60"/>
      <c r="F431" s="50"/>
      <c r="G431" s="50"/>
      <c r="H431" s="54"/>
      <c r="I431" s="58"/>
      <c r="J431" s="102"/>
      <c r="K431" s="102"/>
      <c r="L431" s="107"/>
      <c r="M431" s="107"/>
      <c r="N431" s="102"/>
      <c r="O431" s="55"/>
      <c r="P431" s="167"/>
      <c r="Q431" s="165"/>
      <c r="R431" s="165"/>
    </row>
    <row r="432" spans="1:18" s="41" customFormat="1" ht="15" customHeight="1" x14ac:dyDescent="0.2">
      <c r="A432" s="50"/>
      <c r="B432" s="51"/>
      <c r="C432" s="59"/>
      <c r="D432" s="60"/>
      <c r="E432" s="60"/>
      <c r="F432" s="50"/>
      <c r="G432" s="50"/>
      <c r="H432" s="54"/>
      <c r="I432" s="58"/>
      <c r="J432" s="102"/>
      <c r="K432" s="102"/>
      <c r="L432" s="107"/>
      <c r="M432" s="107"/>
      <c r="N432" s="102"/>
      <c r="O432" s="55"/>
      <c r="P432" s="167"/>
      <c r="Q432" s="165"/>
      <c r="R432" s="165"/>
    </row>
    <row r="433" spans="1:18" s="41" customFormat="1" ht="15" customHeight="1" x14ac:dyDescent="0.2">
      <c r="A433" s="50"/>
      <c r="B433" s="51"/>
      <c r="C433" s="59"/>
      <c r="D433" s="60"/>
      <c r="E433" s="60"/>
      <c r="F433" s="50"/>
      <c r="G433" s="50"/>
      <c r="H433" s="54"/>
      <c r="I433" s="58"/>
      <c r="J433" s="102"/>
      <c r="K433" s="102"/>
      <c r="L433" s="107"/>
      <c r="M433" s="107"/>
      <c r="N433" s="102"/>
      <c r="O433" s="55"/>
      <c r="P433" s="167"/>
      <c r="Q433" s="165"/>
      <c r="R433" s="165"/>
    </row>
    <row r="434" spans="1:18" s="41" customFormat="1" ht="15" customHeight="1" x14ac:dyDescent="0.2">
      <c r="A434" s="50"/>
      <c r="B434" s="51"/>
      <c r="C434" s="59"/>
      <c r="D434" s="60"/>
      <c r="E434" s="60"/>
      <c r="F434" s="50"/>
      <c r="G434" s="50"/>
      <c r="H434" s="54"/>
      <c r="I434" s="58"/>
      <c r="J434" s="102"/>
      <c r="K434" s="102"/>
      <c r="L434" s="107"/>
      <c r="M434" s="107"/>
      <c r="N434" s="102"/>
      <c r="O434" s="55"/>
      <c r="P434" s="167"/>
      <c r="Q434" s="165"/>
      <c r="R434" s="165"/>
    </row>
    <row r="435" spans="1:18" s="41" customFormat="1" ht="15" customHeight="1" x14ac:dyDescent="0.2">
      <c r="A435" s="50"/>
      <c r="B435" s="51"/>
      <c r="C435" s="59"/>
      <c r="D435" s="60"/>
      <c r="E435" s="60"/>
      <c r="F435" s="50"/>
      <c r="G435" s="50"/>
      <c r="H435" s="54"/>
      <c r="I435" s="58"/>
      <c r="J435" s="102"/>
      <c r="K435" s="102"/>
      <c r="L435" s="107"/>
      <c r="M435" s="107"/>
      <c r="N435" s="102"/>
      <c r="O435" s="55"/>
      <c r="P435" s="167"/>
      <c r="Q435" s="165"/>
      <c r="R435" s="165"/>
    </row>
    <row r="436" spans="1:18" s="41" customFormat="1" ht="15" customHeight="1" x14ac:dyDescent="0.2">
      <c r="A436" s="50"/>
      <c r="B436" s="51"/>
      <c r="C436" s="59"/>
      <c r="D436" s="60"/>
      <c r="E436" s="60"/>
      <c r="F436" s="50"/>
      <c r="G436" s="50"/>
      <c r="H436" s="54"/>
      <c r="I436" s="58"/>
      <c r="J436" s="102"/>
      <c r="K436" s="102"/>
      <c r="L436" s="107"/>
      <c r="M436" s="107"/>
      <c r="N436" s="102"/>
      <c r="O436" s="55"/>
      <c r="P436" s="167"/>
      <c r="Q436" s="165"/>
      <c r="R436" s="165"/>
    </row>
    <row r="437" spans="1:18" s="41" customFormat="1" ht="15" customHeight="1" x14ac:dyDescent="0.2">
      <c r="A437" s="50"/>
      <c r="B437" s="51"/>
      <c r="C437" s="59"/>
      <c r="D437" s="60"/>
      <c r="E437" s="60"/>
      <c r="F437" s="50"/>
      <c r="G437" s="50"/>
      <c r="H437" s="54"/>
      <c r="I437" s="58"/>
      <c r="J437" s="102"/>
      <c r="K437" s="102"/>
      <c r="L437" s="107"/>
      <c r="M437" s="107"/>
      <c r="N437" s="102"/>
      <c r="O437" s="55"/>
      <c r="P437" s="167"/>
      <c r="Q437" s="165"/>
      <c r="R437" s="165"/>
    </row>
    <row r="438" spans="1:18" s="41" customFormat="1" ht="15" customHeight="1" x14ac:dyDescent="0.2">
      <c r="A438" s="50"/>
      <c r="B438" s="51"/>
      <c r="C438" s="59"/>
      <c r="D438" s="60"/>
      <c r="E438" s="60"/>
      <c r="F438" s="50"/>
      <c r="G438" s="50"/>
      <c r="H438" s="54"/>
      <c r="I438" s="58"/>
      <c r="J438" s="102"/>
      <c r="K438" s="102"/>
      <c r="L438" s="107"/>
      <c r="M438" s="107"/>
      <c r="N438" s="102"/>
      <c r="O438" s="55"/>
      <c r="P438" s="167"/>
      <c r="Q438" s="165"/>
      <c r="R438" s="165"/>
    </row>
    <row r="439" spans="1:18" s="41" customFormat="1" ht="15" customHeight="1" x14ac:dyDescent="0.2">
      <c r="A439" s="50"/>
      <c r="B439" s="51"/>
      <c r="C439" s="59"/>
      <c r="D439" s="63"/>
      <c r="E439" s="63"/>
      <c r="F439" s="50"/>
      <c r="G439" s="50"/>
      <c r="H439" s="54"/>
      <c r="I439" s="58"/>
      <c r="J439" s="102"/>
      <c r="K439" s="102"/>
      <c r="L439" s="107"/>
      <c r="M439" s="107"/>
      <c r="N439" s="102"/>
      <c r="O439" s="55"/>
      <c r="P439" s="167"/>
      <c r="Q439" s="165"/>
      <c r="R439" s="165"/>
    </row>
    <row r="440" spans="1:18" s="47" customFormat="1" ht="15" customHeight="1" x14ac:dyDescent="0.2">
      <c r="A440" s="50"/>
      <c r="B440" s="51"/>
      <c r="C440" s="59"/>
      <c r="D440" s="60"/>
      <c r="E440" s="60"/>
      <c r="F440" s="50"/>
      <c r="G440" s="50"/>
      <c r="H440" s="54"/>
      <c r="I440" s="58"/>
      <c r="J440" s="102"/>
      <c r="K440" s="102"/>
      <c r="L440" s="107"/>
      <c r="M440" s="107"/>
      <c r="N440" s="103"/>
      <c r="O440" s="66"/>
      <c r="P440" s="213"/>
      <c r="Q440" s="166"/>
      <c r="R440" s="166"/>
    </row>
    <row r="441" spans="1:18" s="41" customFormat="1" ht="15" customHeight="1" x14ac:dyDescent="0.2">
      <c r="A441" s="68"/>
      <c r="B441" s="636"/>
      <c r="C441" s="59"/>
      <c r="D441" s="60"/>
      <c r="E441" s="60"/>
      <c r="F441" s="50"/>
      <c r="G441" s="50"/>
      <c r="H441" s="54"/>
      <c r="I441" s="58"/>
      <c r="J441" s="102"/>
      <c r="K441" s="102"/>
      <c r="L441" s="107"/>
      <c r="M441" s="107"/>
      <c r="N441" s="102"/>
      <c r="O441" s="55"/>
      <c r="P441" s="167"/>
      <c r="Q441" s="165"/>
      <c r="R441" s="165"/>
    </row>
    <row r="442" spans="1:18" s="41" customFormat="1" ht="15" customHeight="1" x14ac:dyDescent="0.2">
      <c r="A442" s="50"/>
      <c r="B442" s="51"/>
      <c r="C442" s="59"/>
      <c r="D442" s="60"/>
      <c r="E442" s="60"/>
      <c r="F442" s="50"/>
      <c r="G442" s="50"/>
      <c r="H442" s="54"/>
      <c r="I442" s="58"/>
      <c r="J442" s="102"/>
      <c r="K442" s="102"/>
      <c r="L442" s="107"/>
      <c r="M442" s="107"/>
      <c r="N442" s="102"/>
      <c r="O442" s="55"/>
      <c r="P442" s="167"/>
      <c r="Q442" s="165"/>
      <c r="R442" s="165"/>
    </row>
    <row r="443" spans="1:18" s="41" customFormat="1" ht="15" customHeight="1" x14ac:dyDescent="0.2">
      <c r="A443" s="50"/>
      <c r="B443" s="51"/>
      <c r="C443" s="59"/>
      <c r="D443" s="60"/>
      <c r="E443" s="60"/>
      <c r="F443" s="50"/>
      <c r="G443" s="50"/>
      <c r="H443" s="54"/>
      <c r="I443" s="58"/>
      <c r="J443" s="102"/>
      <c r="K443" s="102"/>
      <c r="L443" s="107"/>
      <c r="M443" s="107"/>
      <c r="N443" s="102"/>
      <c r="O443" s="55"/>
      <c r="P443" s="167"/>
      <c r="Q443" s="165"/>
      <c r="R443" s="165"/>
    </row>
    <row r="444" spans="1:18" s="41" customFormat="1" ht="15" customHeight="1" x14ac:dyDescent="0.2">
      <c r="A444" s="50"/>
      <c r="B444" s="51"/>
      <c r="C444" s="59"/>
      <c r="D444" s="60"/>
      <c r="E444" s="60"/>
      <c r="F444" s="50"/>
      <c r="G444" s="50"/>
      <c r="H444" s="54"/>
      <c r="I444" s="58"/>
      <c r="J444" s="102"/>
      <c r="K444" s="102"/>
      <c r="L444" s="107"/>
      <c r="M444" s="107"/>
      <c r="N444" s="102"/>
      <c r="O444" s="55"/>
      <c r="P444" s="167"/>
      <c r="Q444" s="165"/>
      <c r="R444" s="165"/>
    </row>
    <row r="445" spans="1:18" s="41" customFormat="1" ht="15" customHeight="1" x14ac:dyDescent="0.2">
      <c r="A445" s="50"/>
      <c r="B445" s="51"/>
      <c r="C445" s="59"/>
      <c r="D445" s="60"/>
      <c r="E445" s="60"/>
      <c r="F445" s="50"/>
      <c r="G445" s="50"/>
      <c r="H445" s="54"/>
      <c r="I445" s="58"/>
      <c r="J445" s="102"/>
      <c r="K445" s="102"/>
      <c r="L445" s="107"/>
      <c r="M445" s="107"/>
      <c r="N445" s="102"/>
      <c r="O445" s="55"/>
      <c r="P445" s="167"/>
      <c r="Q445" s="165"/>
      <c r="R445" s="165"/>
    </row>
    <row r="446" spans="1:18" s="41" customFormat="1" ht="15" customHeight="1" x14ac:dyDescent="0.2">
      <c r="A446" s="50"/>
      <c r="B446" s="51"/>
      <c r="C446" s="59"/>
      <c r="D446" s="60"/>
      <c r="E446" s="60"/>
      <c r="F446" s="50"/>
      <c r="G446" s="50"/>
      <c r="H446" s="54"/>
      <c r="I446" s="58"/>
      <c r="J446" s="102"/>
      <c r="K446" s="102"/>
      <c r="L446" s="107"/>
      <c r="M446" s="107"/>
      <c r="N446" s="102"/>
      <c r="O446" s="55"/>
      <c r="P446" s="167"/>
      <c r="Q446" s="165"/>
      <c r="R446" s="165"/>
    </row>
    <row r="447" spans="1:18" s="41" customFormat="1" ht="15" customHeight="1" x14ac:dyDescent="0.2">
      <c r="A447" s="50"/>
      <c r="B447" s="51"/>
      <c r="C447" s="59"/>
      <c r="D447" s="60"/>
      <c r="E447" s="60"/>
      <c r="F447" s="50"/>
      <c r="G447" s="50"/>
      <c r="H447" s="54"/>
      <c r="I447" s="58"/>
      <c r="J447" s="102"/>
      <c r="K447" s="102"/>
      <c r="L447" s="107"/>
      <c r="M447" s="107"/>
      <c r="N447" s="102"/>
      <c r="O447" s="55"/>
      <c r="P447" s="167"/>
      <c r="Q447" s="165"/>
      <c r="R447" s="165"/>
    </row>
    <row r="448" spans="1:18" s="41" customFormat="1" ht="15" customHeight="1" x14ac:dyDescent="0.2">
      <c r="A448" s="50"/>
      <c r="B448" s="51"/>
      <c r="C448" s="59"/>
      <c r="D448" s="60"/>
      <c r="E448" s="60"/>
      <c r="F448" s="50"/>
      <c r="G448" s="50"/>
      <c r="H448" s="54"/>
      <c r="I448" s="58"/>
      <c r="J448" s="102"/>
      <c r="K448" s="102"/>
      <c r="L448" s="107"/>
      <c r="M448" s="107"/>
      <c r="N448" s="102"/>
      <c r="O448" s="55"/>
      <c r="P448" s="167"/>
      <c r="Q448" s="165"/>
      <c r="R448" s="165"/>
    </row>
    <row r="449" spans="1:18" s="41" customFormat="1" ht="15" customHeight="1" x14ac:dyDescent="0.2">
      <c r="A449" s="50"/>
      <c r="B449" s="51"/>
      <c r="C449" s="59"/>
      <c r="D449" s="60"/>
      <c r="E449" s="60"/>
      <c r="F449" s="50"/>
      <c r="G449" s="50"/>
      <c r="H449" s="54"/>
      <c r="I449" s="58"/>
      <c r="J449" s="102"/>
      <c r="K449" s="102"/>
      <c r="L449" s="107"/>
      <c r="M449" s="107"/>
      <c r="N449" s="102"/>
      <c r="O449" s="55"/>
      <c r="P449" s="167"/>
      <c r="Q449" s="165"/>
      <c r="R449" s="165"/>
    </row>
    <row r="450" spans="1:18" s="47" customFormat="1" ht="15" customHeight="1" x14ac:dyDescent="0.2">
      <c r="A450" s="50"/>
      <c r="B450" s="51"/>
      <c r="C450" s="59"/>
      <c r="D450" s="60"/>
      <c r="E450" s="60"/>
      <c r="F450" s="50"/>
      <c r="G450" s="57"/>
      <c r="H450" s="54"/>
      <c r="I450" s="58"/>
      <c r="J450" s="103"/>
      <c r="K450" s="103"/>
      <c r="L450" s="108"/>
      <c r="M450" s="108"/>
      <c r="N450" s="103"/>
      <c r="O450" s="66"/>
      <c r="P450" s="213"/>
      <c r="Q450" s="166"/>
      <c r="R450" s="166"/>
    </row>
    <row r="451" spans="1:18" s="41" customFormat="1" ht="15" customHeight="1" x14ac:dyDescent="0.2">
      <c r="A451" s="68"/>
      <c r="B451" s="636"/>
      <c r="C451" s="59"/>
      <c r="D451" s="60"/>
      <c r="E451" s="60"/>
      <c r="F451" s="50"/>
      <c r="G451" s="50"/>
      <c r="H451" s="54"/>
      <c r="I451" s="58"/>
      <c r="J451" s="102"/>
      <c r="K451" s="102"/>
      <c r="L451" s="107"/>
      <c r="M451" s="107"/>
      <c r="N451" s="102"/>
      <c r="O451" s="55"/>
      <c r="P451" s="167"/>
      <c r="Q451" s="165"/>
      <c r="R451" s="165"/>
    </row>
    <row r="452" spans="1:18" s="41" customFormat="1" ht="15" customHeight="1" x14ac:dyDescent="0.2">
      <c r="A452" s="50"/>
      <c r="B452" s="51"/>
      <c r="C452" s="59"/>
      <c r="D452" s="60"/>
      <c r="E452" s="60"/>
      <c r="F452" s="50"/>
      <c r="G452" s="50"/>
      <c r="H452" s="54"/>
      <c r="I452" s="58"/>
      <c r="J452" s="102"/>
      <c r="K452" s="102"/>
      <c r="L452" s="107"/>
      <c r="M452" s="107"/>
      <c r="N452" s="102"/>
      <c r="O452" s="55"/>
      <c r="P452" s="167"/>
      <c r="Q452" s="165"/>
      <c r="R452" s="165"/>
    </row>
    <row r="453" spans="1:18" s="41" customFormat="1" ht="15" customHeight="1" x14ac:dyDescent="0.2">
      <c r="A453" s="50"/>
      <c r="B453" s="51"/>
      <c r="C453" s="59"/>
      <c r="D453" s="60"/>
      <c r="E453" s="60"/>
      <c r="F453" s="50"/>
      <c r="G453" s="50"/>
      <c r="H453" s="54"/>
      <c r="I453" s="58"/>
      <c r="J453" s="102"/>
      <c r="K453" s="102"/>
      <c r="L453" s="107"/>
      <c r="M453" s="107"/>
      <c r="N453" s="102"/>
      <c r="O453" s="55"/>
      <c r="P453" s="167"/>
      <c r="Q453" s="165"/>
      <c r="R453" s="165"/>
    </row>
    <row r="454" spans="1:18" s="41" customFormat="1" ht="15" customHeight="1" x14ac:dyDescent="0.2">
      <c r="A454" s="50"/>
      <c r="B454" s="51"/>
      <c r="C454" s="59"/>
      <c r="D454" s="60"/>
      <c r="E454" s="60"/>
      <c r="F454" s="50"/>
      <c r="G454" s="50"/>
      <c r="H454" s="54"/>
      <c r="I454" s="58"/>
      <c r="J454" s="102"/>
      <c r="K454" s="102"/>
      <c r="L454" s="107"/>
      <c r="M454" s="107"/>
      <c r="N454" s="102"/>
      <c r="O454" s="55"/>
      <c r="P454" s="167"/>
      <c r="Q454" s="165"/>
      <c r="R454" s="165"/>
    </row>
    <row r="455" spans="1:18" s="41" customFormat="1" ht="15" customHeight="1" x14ac:dyDescent="0.2">
      <c r="A455" s="50"/>
      <c r="B455" s="51"/>
      <c r="C455" s="59"/>
      <c r="D455" s="60"/>
      <c r="E455" s="60"/>
      <c r="F455" s="50"/>
      <c r="G455" s="50"/>
      <c r="H455" s="54"/>
      <c r="I455" s="58"/>
      <c r="J455" s="102"/>
      <c r="K455" s="102"/>
      <c r="L455" s="107"/>
      <c r="M455" s="107"/>
      <c r="N455" s="102"/>
      <c r="O455" s="55"/>
      <c r="P455" s="167"/>
      <c r="Q455" s="165"/>
      <c r="R455" s="165"/>
    </row>
    <row r="456" spans="1:18" s="41" customFormat="1" ht="15" customHeight="1" x14ac:dyDescent="0.2">
      <c r="A456" s="50"/>
      <c r="B456" s="51"/>
      <c r="C456" s="59"/>
      <c r="D456" s="60"/>
      <c r="E456" s="60"/>
      <c r="F456" s="50"/>
      <c r="G456" s="50"/>
      <c r="H456" s="54"/>
      <c r="I456" s="58"/>
      <c r="J456" s="102"/>
      <c r="K456" s="102"/>
      <c r="L456" s="107"/>
      <c r="M456" s="107"/>
      <c r="N456" s="102"/>
      <c r="O456" s="55"/>
      <c r="P456" s="167"/>
      <c r="Q456" s="165"/>
      <c r="R456" s="165"/>
    </row>
    <row r="457" spans="1:18" s="41" customFormat="1" ht="15" customHeight="1" x14ac:dyDescent="0.2">
      <c r="A457" s="50"/>
      <c r="B457" s="51"/>
      <c r="C457" s="59"/>
      <c r="D457" s="60"/>
      <c r="E457" s="60"/>
      <c r="F457" s="50"/>
      <c r="G457" s="50"/>
      <c r="H457" s="54"/>
      <c r="I457" s="58"/>
      <c r="J457" s="102"/>
      <c r="K457" s="102"/>
      <c r="L457" s="107"/>
      <c r="M457" s="107"/>
      <c r="N457" s="102"/>
      <c r="O457" s="55"/>
      <c r="P457" s="167"/>
      <c r="Q457" s="165"/>
      <c r="R457" s="165"/>
    </row>
    <row r="458" spans="1:18" s="41" customFormat="1" ht="15" customHeight="1" x14ac:dyDescent="0.2">
      <c r="A458" s="50"/>
      <c r="B458" s="51"/>
      <c r="C458" s="59"/>
      <c r="D458" s="60"/>
      <c r="E458" s="60"/>
      <c r="F458" s="50"/>
      <c r="G458" s="50"/>
      <c r="H458" s="54"/>
      <c r="I458" s="58"/>
      <c r="J458" s="102"/>
      <c r="K458" s="102"/>
      <c r="L458" s="107"/>
      <c r="M458" s="107"/>
      <c r="N458" s="102"/>
      <c r="O458" s="55"/>
      <c r="P458" s="167"/>
      <c r="Q458" s="165"/>
      <c r="R458" s="165"/>
    </row>
    <row r="459" spans="1:18" s="41" customFormat="1" ht="15" customHeight="1" x14ac:dyDescent="0.2">
      <c r="A459" s="50"/>
      <c r="B459" s="51"/>
      <c r="C459" s="59"/>
      <c r="D459" s="60"/>
      <c r="E459" s="60"/>
      <c r="F459" s="50"/>
      <c r="G459" s="50"/>
      <c r="H459" s="54"/>
      <c r="I459" s="58"/>
      <c r="J459" s="102"/>
      <c r="K459" s="102"/>
      <c r="L459" s="107"/>
      <c r="M459" s="107"/>
      <c r="N459" s="102"/>
      <c r="O459" s="55"/>
      <c r="P459" s="167"/>
      <c r="Q459" s="165"/>
      <c r="R459" s="165"/>
    </row>
    <row r="460" spans="1:18" s="41" customFormat="1" ht="15" customHeight="1" x14ac:dyDescent="0.2">
      <c r="A460" s="50"/>
      <c r="B460" s="51"/>
      <c r="C460" s="59"/>
      <c r="D460" s="60"/>
      <c r="E460" s="60"/>
      <c r="F460" s="50"/>
      <c r="G460" s="50"/>
      <c r="H460" s="54"/>
      <c r="I460" s="58"/>
      <c r="J460" s="102"/>
      <c r="K460" s="102"/>
      <c r="L460" s="107"/>
      <c r="M460" s="107"/>
      <c r="N460" s="102"/>
      <c r="O460" s="55"/>
      <c r="P460" s="167"/>
      <c r="Q460" s="165"/>
      <c r="R460" s="165"/>
    </row>
    <row r="461" spans="1:18" s="41" customFormat="1" ht="15" customHeight="1" x14ac:dyDescent="0.2">
      <c r="A461" s="50"/>
      <c r="B461" s="51"/>
      <c r="C461" s="59"/>
      <c r="D461" s="60"/>
      <c r="E461" s="60"/>
      <c r="F461" s="50"/>
      <c r="G461" s="50"/>
      <c r="H461" s="54"/>
      <c r="I461" s="58"/>
      <c r="J461" s="102"/>
      <c r="K461" s="102"/>
      <c r="L461" s="107"/>
      <c r="M461" s="107"/>
      <c r="N461" s="102"/>
      <c r="O461" s="55"/>
      <c r="P461" s="167"/>
      <c r="Q461" s="165"/>
      <c r="R461" s="165"/>
    </row>
    <row r="462" spans="1:18" s="41" customFormat="1" ht="15" customHeight="1" x14ac:dyDescent="0.2">
      <c r="A462" s="50"/>
      <c r="B462" s="51"/>
      <c r="C462" s="59"/>
      <c r="D462" s="60"/>
      <c r="E462" s="60"/>
      <c r="F462" s="50"/>
      <c r="G462" s="50"/>
      <c r="H462" s="54"/>
      <c r="I462" s="58"/>
      <c r="J462" s="102"/>
      <c r="K462" s="102"/>
      <c r="L462" s="107"/>
      <c r="M462" s="107"/>
      <c r="N462" s="102"/>
      <c r="O462" s="55"/>
      <c r="P462" s="167"/>
      <c r="Q462" s="165"/>
      <c r="R462" s="165"/>
    </row>
    <row r="463" spans="1:18" s="41" customFormat="1" ht="15" customHeight="1" x14ac:dyDescent="0.2">
      <c r="A463" s="50"/>
      <c r="B463" s="51"/>
      <c r="C463" s="59"/>
      <c r="D463" s="60"/>
      <c r="E463" s="60"/>
      <c r="F463" s="50"/>
      <c r="G463" s="50"/>
      <c r="H463" s="54"/>
      <c r="I463" s="58"/>
      <c r="J463" s="102"/>
      <c r="K463" s="102"/>
      <c r="L463" s="107"/>
      <c r="M463" s="107"/>
      <c r="N463" s="102"/>
      <c r="O463" s="55"/>
      <c r="P463" s="167"/>
      <c r="Q463" s="165"/>
      <c r="R463" s="165"/>
    </row>
    <row r="464" spans="1:18" s="41" customFormat="1" ht="15" customHeight="1" x14ac:dyDescent="0.2">
      <c r="A464" s="50"/>
      <c r="B464" s="51"/>
      <c r="C464" s="59"/>
      <c r="D464" s="60"/>
      <c r="E464" s="60"/>
      <c r="F464" s="50"/>
      <c r="G464" s="50"/>
      <c r="H464" s="54"/>
      <c r="I464" s="58"/>
      <c r="J464" s="102"/>
      <c r="K464" s="102"/>
      <c r="L464" s="107"/>
      <c r="M464" s="107"/>
      <c r="N464" s="102"/>
      <c r="O464" s="55"/>
      <c r="P464" s="167"/>
      <c r="Q464" s="165"/>
      <c r="R464" s="165"/>
    </row>
    <row r="465" spans="1:18" s="41" customFormat="1" ht="15" customHeight="1" x14ac:dyDescent="0.2">
      <c r="A465" s="50"/>
      <c r="B465" s="51"/>
      <c r="C465" s="59"/>
      <c r="D465" s="60"/>
      <c r="E465" s="60"/>
      <c r="F465" s="50"/>
      <c r="G465" s="50"/>
      <c r="H465" s="54"/>
      <c r="I465" s="58"/>
      <c r="J465" s="102"/>
      <c r="K465" s="102"/>
      <c r="L465" s="107"/>
      <c r="M465" s="107"/>
      <c r="N465" s="102"/>
      <c r="O465" s="55"/>
      <c r="P465" s="167"/>
      <c r="Q465" s="165"/>
      <c r="R465" s="165"/>
    </row>
    <row r="466" spans="1:18" s="41" customFormat="1" ht="15" customHeight="1" x14ac:dyDescent="0.2">
      <c r="A466" s="50"/>
      <c r="B466" s="51"/>
      <c r="C466" s="59"/>
      <c r="D466" s="60"/>
      <c r="E466" s="60"/>
      <c r="F466" s="50"/>
      <c r="G466" s="50"/>
      <c r="H466" s="54"/>
      <c r="I466" s="58"/>
      <c r="J466" s="102"/>
      <c r="K466" s="102"/>
      <c r="L466" s="107"/>
      <c r="M466" s="107"/>
      <c r="N466" s="102"/>
      <c r="O466" s="55"/>
      <c r="P466" s="167"/>
      <c r="Q466" s="165"/>
      <c r="R466" s="165"/>
    </row>
    <row r="467" spans="1:18" s="41" customFormat="1" ht="15" customHeight="1" x14ac:dyDescent="0.2">
      <c r="A467" s="50"/>
      <c r="B467" s="51"/>
      <c r="C467" s="59"/>
      <c r="D467" s="60"/>
      <c r="E467" s="60"/>
      <c r="F467" s="50"/>
      <c r="G467" s="50"/>
      <c r="H467" s="54"/>
      <c r="I467" s="58"/>
      <c r="J467" s="102"/>
      <c r="K467" s="102"/>
      <c r="L467" s="107"/>
      <c r="M467" s="107"/>
      <c r="N467" s="102"/>
      <c r="O467" s="55"/>
      <c r="P467" s="167"/>
      <c r="Q467" s="165"/>
      <c r="R467" s="165"/>
    </row>
    <row r="468" spans="1:18" s="41" customFormat="1" ht="15" customHeight="1" x14ac:dyDescent="0.2">
      <c r="A468" s="50"/>
      <c r="B468" s="51"/>
      <c r="C468" s="59"/>
      <c r="D468" s="60"/>
      <c r="E468" s="60"/>
      <c r="F468" s="50"/>
      <c r="G468" s="50"/>
      <c r="H468" s="54"/>
      <c r="I468" s="58"/>
      <c r="J468" s="102"/>
      <c r="K468" s="102"/>
      <c r="L468" s="107"/>
      <c r="M468" s="107"/>
      <c r="N468" s="102"/>
      <c r="O468" s="55"/>
      <c r="P468" s="167"/>
      <c r="Q468" s="165"/>
      <c r="R468" s="165"/>
    </row>
    <row r="469" spans="1:18" s="41" customFormat="1" ht="15" customHeight="1" x14ac:dyDescent="0.2">
      <c r="A469" s="50"/>
      <c r="B469" s="51"/>
      <c r="C469" s="59"/>
      <c r="D469" s="60"/>
      <c r="E469" s="60"/>
      <c r="F469" s="50"/>
      <c r="G469" s="50"/>
      <c r="H469" s="54"/>
      <c r="I469" s="58"/>
      <c r="J469" s="102"/>
      <c r="K469" s="102"/>
      <c r="L469" s="107"/>
      <c r="M469" s="107"/>
      <c r="N469" s="102"/>
      <c r="O469" s="55"/>
      <c r="P469" s="167"/>
      <c r="Q469" s="165"/>
      <c r="R469" s="165"/>
    </row>
    <row r="470" spans="1:18" s="41" customFormat="1" ht="15" customHeight="1" x14ac:dyDescent="0.2">
      <c r="A470" s="50"/>
      <c r="B470" s="51"/>
      <c r="C470" s="59"/>
      <c r="D470" s="60"/>
      <c r="E470" s="60"/>
      <c r="F470" s="50"/>
      <c r="G470" s="57"/>
      <c r="H470" s="54"/>
      <c r="I470" s="58"/>
      <c r="J470" s="102"/>
      <c r="K470" s="102"/>
      <c r="L470" s="107"/>
      <c r="M470" s="107"/>
      <c r="N470" s="102"/>
      <c r="O470" s="55"/>
      <c r="P470" s="167"/>
      <c r="Q470" s="165"/>
      <c r="R470" s="165"/>
    </row>
    <row r="471" spans="1:18" s="41" customFormat="1" ht="15" customHeight="1" x14ac:dyDescent="0.2">
      <c r="A471" s="50"/>
      <c r="B471" s="51"/>
      <c r="C471" s="59"/>
      <c r="D471" s="60"/>
      <c r="E471" s="60"/>
      <c r="F471" s="50"/>
      <c r="G471" s="50"/>
      <c r="H471" s="54"/>
      <c r="I471" s="58"/>
      <c r="J471" s="102"/>
      <c r="K471" s="102"/>
      <c r="L471" s="107"/>
      <c r="M471" s="107"/>
      <c r="N471" s="102"/>
      <c r="O471" s="55"/>
      <c r="P471" s="167"/>
      <c r="Q471" s="165"/>
      <c r="R471" s="165"/>
    </row>
    <row r="472" spans="1:18" s="41" customFormat="1" ht="15" customHeight="1" x14ac:dyDescent="0.2">
      <c r="A472" s="50"/>
      <c r="B472" s="51"/>
      <c r="C472" s="59"/>
      <c r="D472" s="60"/>
      <c r="E472" s="60"/>
      <c r="F472" s="50"/>
      <c r="G472" s="50"/>
      <c r="H472" s="54"/>
      <c r="I472" s="58"/>
      <c r="J472" s="102"/>
      <c r="K472" s="102"/>
      <c r="L472" s="107"/>
      <c r="M472" s="107"/>
      <c r="N472" s="102"/>
      <c r="O472" s="55"/>
      <c r="P472" s="167"/>
      <c r="Q472" s="165"/>
      <c r="R472" s="165"/>
    </row>
    <row r="473" spans="1:18" s="41" customFormat="1" ht="15" customHeight="1" x14ac:dyDescent="0.2">
      <c r="A473" s="50"/>
      <c r="B473" s="51"/>
      <c r="C473" s="59"/>
      <c r="D473" s="60"/>
      <c r="E473" s="60"/>
      <c r="F473" s="50"/>
      <c r="G473" s="50"/>
      <c r="H473" s="54"/>
      <c r="I473" s="58"/>
      <c r="J473" s="102"/>
      <c r="K473" s="102"/>
      <c r="L473" s="107"/>
      <c r="M473" s="107"/>
      <c r="N473" s="102"/>
      <c r="O473" s="55"/>
      <c r="P473" s="167"/>
      <c r="Q473" s="165"/>
      <c r="R473" s="165"/>
    </row>
    <row r="474" spans="1:18" s="41" customFormat="1" ht="15" customHeight="1" x14ac:dyDescent="0.2">
      <c r="A474" s="50"/>
      <c r="B474" s="51"/>
      <c r="C474" s="59"/>
      <c r="D474" s="60"/>
      <c r="E474" s="60"/>
      <c r="F474" s="50"/>
      <c r="G474" s="50"/>
      <c r="H474" s="54"/>
      <c r="I474" s="58"/>
      <c r="J474" s="102"/>
      <c r="K474" s="102"/>
      <c r="L474" s="107"/>
      <c r="M474" s="107"/>
      <c r="N474" s="102"/>
      <c r="O474" s="55"/>
      <c r="P474" s="167"/>
      <c r="Q474" s="165"/>
      <c r="R474" s="165"/>
    </row>
    <row r="475" spans="1:18" s="41" customFormat="1" ht="15" customHeight="1" x14ac:dyDescent="0.2">
      <c r="A475" s="50"/>
      <c r="B475" s="51"/>
      <c r="C475" s="59"/>
      <c r="D475" s="60"/>
      <c r="E475" s="60"/>
      <c r="F475" s="50"/>
      <c r="G475" s="50"/>
      <c r="H475" s="54"/>
      <c r="I475" s="58"/>
      <c r="J475" s="102"/>
      <c r="K475" s="102"/>
      <c r="L475" s="107"/>
      <c r="M475" s="107"/>
      <c r="N475" s="102"/>
      <c r="O475" s="55"/>
      <c r="P475" s="167"/>
      <c r="Q475" s="165"/>
      <c r="R475" s="165"/>
    </row>
    <row r="476" spans="1:18" s="41" customFormat="1" ht="15" customHeight="1" x14ac:dyDescent="0.2">
      <c r="A476" s="50"/>
      <c r="B476" s="51"/>
      <c r="C476" s="59"/>
      <c r="D476" s="60"/>
      <c r="E476" s="60"/>
      <c r="F476" s="50"/>
      <c r="G476" s="50"/>
      <c r="H476" s="54"/>
      <c r="I476" s="58"/>
      <c r="J476" s="102"/>
      <c r="K476" s="102"/>
      <c r="L476" s="107"/>
      <c r="M476" s="107"/>
      <c r="N476" s="102"/>
      <c r="O476" s="55"/>
      <c r="P476" s="167"/>
      <c r="Q476" s="165"/>
      <c r="R476" s="165"/>
    </row>
    <row r="477" spans="1:18" s="41" customFormat="1" ht="15" customHeight="1" x14ac:dyDescent="0.2">
      <c r="A477" s="50"/>
      <c r="B477" s="51"/>
      <c r="C477" s="59"/>
      <c r="D477" s="60"/>
      <c r="E477" s="60"/>
      <c r="F477" s="50"/>
      <c r="G477" s="50"/>
      <c r="H477" s="54"/>
      <c r="I477" s="58"/>
      <c r="J477" s="102"/>
      <c r="K477" s="102"/>
      <c r="L477" s="107"/>
      <c r="M477" s="107"/>
      <c r="N477" s="102"/>
      <c r="O477" s="55"/>
      <c r="P477" s="167"/>
      <c r="Q477" s="165"/>
      <c r="R477" s="165"/>
    </row>
    <row r="478" spans="1:18" s="41" customFormat="1" ht="15" customHeight="1" x14ac:dyDescent="0.2">
      <c r="A478" s="50"/>
      <c r="B478" s="51"/>
      <c r="C478" s="59"/>
      <c r="D478" s="60"/>
      <c r="E478" s="60"/>
      <c r="F478" s="50"/>
      <c r="G478" s="50"/>
      <c r="H478" s="54"/>
      <c r="I478" s="58"/>
      <c r="J478" s="102"/>
      <c r="K478" s="102"/>
      <c r="L478" s="107"/>
      <c r="M478" s="107"/>
      <c r="N478" s="102"/>
      <c r="O478" s="55"/>
      <c r="P478" s="167"/>
      <c r="Q478" s="165"/>
      <c r="R478" s="165"/>
    </row>
    <row r="479" spans="1:18" s="41" customFormat="1" ht="15" customHeight="1" x14ac:dyDescent="0.2">
      <c r="A479" s="50"/>
      <c r="B479" s="51"/>
      <c r="C479" s="59"/>
      <c r="D479" s="60"/>
      <c r="E479" s="60"/>
      <c r="F479" s="50"/>
      <c r="G479" s="50"/>
      <c r="H479" s="54"/>
      <c r="I479" s="58"/>
      <c r="J479" s="102"/>
      <c r="K479" s="102"/>
      <c r="L479" s="107"/>
      <c r="M479" s="107"/>
      <c r="N479" s="102"/>
      <c r="O479" s="55"/>
      <c r="P479" s="167"/>
      <c r="Q479" s="165"/>
      <c r="R479" s="165"/>
    </row>
    <row r="480" spans="1:18" s="41" customFormat="1" ht="15" customHeight="1" x14ac:dyDescent="0.2">
      <c r="A480" s="50"/>
      <c r="B480" s="51"/>
      <c r="C480" s="59"/>
      <c r="D480" s="60"/>
      <c r="E480" s="60"/>
      <c r="F480" s="50"/>
      <c r="G480" s="50"/>
      <c r="H480" s="54"/>
      <c r="I480" s="58"/>
      <c r="J480" s="102"/>
      <c r="K480" s="102"/>
      <c r="L480" s="107"/>
      <c r="M480" s="107"/>
      <c r="N480" s="102"/>
      <c r="O480" s="55"/>
      <c r="P480" s="167"/>
      <c r="Q480" s="165"/>
      <c r="R480" s="165"/>
    </row>
    <row r="481" spans="1:18" s="41" customFormat="1" ht="15" customHeight="1" x14ac:dyDescent="0.2">
      <c r="A481" s="50"/>
      <c r="B481" s="51"/>
      <c r="C481" s="59"/>
      <c r="D481" s="60"/>
      <c r="E481" s="60"/>
      <c r="F481" s="50"/>
      <c r="G481" s="50"/>
      <c r="H481" s="54"/>
      <c r="I481" s="58"/>
      <c r="J481" s="102"/>
      <c r="K481" s="102"/>
      <c r="L481" s="107"/>
      <c r="M481" s="107"/>
      <c r="N481" s="102"/>
      <c r="O481" s="55"/>
      <c r="P481" s="167"/>
      <c r="Q481" s="165"/>
      <c r="R481" s="165"/>
    </row>
    <row r="482" spans="1:18" s="41" customFormat="1" ht="15" customHeight="1" x14ac:dyDescent="0.2">
      <c r="A482" s="50"/>
      <c r="B482" s="51"/>
      <c r="C482" s="59"/>
      <c r="D482" s="60"/>
      <c r="E482" s="60"/>
      <c r="F482" s="50"/>
      <c r="G482" s="50"/>
      <c r="H482" s="54"/>
      <c r="I482" s="58"/>
      <c r="J482" s="102"/>
      <c r="K482" s="102"/>
      <c r="L482" s="107"/>
      <c r="M482" s="107"/>
      <c r="N482" s="102"/>
      <c r="O482" s="55"/>
      <c r="P482" s="167"/>
      <c r="Q482" s="165"/>
      <c r="R482" s="165"/>
    </row>
    <row r="483" spans="1:18" s="41" customFormat="1" ht="15" customHeight="1" x14ac:dyDescent="0.2">
      <c r="A483" s="50"/>
      <c r="B483" s="51"/>
      <c r="C483" s="59"/>
      <c r="D483" s="60"/>
      <c r="E483" s="60"/>
      <c r="F483" s="50"/>
      <c r="G483" s="50"/>
      <c r="H483" s="54"/>
      <c r="I483" s="58"/>
      <c r="J483" s="102"/>
      <c r="K483" s="102"/>
      <c r="L483" s="107"/>
      <c r="M483" s="107"/>
      <c r="N483" s="102"/>
      <c r="O483" s="55"/>
      <c r="P483" s="167"/>
      <c r="Q483" s="165"/>
      <c r="R483" s="165"/>
    </row>
    <row r="484" spans="1:18" s="41" customFormat="1" ht="15" customHeight="1" x14ac:dyDescent="0.2">
      <c r="A484" s="50"/>
      <c r="B484" s="51"/>
      <c r="C484" s="59"/>
      <c r="D484" s="60"/>
      <c r="E484" s="60"/>
      <c r="F484" s="50"/>
      <c r="G484" s="50"/>
      <c r="H484" s="54"/>
      <c r="I484" s="58"/>
      <c r="J484" s="102"/>
      <c r="K484" s="102"/>
      <c r="L484" s="107"/>
      <c r="M484" s="107"/>
      <c r="N484" s="102"/>
      <c r="O484" s="55"/>
      <c r="P484" s="167"/>
      <c r="Q484" s="165"/>
      <c r="R484" s="165"/>
    </row>
    <row r="485" spans="1:18" s="41" customFormat="1" ht="15" customHeight="1" x14ac:dyDescent="0.2">
      <c r="A485" s="50"/>
      <c r="B485" s="51"/>
      <c r="C485" s="59"/>
      <c r="D485" s="60"/>
      <c r="E485" s="60"/>
      <c r="F485" s="50"/>
      <c r="G485" s="50"/>
      <c r="H485" s="54"/>
      <c r="I485" s="58"/>
      <c r="J485" s="102"/>
      <c r="K485" s="102"/>
      <c r="L485" s="107"/>
      <c r="M485" s="107"/>
      <c r="N485" s="102"/>
      <c r="O485" s="55"/>
      <c r="P485" s="167"/>
      <c r="Q485" s="165"/>
      <c r="R485" s="165"/>
    </row>
    <row r="486" spans="1:18" s="41" customFormat="1" ht="15" customHeight="1" x14ac:dyDescent="0.2">
      <c r="A486" s="50"/>
      <c r="B486" s="51"/>
      <c r="C486" s="59"/>
      <c r="D486" s="60"/>
      <c r="E486" s="60"/>
      <c r="F486" s="50"/>
      <c r="G486" s="50"/>
      <c r="H486" s="54"/>
      <c r="I486" s="58"/>
      <c r="J486" s="102"/>
      <c r="K486" s="102"/>
      <c r="L486" s="107"/>
      <c r="M486" s="107"/>
      <c r="N486" s="102"/>
      <c r="O486" s="55"/>
      <c r="P486" s="167"/>
      <c r="Q486" s="165"/>
      <c r="R486" s="165"/>
    </row>
    <row r="487" spans="1:18" s="41" customFormat="1" ht="15" customHeight="1" x14ac:dyDescent="0.2">
      <c r="A487" s="50"/>
      <c r="B487" s="51"/>
      <c r="C487" s="59"/>
      <c r="D487" s="60"/>
      <c r="E487" s="60"/>
      <c r="F487" s="50"/>
      <c r="G487" s="50"/>
      <c r="H487" s="54"/>
      <c r="I487" s="58"/>
      <c r="J487" s="102"/>
      <c r="K487" s="102"/>
      <c r="L487" s="107"/>
      <c r="M487" s="107"/>
      <c r="N487" s="102"/>
      <c r="O487" s="55"/>
      <c r="P487" s="167"/>
      <c r="Q487" s="165"/>
      <c r="R487" s="165"/>
    </row>
    <row r="488" spans="1:18" s="41" customFormat="1" ht="15" customHeight="1" x14ac:dyDescent="0.2">
      <c r="A488" s="50"/>
      <c r="B488" s="51"/>
      <c r="C488" s="59"/>
      <c r="D488" s="60"/>
      <c r="E488" s="60"/>
      <c r="F488" s="50"/>
      <c r="G488" s="50"/>
      <c r="H488" s="54"/>
      <c r="I488" s="58"/>
      <c r="J488" s="102"/>
      <c r="K488" s="102"/>
      <c r="L488" s="107"/>
      <c r="M488" s="107"/>
      <c r="N488" s="102"/>
      <c r="O488" s="55"/>
      <c r="P488" s="167"/>
      <c r="Q488" s="165"/>
      <c r="R488" s="165"/>
    </row>
    <row r="489" spans="1:18" s="41" customFormat="1" ht="15" customHeight="1" x14ac:dyDescent="0.2">
      <c r="A489" s="50"/>
      <c r="B489" s="51"/>
      <c r="C489" s="51"/>
      <c r="D489" s="52"/>
      <c r="E489" s="52"/>
      <c r="F489" s="53"/>
      <c r="G489" s="50"/>
      <c r="H489" s="54"/>
      <c r="I489" s="54"/>
      <c r="J489" s="102"/>
      <c r="K489" s="102"/>
      <c r="L489" s="107"/>
      <c r="M489" s="107"/>
      <c r="N489" s="102"/>
      <c r="O489" s="55"/>
      <c r="P489" s="167"/>
      <c r="Q489" s="165"/>
      <c r="R489" s="165"/>
    </row>
    <row r="490" spans="1:18" s="41" customFormat="1" ht="15" customHeight="1" x14ac:dyDescent="0.2">
      <c r="A490" s="50"/>
      <c r="B490" s="51"/>
      <c r="C490" s="51"/>
      <c r="D490" s="56"/>
      <c r="E490" s="56"/>
      <c r="F490" s="50"/>
      <c r="G490" s="50"/>
      <c r="H490" s="54"/>
      <c r="I490" s="54"/>
      <c r="J490" s="102"/>
      <c r="K490" s="102"/>
      <c r="L490" s="107"/>
      <c r="M490" s="107"/>
      <c r="N490" s="102"/>
      <c r="O490" s="55"/>
      <c r="P490" s="167"/>
      <c r="Q490" s="165"/>
      <c r="R490" s="165"/>
    </row>
    <row r="491" spans="1:18" s="41" customFormat="1" ht="15" customHeight="1" x14ac:dyDescent="0.2">
      <c r="A491" s="50"/>
      <c r="B491" s="51"/>
      <c r="C491" s="59"/>
      <c r="D491" s="60"/>
      <c r="E491" s="60"/>
      <c r="F491" s="50"/>
      <c r="G491" s="57"/>
      <c r="H491" s="54"/>
      <c r="I491" s="58"/>
      <c r="J491" s="102"/>
      <c r="K491" s="102"/>
      <c r="L491" s="107"/>
      <c r="M491" s="107"/>
      <c r="N491" s="102"/>
      <c r="O491" s="55"/>
      <c r="P491" s="167"/>
      <c r="Q491" s="165"/>
      <c r="R491" s="165"/>
    </row>
    <row r="492" spans="1:18" s="41" customFormat="1" ht="15" customHeight="1" x14ac:dyDescent="0.2">
      <c r="A492" s="50"/>
      <c r="B492" s="51"/>
      <c r="C492" s="51"/>
      <c r="D492" s="56"/>
      <c r="E492" s="56"/>
      <c r="F492" s="50"/>
      <c r="G492" s="50"/>
      <c r="H492" s="54"/>
      <c r="I492" s="58"/>
      <c r="J492" s="102"/>
      <c r="K492" s="102"/>
      <c r="L492" s="107"/>
      <c r="M492" s="107"/>
      <c r="N492" s="102"/>
      <c r="O492" s="55"/>
      <c r="P492" s="167"/>
      <c r="Q492" s="165"/>
      <c r="R492" s="165"/>
    </row>
    <row r="493" spans="1:18" s="41" customFormat="1" ht="15" customHeight="1" x14ac:dyDescent="0.2">
      <c r="A493" s="50"/>
      <c r="B493" s="51"/>
      <c r="C493" s="59"/>
      <c r="D493" s="60"/>
      <c r="E493" s="60"/>
      <c r="F493" s="50"/>
      <c r="G493" s="50"/>
      <c r="H493" s="54"/>
      <c r="I493" s="58"/>
      <c r="J493" s="102"/>
      <c r="K493" s="102"/>
      <c r="L493" s="107"/>
      <c r="M493" s="107"/>
      <c r="N493" s="102"/>
      <c r="O493" s="55"/>
      <c r="P493" s="167"/>
      <c r="Q493" s="165"/>
      <c r="R493" s="165"/>
    </row>
    <row r="494" spans="1:18" s="41" customFormat="1" ht="15" customHeight="1" x14ac:dyDescent="0.2">
      <c r="A494" s="50"/>
      <c r="B494" s="51"/>
      <c r="C494" s="59"/>
      <c r="D494" s="60"/>
      <c r="E494" s="60"/>
      <c r="F494" s="50"/>
      <c r="G494" s="50"/>
      <c r="H494" s="54"/>
      <c r="I494" s="58"/>
      <c r="J494" s="102"/>
      <c r="K494" s="102"/>
      <c r="L494" s="107"/>
      <c r="M494" s="107"/>
      <c r="N494" s="102"/>
      <c r="O494" s="55"/>
      <c r="P494" s="167"/>
      <c r="Q494" s="165"/>
      <c r="R494" s="165"/>
    </row>
    <row r="495" spans="1:18" s="41" customFormat="1" ht="15" customHeight="1" x14ac:dyDescent="0.2">
      <c r="A495" s="50"/>
      <c r="B495" s="51"/>
      <c r="C495" s="59"/>
      <c r="D495" s="60"/>
      <c r="E495" s="60"/>
      <c r="F495" s="50"/>
      <c r="G495" s="50"/>
      <c r="H495" s="54"/>
      <c r="I495" s="58"/>
      <c r="J495" s="102"/>
      <c r="K495" s="102"/>
      <c r="L495" s="107"/>
      <c r="M495" s="107"/>
      <c r="N495" s="102"/>
      <c r="O495" s="55"/>
      <c r="P495" s="167"/>
      <c r="Q495" s="165"/>
      <c r="R495" s="165"/>
    </row>
    <row r="496" spans="1:18" s="41" customFormat="1" ht="15" customHeight="1" x14ac:dyDescent="0.2">
      <c r="A496" s="50"/>
      <c r="B496" s="51"/>
      <c r="C496" s="59"/>
      <c r="D496" s="60"/>
      <c r="E496" s="60"/>
      <c r="F496" s="50"/>
      <c r="G496" s="50"/>
      <c r="H496" s="54"/>
      <c r="I496" s="58"/>
      <c r="J496" s="102"/>
      <c r="K496" s="102"/>
      <c r="L496" s="107"/>
      <c r="M496" s="107"/>
      <c r="N496" s="102"/>
      <c r="O496" s="55"/>
      <c r="P496" s="167"/>
      <c r="Q496" s="165"/>
      <c r="R496" s="165"/>
    </row>
    <row r="497" spans="1:18" s="41" customFormat="1" ht="15" customHeight="1" x14ac:dyDescent="0.2">
      <c r="A497" s="50"/>
      <c r="B497" s="51"/>
      <c r="C497" s="59"/>
      <c r="D497" s="60"/>
      <c r="E497" s="60"/>
      <c r="F497" s="50"/>
      <c r="G497" s="50"/>
      <c r="H497" s="54"/>
      <c r="I497" s="58"/>
      <c r="J497" s="102"/>
      <c r="K497" s="102"/>
      <c r="L497" s="107"/>
      <c r="M497" s="107"/>
      <c r="N497" s="102"/>
      <c r="O497" s="55"/>
      <c r="P497" s="167"/>
      <c r="Q497" s="165"/>
      <c r="R497" s="165"/>
    </row>
    <row r="498" spans="1:18" s="41" customFormat="1" ht="15" customHeight="1" x14ac:dyDescent="0.2">
      <c r="A498" s="50"/>
      <c r="B498" s="51"/>
      <c r="C498" s="59"/>
      <c r="D498" s="60"/>
      <c r="E498" s="60"/>
      <c r="F498" s="50"/>
      <c r="G498" s="50"/>
      <c r="H498" s="54"/>
      <c r="I498" s="58"/>
      <c r="J498" s="102"/>
      <c r="K498" s="102"/>
      <c r="L498" s="107"/>
      <c r="M498" s="107"/>
      <c r="N498" s="102"/>
      <c r="O498" s="55"/>
      <c r="P498" s="167"/>
      <c r="Q498" s="165"/>
      <c r="R498" s="165"/>
    </row>
    <row r="499" spans="1:18" s="41" customFormat="1" ht="15" customHeight="1" x14ac:dyDescent="0.2">
      <c r="A499" s="50"/>
      <c r="B499" s="51"/>
      <c r="C499" s="59"/>
      <c r="D499" s="60"/>
      <c r="E499" s="60"/>
      <c r="F499" s="50"/>
      <c r="G499" s="50"/>
      <c r="H499" s="54"/>
      <c r="I499" s="58"/>
      <c r="J499" s="102"/>
      <c r="K499" s="102"/>
      <c r="L499" s="107"/>
      <c r="M499" s="107"/>
      <c r="N499" s="102"/>
      <c r="O499" s="55"/>
      <c r="P499" s="167"/>
      <c r="Q499" s="165"/>
      <c r="R499" s="165"/>
    </row>
    <row r="500" spans="1:18" s="41" customFormat="1" ht="15" customHeight="1" x14ac:dyDescent="0.2">
      <c r="A500" s="50"/>
      <c r="B500" s="51"/>
      <c r="C500" s="59"/>
      <c r="D500" s="60"/>
      <c r="E500" s="60"/>
      <c r="F500" s="50"/>
      <c r="G500" s="50"/>
      <c r="H500" s="54"/>
      <c r="I500" s="58"/>
      <c r="J500" s="102"/>
      <c r="K500" s="102"/>
      <c r="L500" s="107"/>
      <c r="M500" s="107"/>
      <c r="N500" s="102"/>
      <c r="O500" s="55"/>
      <c r="P500" s="167"/>
      <c r="Q500" s="165"/>
      <c r="R500" s="165"/>
    </row>
    <row r="501" spans="1:18" s="41" customFormat="1" ht="15" customHeight="1" x14ac:dyDescent="0.2">
      <c r="A501" s="50"/>
      <c r="B501" s="51"/>
      <c r="C501" s="59"/>
      <c r="D501" s="60"/>
      <c r="E501" s="60"/>
      <c r="F501" s="53"/>
      <c r="G501" s="50"/>
      <c r="H501" s="54"/>
      <c r="I501" s="58"/>
      <c r="J501" s="102"/>
      <c r="K501" s="102"/>
      <c r="L501" s="107"/>
      <c r="M501" s="107"/>
      <c r="N501" s="102"/>
      <c r="O501" s="55"/>
      <c r="P501" s="167"/>
      <c r="Q501" s="165"/>
      <c r="R501" s="165"/>
    </row>
    <row r="502" spans="1:18" s="41" customFormat="1" ht="15" customHeight="1" x14ac:dyDescent="0.2">
      <c r="A502" s="50"/>
      <c r="B502" s="51"/>
      <c r="C502" s="59"/>
      <c r="D502" s="60"/>
      <c r="E502" s="60"/>
      <c r="F502" s="50"/>
      <c r="G502" s="50"/>
      <c r="H502" s="54"/>
      <c r="I502" s="58"/>
      <c r="J502" s="102"/>
      <c r="K502" s="102"/>
      <c r="L502" s="107"/>
      <c r="M502" s="107"/>
      <c r="N502" s="102"/>
      <c r="O502" s="55"/>
      <c r="P502" s="167"/>
      <c r="Q502" s="165"/>
      <c r="R502" s="165"/>
    </row>
    <row r="503" spans="1:18" s="41" customFormat="1" ht="15" customHeight="1" x14ac:dyDescent="0.2">
      <c r="A503" s="50"/>
      <c r="B503" s="51"/>
      <c r="C503" s="59"/>
      <c r="D503" s="60"/>
      <c r="E503" s="60"/>
      <c r="F503" s="50"/>
      <c r="G503" s="50"/>
      <c r="H503" s="54"/>
      <c r="I503" s="58"/>
      <c r="J503" s="102"/>
      <c r="K503" s="102"/>
      <c r="L503" s="107"/>
      <c r="M503" s="107"/>
      <c r="N503" s="102"/>
      <c r="O503" s="55"/>
      <c r="P503" s="167"/>
      <c r="Q503" s="165"/>
      <c r="R503" s="165"/>
    </row>
    <row r="504" spans="1:18" s="41" customFormat="1" ht="15" customHeight="1" x14ac:dyDescent="0.2">
      <c r="A504" s="50"/>
      <c r="B504" s="51"/>
      <c r="C504" s="59"/>
      <c r="D504" s="60"/>
      <c r="E504" s="60"/>
      <c r="F504" s="50"/>
      <c r="G504" s="50"/>
      <c r="H504" s="54"/>
      <c r="I504" s="58"/>
      <c r="J504" s="102"/>
      <c r="K504" s="102"/>
      <c r="L504" s="107"/>
      <c r="M504" s="107"/>
      <c r="N504" s="102"/>
      <c r="O504" s="55"/>
      <c r="P504" s="167"/>
      <c r="Q504" s="165"/>
      <c r="R504" s="165"/>
    </row>
    <row r="505" spans="1:18" s="41" customFormat="1" ht="15" customHeight="1" x14ac:dyDescent="0.2">
      <c r="A505" s="50"/>
      <c r="B505" s="51"/>
      <c r="C505" s="59"/>
      <c r="D505" s="60"/>
      <c r="E505" s="60"/>
      <c r="F505" s="50"/>
      <c r="G505" s="50"/>
      <c r="H505" s="54"/>
      <c r="I505" s="58"/>
      <c r="J505" s="102"/>
      <c r="K505" s="102"/>
      <c r="L505" s="107"/>
      <c r="M505" s="107"/>
      <c r="N505" s="102"/>
      <c r="O505" s="55"/>
      <c r="P505" s="167"/>
      <c r="Q505" s="165"/>
      <c r="R505" s="165"/>
    </row>
    <row r="506" spans="1:18" s="41" customFormat="1" ht="15" customHeight="1" x14ac:dyDescent="0.2">
      <c r="A506" s="50"/>
      <c r="B506" s="51"/>
      <c r="C506" s="59"/>
      <c r="D506" s="60"/>
      <c r="E506" s="60"/>
      <c r="F506" s="50"/>
      <c r="G506" s="50"/>
      <c r="H506" s="54"/>
      <c r="I506" s="58"/>
      <c r="J506" s="102"/>
      <c r="K506" s="102"/>
      <c r="L506" s="107"/>
      <c r="M506" s="107"/>
      <c r="N506" s="102"/>
      <c r="O506" s="55"/>
      <c r="P506" s="167"/>
      <c r="Q506" s="165"/>
      <c r="R506" s="165"/>
    </row>
    <row r="507" spans="1:18" s="41" customFormat="1" ht="15" customHeight="1" x14ac:dyDescent="0.2">
      <c r="A507" s="50"/>
      <c r="B507" s="51"/>
      <c r="C507" s="59"/>
      <c r="D507" s="60"/>
      <c r="E507" s="60"/>
      <c r="F507" s="50"/>
      <c r="G507" s="50"/>
      <c r="H507" s="54"/>
      <c r="I507" s="58"/>
      <c r="J507" s="102"/>
      <c r="K507" s="102"/>
      <c r="L507" s="107"/>
      <c r="M507" s="107"/>
      <c r="N507" s="102"/>
      <c r="O507" s="55"/>
      <c r="P507" s="167"/>
      <c r="Q507" s="165"/>
      <c r="R507" s="165"/>
    </row>
    <row r="508" spans="1:18" s="41" customFormat="1" ht="15" customHeight="1" x14ac:dyDescent="0.2">
      <c r="A508" s="50"/>
      <c r="B508" s="51"/>
      <c r="C508" s="59"/>
      <c r="D508" s="60"/>
      <c r="E508" s="60"/>
      <c r="F508" s="50"/>
      <c r="G508" s="50"/>
      <c r="H508" s="54"/>
      <c r="I508" s="58"/>
      <c r="J508" s="102"/>
      <c r="K508" s="102"/>
      <c r="L508" s="107"/>
      <c r="M508" s="107"/>
      <c r="N508" s="102"/>
      <c r="O508" s="55"/>
      <c r="P508" s="167"/>
      <c r="Q508" s="165"/>
      <c r="R508" s="165"/>
    </row>
    <row r="509" spans="1:18" s="41" customFormat="1" ht="15" customHeight="1" x14ac:dyDescent="0.2">
      <c r="A509" s="50"/>
      <c r="B509" s="51"/>
      <c r="C509" s="59"/>
      <c r="D509" s="60"/>
      <c r="E509" s="60"/>
      <c r="F509" s="50"/>
      <c r="G509" s="50"/>
      <c r="H509" s="54"/>
      <c r="I509" s="58"/>
      <c r="J509" s="102"/>
      <c r="K509" s="102"/>
      <c r="L509" s="107"/>
      <c r="M509" s="107"/>
      <c r="N509" s="102"/>
      <c r="O509" s="55"/>
      <c r="P509" s="167"/>
      <c r="Q509" s="165"/>
      <c r="R509" s="165"/>
    </row>
    <row r="510" spans="1:18" s="41" customFormat="1" ht="15" customHeight="1" x14ac:dyDescent="0.2">
      <c r="A510" s="50"/>
      <c r="B510" s="51"/>
      <c r="C510" s="59"/>
      <c r="D510" s="60"/>
      <c r="E510" s="60"/>
      <c r="F510" s="50"/>
      <c r="G510" s="50"/>
      <c r="H510" s="54"/>
      <c r="I510" s="58"/>
      <c r="J510" s="102"/>
      <c r="K510" s="102"/>
      <c r="L510" s="107"/>
      <c r="M510" s="107"/>
      <c r="N510" s="102"/>
      <c r="O510" s="55"/>
      <c r="P510" s="167"/>
      <c r="Q510" s="165"/>
      <c r="R510" s="165"/>
    </row>
    <row r="511" spans="1:18" s="41" customFormat="1" ht="15" customHeight="1" x14ac:dyDescent="0.2">
      <c r="A511" s="50"/>
      <c r="B511" s="51"/>
      <c r="C511" s="59"/>
      <c r="D511" s="60"/>
      <c r="E511" s="60"/>
      <c r="F511" s="50"/>
      <c r="G511" s="61"/>
      <c r="H511" s="54"/>
      <c r="I511" s="58"/>
      <c r="J511" s="102"/>
      <c r="K511" s="102"/>
      <c r="L511" s="107"/>
      <c r="M511" s="107"/>
      <c r="N511" s="102"/>
      <c r="O511" s="55"/>
      <c r="P511" s="167"/>
      <c r="Q511" s="165"/>
      <c r="R511" s="165"/>
    </row>
    <row r="512" spans="1:18" s="41" customFormat="1" ht="15" customHeight="1" x14ac:dyDescent="0.2">
      <c r="A512" s="50"/>
      <c r="B512" s="51"/>
      <c r="C512" s="62"/>
      <c r="D512" s="60"/>
      <c r="E512" s="60"/>
      <c r="F512" s="50"/>
      <c r="G512" s="50"/>
      <c r="H512" s="54"/>
      <c r="I512" s="58"/>
      <c r="J512" s="102"/>
      <c r="K512" s="102"/>
      <c r="L512" s="107"/>
      <c r="M512" s="107"/>
      <c r="N512" s="102"/>
      <c r="O512" s="55"/>
      <c r="P512" s="167"/>
      <c r="Q512" s="165"/>
      <c r="R512" s="165"/>
    </row>
    <row r="513" spans="1:18" s="41" customFormat="1" ht="15" customHeight="1" x14ac:dyDescent="0.2">
      <c r="A513" s="50"/>
      <c r="B513" s="51"/>
      <c r="C513" s="59"/>
      <c r="D513" s="60"/>
      <c r="E513" s="60"/>
      <c r="F513" s="50"/>
      <c r="G513" s="50"/>
      <c r="H513" s="54"/>
      <c r="I513" s="58"/>
      <c r="J513" s="102"/>
      <c r="K513" s="102"/>
      <c r="L513" s="107"/>
      <c r="M513" s="107"/>
      <c r="N513" s="102"/>
      <c r="O513" s="55"/>
      <c r="P513" s="167"/>
      <c r="Q513" s="165"/>
      <c r="R513" s="165"/>
    </row>
    <row r="514" spans="1:18" s="41" customFormat="1" ht="15" customHeight="1" x14ac:dyDescent="0.2">
      <c r="A514" s="50"/>
      <c r="B514" s="51"/>
      <c r="C514" s="59"/>
      <c r="D514" s="60"/>
      <c r="E514" s="60"/>
      <c r="F514" s="50"/>
      <c r="G514" s="50"/>
      <c r="H514" s="54"/>
      <c r="I514" s="58"/>
      <c r="J514" s="102"/>
      <c r="K514" s="102"/>
      <c r="L514" s="107"/>
      <c r="M514" s="107"/>
      <c r="N514" s="102"/>
      <c r="O514" s="55"/>
      <c r="P514" s="167"/>
      <c r="Q514" s="165"/>
      <c r="R514" s="165"/>
    </row>
    <row r="515" spans="1:18" s="41" customFormat="1" ht="15" customHeight="1" x14ac:dyDescent="0.2">
      <c r="A515" s="50"/>
      <c r="B515" s="51"/>
      <c r="C515" s="59"/>
      <c r="D515" s="60"/>
      <c r="E515" s="60"/>
      <c r="F515" s="50"/>
      <c r="G515" s="50"/>
      <c r="H515" s="54"/>
      <c r="I515" s="58"/>
      <c r="J515" s="102"/>
      <c r="K515" s="102"/>
      <c r="L515" s="107"/>
      <c r="M515" s="107"/>
      <c r="N515" s="102"/>
      <c r="O515" s="55"/>
      <c r="P515" s="167"/>
      <c r="Q515" s="165"/>
      <c r="R515" s="165"/>
    </row>
    <row r="516" spans="1:18" s="41" customFormat="1" ht="15" customHeight="1" x14ac:dyDescent="0.2">
      <c r="A516" s="50"/>
      <c r="B516" s="51"/>
      <c r="C516" s="59"/>
      <c r="D516" s="60"/>
      <c r="E516" s="60"/>
      <c r="F516" s="50"/>
      <c r="G516" s="50"/>
      <c r="H516" s="54"/>
      <c r="I516" s="58"/>
      <c r="J516" s="102"/>
      <c r="K516" s="102"/>
      <c r="L516" s="107"/>
      <c r="M516" s="107"/>
      <c r="N516" s="102"/>
      <c r="O516" s="55"/>
      <c r="P516" s="167"/>
      <c r="Q516" s="165"/>
      <c r="R516" s="165"/>
    </row>
    <row r="517" spans="1:18" s="41" customFormat="1" ht="15" customHeight="1" x14ac:dyDescent="0.2">
      <c r="A517" s="50"/>
      <c r="B517" s="51"/>
      <c r="C517" s="59"/>
      <c r="D517" s="60"/>
      <c r="E517" s="60"/>
      <c r="F517" s="50"/>
      <c r="G517" s="50"/>
      <c r="H517" s="54"/>
      <c r="I517" s="58"/>
      <c r="J517" s="102"/>
      <c r="K517" s="102"/>
      <c r="L517" s="107"/>
      <c r="M517" s="107"/>
      <c r="N517" s="102"/>
      <c r="O517" s="55"/>
      <c r="P517" s="167"/>
      <c r="Q517" s="165"/>
      <c r="R517" s="165"/>
    </row>
    <row r="518" spans="1:18" s="41" customFormat="1" ht="15" customHeight="1" x14ac:dyDescent="0.2">
      <c r="A518" s="50"/>
      <c r="B518" s="51"/>
      <c r="C518" s="59"/>
      <c r="D518" s="60"/>
      <c r="E518" s="60"/>
      <c r="F518" s="50"/>
      <c r="G518" s="50"/>
      <c r="H518" s="54"/>
      <c r="I518" s="58"/>
      <c r="J518" s="102"/>
      <c r="K518" s="102"/>
      <c r="L518" s="107"/>
      <c r="M518" s="107"/>
      <c r="N518" s="102"/>
      <c r="O518" s="55"/>
      <c r="P518" s="167"/>
      <c r="Q518" s="165"/>
      <c r="R518" s="165"/>
    </row>
    <row r="519" spans="1:18" s="41" customFormat="1" ht="15" customHeight="1" x14ac:dyDescent="0.2">
      <c r="A519" s="50"/>
      <c r="B519" s="51"/>
      <c r="C519" s="59"/>
      <c r="D519" s="60"/>
      <c r="E519" s="60"/>
      <c r="F519" s="50"/>
      <c r="G519" s="50"/>
      <c r="H519" s="54"/>
      <c r="I519" s="58"/>
      <c r="J519" s="102"/>
      <c r="K519" s="102"/>
      <c r="L519" s="107"/>
      <c r="M519" s="107"/>
      <c r="N519" s="102"/>
      <c r="O519" s="55"/>
      <c r="P519" s="167"/>
      <c r="Q519" s="165"/>
      <c r="R519" s="165"/>
    </row>
    <row r="520" spans="1:18" s="41" customFormat="1" ht="15" customHeight="1" x14ac:dyDescent="0.2">
      <c r="A520" s="50"/>
      <c r="B520" s="51"/>
      <c r="C520" s="59"/>
      <c r="D520" s="60"/>
      <c r="E520" s="60"/>
      <c r="F520" s="50"/>
      <c r="G520" s="50"/>
      <c r="H520" s="54"/>
      <c r="I520" s="58"/>
      <c r="J520" s="102"/>
      <c r="K520" s="102"/>
      <c r="L520" s="107"/>
      <c r="M520" s="107"/>
      <c r="N520" s="102"/>
      <c r="O520" s="55"/>
      <c r="P520" s="167"/>
      <c r="Q520" s="165"/>
      <c r="R520" s="165"/>
    </row>
    <row r="521" spans="1:18" s="41" customFormat="1" ht="15" customHeight="1" x14ac:dyDescent="0.2">
      <c r="A521" s="50"/>
      <c r="B521" s="51"/>
      <c r="C521" s="59"/>
      <c r="D521" s="60"/>
      <c r="E521" s="60"/>
      <c r="F521" s="50"/>
      <c r="G521" s="50"/>
      <c r="H521" s="54"/>
      <c r="I521" s="58"/>
      <c r="J521" s="102"/>
      <c r="K521" s="102"/>
      <c r="L521" s="107"/>
      <c r="M521" s="107"/>
      <c r="N521" s="102"/>
      <c r="O521" s="55"/>
      <c r="P521" s="167"/>
      <c r="Q521" s="165"/>
      <c r="R521" s="165"/>
    </row>
    <row r="522" spans="1:18" s="41" customFormat="1" ht="15" customHeight="1" x14ac:dyDescent="0.2">
      <c r="A522" s="58"/>
      <c r="B522" s="637"/>
      <c r="C522" s="59"/>
      <c r="D522" s="63"/>
      <c r="E522" s="63"/>
      <c r="F522" s="50"/>
      <c r="G522" s="50"/>
      <c r="H522" s="54"/>
      <c r="I522" s="58"/>
      <c r="J522" s="102"/>
      <c r="K522" s="102"/>
      <c r="L522" s="107"/>
      <c r="M522" s="107"/>
      <c r="N522" s="102"/>
      <c r="O522" s="55"/>
      <c r="P522" s="167"/>
      <c r="Q522" s="165"/>
      <c r="R522" s="165"/>
    </row>
    <row r="523" spans="1:18" s="41" customFormat="1" ht="15" customHeight="1" x14ac:dyDescent="0.2">
      <c r="A523" s="50"/>
      <c r="B523" s="51"/>
      <c r="C523" s="59"/>
      <c r="D523" s="60"/>
      <c r="E523" s="60"/>
      <c r="F523" s="50"/>
      <c r="G523" s="50"/>
      <c r="H523" s="54"/>
      <c r="I523" s="58"/>
      <c r="J523" s="102"/>
      <c r="K523" s="102"/>
      <c r="L523" s="107"/>
      <c r="M523" s="107"/>
      <c r="N523" s="102"/>
      <c r="O523" s="55"/>
      <c r="P523" s="167"/>
      <c r="Q523" s="165"/>
      <c r="R523" s="165"/>
    </row>
    <row r="524" spans="1:18" s="41" customFormat="1" ht="15" customHeight="1" x14ac:dyDescent="0.2">
      <c r="A524" s="50"/>
      <c r="B524" s="51"/>
      <c r="C524" s="59"/>
      <c r="D524" s="60"/>
      <c r="E524" s="60"/>
      <c r="F524" s="50"/>
      <c r="G524" s="50"/>
      <c r="H524" s="54"/>
      <c r="I524" s="58"/>
      <c r="J524" s="102"/>
      <c r="K524" s="102"/>
      <c r="L524" s="107"/>
      <c r="M524" s="107"/>
      <c r="N524" s="102"/>
      <c r="O524" s="55"/>
      <c r="P524" s="167"/>
      <c r="Q524" s="165"/>
      <c r="R524" s="165"/>
    </row>
    <row r="525" spans="1:18" s="41" customFormat="1" ht="15" customHeight="1" x14ac:dyDescent="0.2">
      <c r="A525" s="50"/>
      <c r="B525" s="51"/>
      <c r="C525" s="59"/>
      <c r="D525" s="60"/>
      <c r="E525" s="60"/>
      <c r="F525" s="50"/>
      <c r="G525" s="50"/>
      <c r="H525" s="54"/>
      <c r="I525" s="58"/>
      <c r="J525" s="102"/>
      <c r="K525" s="102"/>
      <c r="L525" s="107"/>
      <c r="M525" s="107"/>
      <c r="N525" s="102"/>
      <c r="O525" s="55"/>
      <c r="P525" s="167"/>
      <c r="Q525" s="165"/>
      <c r="R525" s="165"/>
    </row>
    <row r="526" spans="1:18" s="41" customFormat="1" ht="15" customHeight="1" x14ac:dyDescent="0.2">
      <c r="A526" s="50"/>
      <c r="B526" s="51"/>
      <c r="C526" s="59"/>
      <c r="D526" s="60"/>
      <c r="E526" s="60"/>
      <c r="F526" s="50"/>
      <c r="G526" s="50"/>
      <c r="H526" s="54"/>
      <c r="I526" s="58"/>
      <c r="J526" s="102"/>
      <c r="K526" s="102"/>
      <c r="L526" s="107"/>
      <c r="M526" s="107"/>
      <c r="N526" s="102"/>
      <c r="O526" s="55"/>
      <c r="P526" s="167"/>
      <c r="Q526" s="165"/>
      <c r="R526" s="165"/>
    </row>
    <row r="527" spans="1:18" s="41" customFormat="1" ht="15" customHeight="1" x14ac:dyDescent="0.2">
      <c r="A527" s="50"/>
      <c r="B527" s="51"/>
      <c r="C527" s="59"/>
      <c r="D527" s="60"/>
      <c r="E527" s="60"/>
      <c r="F527" s="50"/>
      <c r="G527" s="50"/>
      <c r="H527" s="54"/>
      <c r="I527" s="58"/>
      <c r="J527" s="102"/>
      <c r="K527" s="102"/>
      <c r="L527" s="107"/>
      <c r="M527" s="107"/>
      <c r="N527" s="102"/>
      <c r="O527" s="55"/>
      <c r="P527" s="167"/>
      <c r="Q527" s="165"/>
      <c r="R527" s="165"/>
    </row>
    <row r="528" spans="1:18" s="41" customFormat="1" ht="15" customHeight="1" x14ac:dyDescent="0.2">
      <c r="A528" s="50"/>
      <c r="B528" s="51"/>
      <c r="C528" s="59"/>
      <c r="D528" s="60"/>
      <c r="E528" s="60"/>
      <c r="F528" s="50"/>
      <c r="G528" s="50"/>
      <c r="H528" s="54"/>
      <c r="I528" s="58"/>
      <c r="J528" s="102"/>
      <c r="K528" s="102"/>
      <c r="L528" s="107"/>
      <c r="M528" s="107"/>
      <c r="N528" s="102"/>
      <c r="O528" s="55"/>
      <c r="P528" s="167"/>
      <c r="Q528" s="165"/>
      <c r="R528" s="165"/>
    </row>
    <row r="529" spans="1:18" s="41" customFormat="1" ht="15" customHeight="1" x14ac:dyDescent="0.2">
      <c r="A529" s="58"/>
      <c r="B529" s="637"/>
      <c r="C529" s="59"/>
      <c r="D529" s="60"/>
      <c r="E529" s="60"/>
      <c r="F529" s="50"/>
      <c r="G529" s="50"/>
      <c r="H529" s="54"/>
      <c r="I529" s="58"/>
      <c r="J529" s="102"/>
      <c r="K529" s="102"/>
      <c r="L529" s="107"/>
      <c r="M529" s="107"/>
      <c r="N529" s="102"/>
      <c r="O529" s="55"/>
      <c r="P529" s="167"/>
      <c r="Q529" s="165"/>
      <c r="R529" s="165"/>
    </row>
    <row r="530" spans="1:18" s="41" customFormat="1" ht="15" customHeight="1" x14ac:dyDescent="0.2">
      <c r="A530" s="50"/>
      <c r="B530" s="51"/>
      <c r="C530" s="59"/>
      <c r="D530" s="60"/>
      <c r="E530" s="60"/>
      <c r="F530" s="50"/>
      <c r="G530" s="50"/>
      <c r="H530" s="54"/>
      <c r="I530" s="58"/>
      <c r="J530" s="102"/>
      <c r="K530" s="102"/>
      <c r="L530" s="107"/>
      <c r="M530" s="107"/>
      <c r="N530" s="102"/>
      <c r="O530" s="55"/>
      <c r="P530" s="167"/>
      <c r="Q530" s="165"/>
      <c r="R530" s="165"/>
    </row>
    <row r="531" spans="1:18" s="41" customFormat="1" ht="15" customHeight="1" x14ac:dyDescent="0.2">
      <c r="A531" s="50"/>
      <c r="B531" s="51"/>
      <c r="C531" s="59"/>
      <c r="D531" s="60"/>
      <c r="E531" s="60"/>
      <c r="F531" s="50"/>
      <c r="G531" s="50"/>
      <c r="H531" s="54"/>
      <c r="I531" s="58"/>
      <c r="J531" s="102"/>
      <c r="K531" s="102"/>
      <c r="L531" s="107"/>
      <c r="M531" s="107"/>
      <c r="N531" s="102"/>
      <c r="O531" s="55"/>
      <c r="P531" s="167"/>
      <c r="Q531" s="165"/>
      <c r="R531" s="165"/>
    </row>
    <row r="532" spans="1:18" s="41" customFormat="1" ht="15" customHeight="1" x14ac:dyDescent="0.2">
      <c r="A532" s="50"/>
      <c r="B532" s="51"/>
      <c r="C532" s="59"/>
      <c r="D532" s="60"/>
      <c r="E532" s="60"/>
      <c r="F532" s="50"/>
      <c r="G532" s="50"/>
      <c r="H532" s="54"/>
      <c r="I532" s="58"/>
      <c r="J532" s="102"/>
      <c r="K532" s="102"/>
      <c r="L532" s="107"/>
      <c r="M532" s="107"/>
      <c r="N532" s="102"/>
      <c r="O532" s="55"/>
      <c r="P532" s="167"/>
      <c r="Q532" s="165"/>
      <c r="R532" s="165"/>
    </row>
    <row r="533" spans="1:18" s="41" customFormat="1" ht="15" customHeight="1" x14ac:dyDescent="0.2">
      <c r="A533" s="50"/>
      <c r="B533" s="51"/>
      <c r="C533" s="59"/>
      <c r="D533" s="60"/>
      <c r="E533" s="60"/>
      <c r="F533" s="50"/>
      <c r="G533" s="50"/>
      <c r="H533" s="54"/>
      <c r="I533" s="58"/>
      <c r="J533" s="102"/>
      <c r="K533" s="102"/>
      <c r="L533" s="107"/>
      <c r="M533" s="107"/>
      <c r="N533" s="102"/>
      <c r="O533" s="55"/>
      <c r="P533" s="167"/>
      <c r="Q533" s="165"/>
      <c r="R533" s="165"/>
    </row>
    <row r="534" spans="1:18" s="41" customFormat="1" ht="15" customHeight="1" x14ac:dyDescent="0.2">
      <c r="A534" s="50"/>
      <c r="B534" s="51"/>
      <c r="C534" s="59"/>
      <c r="D534" s="60"/>
      <c r="E534" s="60"/>
      <c r="F534" s="53"/>
      <c r="G534" s="64"/>
      <c r="H534" s="54"/>
      <c r="I534" s="58"/>
      <c r="J534" s="102"/>
      <c r="K534" s="102"/>
      <c r="L534" s="107"/>
      <c r="M534" s="107"/>
      <c r="N534" s="102"/>
      <c r="O534" s="55"/>
      <c r="P534" s="167"/>
      <c r="Q534" s="165"/>
      <c r="R534" s="165"/>
    </row>
    <row r="535" spans="1:18" s="41" customFormat="1" ht="15" customHeight="1" x14ac:dyDescent="0.2">
      <c r="A535" s="50"/>
      <c r="B535" s="51"/>
      <c r="C535" s="59"/>
      <c r="D535" s="60"/>
      <c r="E535" s="60"/>
      <c r="F535" s="53"/>
      <c r="G535" s="64"/>
      <c r="H535" s="54"/>
      <c r="I535" s="58"/>
      <c r="J535" s="102"/>
      <c r="K535" s="102"/>
      <c r="L535" s="107"/>
      <c r="M535" s="107"/>
      <c r="N535" s="102"/>
      <c r="O535" s="55"/>
      <c r="P535" s="167"/>
      <c r="Q535" s="165"/>
      <c r="R535" s="165"/>
    </row>
    <row r="536" spans="1:18" s="41" customFormat="1" ht="15" customHeight="1" x14ac:dyDescent="0.2">
      <c r="A536" s="50"/>
      <c r="B536" s="51"/>
      <c r="C536" s="59"/>
      <c r="D536" s="60"/>
      <c r="E536" s="60"/>
      <c r="F536" s="50"/>
      <c r="G536" s="50"/>
      <c r="H536" s="54"/>
      <c r="I536" s="58"/>
      <c r="J536" s="102"/>
      <c r="K536" s="102"/>
      <c r="L536" s="107"/>
      <c r="M536" s="107"/>
      <c r="N536" s="102"/>
      <c r="O536" s="55"/>
      <c r="P536" s="167"/>
      <c r="Q536" s="165"/>
      <c r="R536" s="165"/>
    </row>
    <row r="537" spans="1:18" s="41" customFormat="1" ht="15" customHeight="1" x14ac:dyDescent="0.2">
      <c r="A537" s="50"/>
      <c r="B537" s="51"/>
      <c r="C537" s="59"/>
      <c r="D537" s="60"/>
      <c r="E537" s="60"/>
      <c r="F537" s="50"/>
      <c r="G537" s="50"/>
      <c r="H537" s="54"/>
      <c r="I537" s="58"/>
      <c r="J537" s="102"/>
      <c r="K537" s="102"/>
      <c r="L537" s="107"/>
      <c r="M537" s="107"/>
      <c r="N537" s="102"/>
      <c r="O537" s="55"/>
      <c r="P537" s="167"/>
      <c r="Q537" s="165"/>
      <c r="R537" s="165"/>
    </row>
    <row r="538" spans="1:18" s="41" customFormat="1" ht="15" customHeight="1" x14ac:dyDescent="0.2">
      <c r="A538" s="50"/>
      <c r="B538" s="51"/>
      <c r="C538" s="59"/>
      <c r="D538" s="60"/>
      <c r="E538" s="60"/>
      <c r="F538" s="50"/>
      <c r="G538" s="57"/>
      <c r="H538" s="54"/>
      <c r="I538" s="58"/>
      <c r="J538" s="102"/>
      <c r="K538" s="102"/>
      <c r="L538" s="107"/>
      <c r="M538" s="107"/>
      <c r="N538" s="102"/>
      <c r="O538" s="55"/>
      <c r="P538" s="167"/>
      <c r="Q538" s="165"/>
      <c r="R538" s="165"/>
    </row>
    <row r="539" spans="1:18" s="41" customFormat="1" ht="15" customHeight="1" x14ac:dyDescent="0.2">
      <c r="A539" s="50"/>
      <c r="B539" s="51"/>
      <c r="C539" s="59"/>
      <c r="D539" s="60"/>
      <c r="E539" s="60"/>
      <c r="F539" s="50"/>
      <c r="G539" s="50"/>
      <c r="H539" s="54"/>
      <c r="I539" s="58"/>
      <c r="J539" s="102"/>
      <c r="K539" s="102"/>
      <c r="L539" s="107"/>
      <c r="M539" s="107"/>
      <c r="N539" s="102"/>
      <c r="O539" s="55"/>
      <c r="P539" s="167"/>
      <c r="Q539" s="165"/>
      <c r="R539" s="165"/>
    </row>
    <row r="540" spans="1:18" s="41" customFormat="1" ht="15" customHeight="1" x14ac:dyDescent="0.2">
      <c r="A540" s="50"/>
      <c r="B540" s="51"/>
      <c r="C540" s="59"/>
      <c r="D540" s="60"/>
      <c r="E540" s="60"/>
      <c r="F540" s="50"/>
      <c r="G540" s="50"/>
      <c r="H540" s="54"/>
      <c r="I540" s="58"/>
      <c r="J540" s="102"/>
      <c r="K540" s="102"/>
      <c r="L540" s="107"/>
      <c r="M540" s="107"/>
      <c r="N540" s="102"/>
      <c r="O540" s="55"/>
      <c r="P540" s="167"/>
      <c r="Q540" s="165"/>
      <c r="R540" s="165"/>
    </row>
    <row r="541" spans="1:18" s="41" customFormat="1" ht="15" customHeight="1" x14ac:dyDescent="0.2">
      <c r="A541" s="50"/>
      <c r="B541" s="51"/>
      <c r="C541" s="59"/>
      <c r="D541" s="60"/>
      <c r="E541" s="60"/>
      <c r="F541" s="50"/>
      <c r="G541" s="50"/>
      <c r="H541" s="54"/>
      <c r="I541" s="58"/>
      <c r="J541" s="102"/>
      <c r="K541" s="102"/>
      <c r="L541" s="107"/>
      <c r="M541" s="107"/>
      <c r="N541" s="102"/>
      <c r="O541" s="55"/>
      <c r="P541" s="167"/>
      <c r="Q541" s="165"/>
      <c r="R541" s="165"/>
    </row>
    <row r="542" spans="1:18" s="41" customFormat="1" ht="15" customHeight="1" x14ac:dyDescent="0.2">
      <c r="A542" s="50"/>
      <c r="B542" s="51"/>
      <c r="C542" s="59"/>
      <c r="D542" s="60"/>
      <c r="E542" s="60"/>
      <c r="F542" s="50"/>
      <c r="G542" s="50"/>
      <c r="H542" s="54"/>
      <c r="I542" s="58"/>
      <c r="J542" s="102"/>
      <c r="K542" s="102"/>
      <c r="L542" s="107"/>
      <c r="M542" s="107"/>
      <c r="N542" s="102"/>
      <c r="O542" s="55"/>
      <c r="P542" s="167"/>
      <c r="Q542" s="165"/>
      <c r="R542" s="165"/>
    </row>
    <row r="543" spans="1:18" s="41" customFormat="1" ht="15" customHeight="1" x14ac:dyDescent="0.2">
      <c r="A543" s="50"/>
      <c r="B543" s="51"/>
      <c r="C543" s="59"/>
      <c r="D543" s="60"/>
      <c r="E543" s="60"/>
      <c r="F543" s="50"/>
      <c r="G543" s="50"/>
      <c r="H543" s="54"/>
      <c r="I543" s="58"/>
      <c r="J543" s="102"/>
      <c r="K543" s="102"/>
      <c r="L543" s="107"/>
      <c r="M543" s="107"/>
      <c r="N543" s="102"/>
      <c r="O543" s="55"/>
      <c r="P543" s="167"/>
      <c r="Q543" s="165"/>
      <c r="R543" s="165"/>
    </row>
    <row r="544" spans="1:18" s="41" customFormat="1" ht="15" customHeight="1" x14ac:dyDescent="0.2">
      <c r="A544" s="50"/>
      <c r="B544" s="51"/>
      <c r="C544" s="59"/>
      <c r="D544" s="60"/>
      <c r="E544" s="60"/>
      <c r="F544" s="50"/>
      <c r="G544" s="50"/>
      <c r="H544" s="54"/>
      <c r="I544" s="58"/>
      <c r="J544" s="102"/>
      <c r="K544" s="102"/>
      <c r="L544" s="107"/>
      <c r="M544" s="107"/>
      <c r="N544" s="102"/>
      <c r="O544" s="55"/>
      <c r="P544" s="167"/>
      <c r="Q544" s="165"/>
      <c r="R544" s="165"/>
    </row>
    <row r="545" spans="1:18" s="41" customFormat="1" ht="15" customHeight="1" x14ac:dyDescent="0.2">
      <c r="A545" s="50"/>
      <c r="B545" s="51"/>
      <c r="C545" s="59"/>
      <c r="D545" s="60"/>
      <c r="E545" s="60"/>
      <c r="F545" s="50"/>
      <c r="G545" s="50"/>
      <c r="H545" s="54"/>
      <c r="I545" s="58"/>
      <c r="J545" s="102"/>
      <c r="K545" s="102"/>
      <c r="L545" s="107"/>
      <c r="M545" s="107"/>
      <c r="N545" s="102"/>
      <c r="O545" s="55"/>
      <c r="P545" s="167"/>
      <c r="Q545" s="165"/>
      <c r="R545" s="165"/>
    </row>
    <row r="546" spans="1:18" s="41" customFormat="1" ht="15" customHeight="1" x14ac:dyDescent="0.2">
      <c r="A546" s="50"/>
      <c r="B546" s="51"/>
      <c r="C546" s="59"/>
      <c r="D546" s="60"/>
      <c r="E546" s="60"/>
      <c r="F546" s="50"/>
      <c r="G546" s="50"/>
      <c r="H546" s="54"/>
      <c r="I546" s="58"/>
      <c r="J546" s="102"/>
      <c r="K546" s="102"/>
      <c r="L546" s="107"/>
      <c r="M546" s="107"/>
      <c r="N546" s="102"/>
      <c r="O546" s="55"/>
      <c r="P546" s="167"/>
      <c r="Q546" s="165"/>
      <c r="R546" s="165"/>
    </row>
    <row r="547" spans="1:18" s="41" customFormat="1" ht="15" customHeight="1" x14ac:dyDescent="0.2">
      <c r="A547" s="50"/>
      <c r="B547" s="51"/>
      <c r="C547" s="59"/>
      <c r="D547" s="60"/>
      <c r="E547" s="60"/>
      <c r="F547" s="50"/>
      <c r="G547" s="50"/>
      <c r="H547" s="54"/>
      <c r="I547" s="58"/>
      <c r="J547" s="102"/>
      <c r="K547" s="102"/>
      <c r="L547" s="107"/>
      <c r="M547" s="107"/>
      <c r="N547" s="102"/>
      <c r="O547" s="55"/>
      <c r="P547" s="167"/>
      <c r="Q547" s="165"/>
      <c r="R547" s="165"/>
    </row>
    <row r="548" spans="1:18" s="41" customFormat="1" ht="15" customHeight="1" x14ac:dyDescent="0.2">
      <c r="A548" s="50"/>
      <c r="B548" s="51"/>
      <c r="C548" s="59"/>
      <c r="D548" s="60"/>
      <c r="E548" s="60"/>
      <c r="F548" s="50"/>
      <c r="G548" s="50"/>
      <c r="H548" s="54"/>
      <c r="I548" s="58"/>
      <c r="J548" s="102"/>
      <c r="K548" s="102"/>
      <c r="L548" s="107"/>
      <c r="M548" s="107"/>
      <c r="N548" s="102"/>
      <c r="O548" s="55"/>
      <c r="P548" s="167"/>
      <c r="Q548" s="165"/>
      <c r="R548" s="165"/>
    </row>
    <row r="549" spans="1:18" s="41" customFormat="1" ht="15" customHeight="1" x14ac:dyDescent="0.2">
      <c r="A549" s="50"/>
      <c r="B549" s="51"/>
      <c r="C549" s="59"/>
      <c r="D549" s="60"/>
      <c r="E549" s="60"/>
      <c r="F549" s="50"/>
      <c r="G549" s="50"/>
      <c r="H549" s="54"/>
      <c r="I549" s="58"/>
      <c r="J549" s="102"/>
      <c r="K549" s="102"/>
      <c r="L549" s="107"/>
      <c r="M549" s="107"/>
      <c r="N549" s="102"/>
      <c r="O549" s="55"/>
      <c r="P549" s="167"/>
      <c r="Q549" s="165"/>
      <c r="R549" s="165"/>
    </row>
    <row r="550" spans="1:18" s="41" customFormat="1" ht="15" customHeight="1" x14ac:dyDescent="0.2">
      <c r="A550" s="50"/>
      <c r="B550" s="51"/>
      <c r="C550" s="59"/>
      <c r="D550" s="60"/>
      <c r="E550" s="60"/>
      <c r="F550" s="50"/>
      <c r="G550" s="50"/>
      <c r="H550" s="54"/>
      <c r="I550" s="58"/>
      <c r="J550" s="102"/>
      <c r="K550" s="102"/>
      <c r="L550" s="107"/>
      <c r="M550" s="107"/>
      <c r="N550" s="102"/>
      <c r="O550" s="55"/>
      <c r="P550" s="167"/>
      <c r="Q550" s="165"/>
      <c r="R550" s="165"/>
    </row>
    <row r="551" spans="1:18" s="41" customFormat="1" ht="15" customHeight="1" x14ac:dyDescent="0.2">
      <c r="A551" s="50"/>
      <c r="B551" s="51"/>
      <c r="C551" s="59"/>
      <c r="D551" s="60"/>
      <c r="E551" s="60"/>
      <c r="F551" s="50"/>
      <c r="G551" s="50"/>
      <c r="H551" s="54"/>
      <c r="I551" s="58"/>
      <c r="J551" s="102"/>
      <c r="K551" s="102"/>
      <c r="L551" s="107"/>
      <c r="M551" s="107"/>
      <c r="N551" s="102"/>
      <c r="O551" s="55"/>
      <c r="P551" s="167"/>
      <c r="Q551" s="165"/>
      <c r="R551" s="165"/>
    </row>
    <row r="552" spans="1:18" s="41" customFormat="1" ht="15" customHeight="1" x14ac:dyDescent="0.2">
      <c r="A552" s="50"/>
      <c r="B552" s="51"/>
      <c r="C552" s="59"/>
      <c r="D552" s="60"/>
      <c r="E552" s="60"/>
      <c r="F552" s="50"/>
      <c r="G552" s="50"/>
      <c r="H552" s="54"/>
      <c r="I552" s="58"/>
      <c r="J552" s="102"/>
      <c r="K552" s="102"/>
      <c r="L552" s="107"/>
      <c r="M552" s="107"/>
      <c r="N552" s="102"/>
      <c r="O552" s="55"/>
      <c r="P552" s="167"/>
      <c r="Q552" s="165"/>
      <c r="R552" s="165"/>
    </row>
    <row r="553" spans="1:18" s="41" customFormat="1" ht="15" customHeight="1" x14ac:dyDescent="0.2">
      <c r="A553" s="50"/>
      <c r="B553" s="51"/>
      <c r="C553" s="59"/>
      <c r="D553" s="60"/>
      <c r="E553" s="60"/>
      <c r="F553" s="50"/>
      <c r="G553" s="50"/>
      <c r="H553" s="54"/>
      <c r="I553" s="58"/>
      <c r="J553" s="102"/>
      <c r="K553" s="102"/>
      <c r="L553" s="107"/>
      <c r="M553" s="107"/>
      <c r="N553" s="102"/>
      <c r="O553" s="55"/>
      <c r="P553" s="167"/>
      <c r="Q553" s="165"/>
      <c r="R553" s="165"/>
    </row>
    <row r="554" spans="1:18" s="41" customFormat="1" ht="15" customHeight="1" x14ac:dyDescent="0.2">
      <c r="A554" s="50"/>
      <c r="B554" s="51"/>
      <c r="C554" s="59"/>
      <c r="D554" s="60"/>
      <c r="E554" s="60"/>
      <c r="F554" s="50"/>
      <c r="G554" s="50"/>
      <c r="H554" s="54"/>
      <c r="I554" s="58"/>
      <c r="J554" s="102"/>
      <c r="K554" s="102"/>
      <c r="L554" s="107"/>
      <c r="M554" s="107"/>
      <c r="N554" s="102"/>
      <c r="O554" s="55"/>
      <c r="P554" s="167"/>
      <c r="Q554" s="165"/>
      <c r="R554" s="165"/>
    </row>
    <row r="555" spans="1:18" s="41" customFormat="1" ht="15" customHeight="1" x14ac:dyDescent="0.2">
      <c r="A555" s="50"/>
      <c r="B555" s="51"/>
      <c r="C555" s="59"/>
      <c r="D555" s="63"/>
      <c r="E555" s="63"/>
      <c r="F555" s="50"/>
      <c r="G555" s="50"/>
      <c r="H555" s="54"/>
      <c r="I555" s="58"/>
      <c r="J555" s="102"/>
      <c r="K555" s="102"/>
      <c r="L555" s="107"/>
      <c r="M555" s="107"/>
      <c r="N555" s="102"/>
      <c r="O555" s="55"/>
      <c r="P555" s="167"/>
      <c r="Q555" s="165"/>
      <c r="R555" s="165"/>
    </row>
    <row r="556" spans="1:18" s="41" customFormat="1" ht="15" customHeight="1" x14ac:dyDescent="0.2">
      <c r="A556" s="50"/>
      <c r="B556" s="51"/>
      <c r="C556" s="59"/>
      <c r="D556" s="60"/>
      <c r="E556" s="60"/>
      <c r="F556" s="50"/>
      <c r="G556" s="50"/>
      <c r="H556" s="54"/>
      <c r="I556" s="58"/>
      <c r="J556" s="102"/>
      <c r="K556" s="102"/>
      <c r="L556" s="107"/>
      <c r="M556" s="107"/>
      <c r="N556" s="102"/>
      <c r="O556" s="55"/>
      <c r="P556" s="167"/>
      <c r="Q556" s="165"/>
      <c r="R556" s="165"/>
    </row>
    <row r="557" spans="1:18" s="41" customFormat="1" ht="15" customHeight="1" x14ac:dyDescent="0.2">
      <c r="A557" s="50"/>
      <c r="B557" s="51"/>
      <c r="C557" s="59"/>
      <c r="D557" s="60"/>
      <c r="E557" s="60"/>
      <c r="F557" s="50"/>
      <c r="G557" s="50"/>
      <c r="H557" s="54"/>
      <c r="I557" s="58"/>
      <c r="J557" s="102"/>
      <c r="K557" s="102"/>
      <c r="L557" s="107"/>
      <c r="M557" s="107"/>
      <c r="N557" s="102"/>
      <c r="O557" s="55"/>
      <c r="P557" s="167"/>
      <c r="Q557" s="165"/>
      <c r="R557" s="165"/>
    </row>
    <row r="558" spans="1:18" s="41" customFormat="1" ht="15" customHeight="1" x14ac:dyDescent="0.2">
      <c r="A558" s="50"/>
      <c r="B558" s="51"/>
      <c r="C558" s="59"/>
      <c r="D558" s="60"/>
      <c r="E558" s="60"/>
      <c r="F558" s="50"/>
      <c r="G558" s="50"/>
      <c r="H558" s="54"/>
      <c r="I558" s="58"/>
      <c r="J558" s="102"/>
      <c r="K558" s="102"/>
      <c r="L558" s="107"/>
      <c r="M558" s="107"/>
      <c r="N558" s="102"/>
      <c r="O558" s="55"/>
      <c r="P558" s="167"/>
      <c r="Q558" s="165"/>
      <c r="R558" s="165"/>
    </row>
    <row r="559" spans="1:18" s="41" customFormat="1" ht="15" customHeight="1" x14ac:dyDescent="0.2">
      <c r="A559" s="50"/>
      <c r="B559" s="51"/>
      <c r="C559" s="59"/>
      <c r="D559" s="60"/>
      <c r="E559" s="60"/>
      <c r="F559" s="50"/>
      <c r="G559" s="50"/>
      <c r="H559" s="54"/>
      <c r="I559" s="58"/>
      <c r="J559" s="102"/>
      <c r="K559" s="102"/>
      <c r="L559" s="107"/>
      <c r="M559" s="107"/>
      <c r="N559" s="102"/>
      <c r="O559" s="55"/>
      <c r="P559" s="167"/>
      <c r="Q559" s="165"/>
      <c r="R559" s="165"/>
    </row>
    <row r="560" spans="1:18" s="41" customFormat="1" ht="15" customHeight="1" x14ac:dyDescent="0.2">
      <c r="A560" s="50"/>
      <c r="B560" s="51"/>
      <c r="C560" s="59"/>
      <c r="D560" s="60"/>
      <c r="E560" s="60"/>
      <c r="F560" s="50"/>
      <c r="G560" s="50"/>
      <c r="H560" s="54"/>
      <c r="I560" s="58"/>
      <c r="J560" s="102"/>
      <c r="K560" s="102"/>
      <c r="L560" s="107"/>
      <c r="M560" s="107"/>
      <c r="N560" s="102"/>
      <c r="O560" s="55"/>
      <c r="P560" s="167"/>
      <c r="Q560" s="165"/>
      <c r="R560" s="165"/>
    </row>
    <row r="561" spans="1:18" s="41" customFormat="1" ht="15" customHeight="1" x14ac:dyDescent="0.2">
      <c r="A561" s="50"/>
      <c r="B561" s="51"/>
      <c r="C561" s="59"/>
      <c r="D561" s="60"/>
      <c r="E561" s="60"/>
      <c r="F561" s="50"/>
      <c r="G561" s="50"/>
      <c r="H561" s="54"/>
      <c r="I561" s="58"/>
      <c r="J561" s="102"/>
      <c r="K561" s="102"/>
      <c r="L561" s="107"/>
      <c r="M561" s="107"/>
      <c r="N561" s="102"/>
      <c r="O561" s="55"/>
      <c r="P561" s="167"/>
      <c r="Q561" s="165"/>
      <c r="R561" s="165"/>
    </row>
    <row r="562" spans="1:18" s="41" customFormat="1" ht="15" customHeight="1" x14ac:dyDescent="0.2">
      <c r="A562" s="50"/>
      <c r="B562" s="51"/>
      <c r="C562" s="59"/>
      <c r="D562" s="60"/>
      <c r="E562" s="60"/>
      <c r="F562" s="50"/>
      <c r="G562" s="50"/>
      <c r="H562" s="54"/>
      <c r="I562" s="58"/>
      <c r="J562" s="102"/>
      <c r="K562" s="102"/>
      <c r="L562" s="107"/>
      <c r="M562" s="107"/>
      <c r="N562" s="102"/>
      <c r="O562" s="55"/>
      <c r="P562" s="167"/>
      <c r="Q562" s="165"/>
      <c r="R562" s="165"/>
    </row>
    <row r="563" spans="1:18" s="41" customFormat="1" ht="15" customHeight="1" x14ac:dyDescent="0.2">
      <c r="A563" s="50"/>
      <c r="B563" s="51"/>
      <c r="C563" s="59"/>
      <c r="D563" s="60"/>
      <c r="E563" s="60"/>
      <c r="F563" s="50"/>
      <c r="G563" s="50"/>
      <c r="H563" s="54"/>
      <c r="I563" s="58"/>
      <c r="J563" s="102"/>
      <c r="K563" s="102"/>
      <c r="L563" s="107"/>
      <c r="M563" s="107"/>
      <c r="N563" s="102"/>
      <c r="O563" s="55"/>
      <c r="P563" s="167"/>
      <c r="Q563" s="165"/>
      <c r="R563" s="165"/>
    </row>
    <row r="564" spans="1:18" s="41" customFormat="1" ht="15" customHeight="1" x14ac:dyDescent="0.2">
      <c r="A564" s="50"/>
      <c r="B564" s="51"/>
      <c r="C564" s="59"/>
      <c r="D564" s="60"/>
      <c r="E564" s="60"/>
      <c r="F564" s="50"/>
      <c r="G564" s="50"/>
      <c r="H564" s="54"/>
      <c r="I564" s="58"/>
      <c r="J564" s="102"/>
      <c r="K564" s="102"/>
      <c r="L564" s="107"/>
      <c r="M564" s="107"/>
      <c r="N564" s="102"/>
      <c r="O564" s="55"/>
      <c r="P564" s="167"/>
      <c r="Q564" s="165"/>
      <c r="R564" s="165"/>
    </row>
    <row r="565" spans="1:18" s="41" customFormat="1" ht="15" customHeight="1" x14ac:dyDescent="0.2">
      <c r="A565" s="50"/>
      <c r="B565" s="51"/>
      <c r="C565" s="59"/>
      <c r="D565" s="60"/>
      <c r="E565" s="60"/>
      <c r="F565" s="50"/>
      <c r="G565" s="50"/>
      <c r="H565" s="54"/>
      <c r="I565" s="58"/>
      <c r="J565" s="102"/>
      <c r="K565" s="102"/>
      <c r="L565" s="107"/>
      <c r="M565" s="107"/>
      <c r="N565" s="102"/>
      <c r="O565" s="55"/>
      <c r="P565" s="167"/>
      <c r="Q565" s="165"/>
      <c r="R565" s="165"/>
    </row>
    <row r="566" spans="1:18" s="41" customFormat="1" ht="15" customHeight="1" x14ac:dyDescent="0.2">
      <c r="A566" s="50"/>
      <c r="B566" s="51"/>
      <c r="C566" s="59"/>
      <c r="D566" s="60"/>
      <c r="E566" s="60"/>
      <c r="F566" s="50"/>
      <c r="G566" s="50"/>
      <c r="H566" s="54"/>
      <c r="I566" s="58"/>
      <c r="J566" s="102"/>
      <c r="K566" s="102"/>
      <c r="L566" s="107"/>
      <c r="M566" s="107"/>
      <c r="N566" s="102"/>
      <c r="O566" s="55"/>
      <c r="P566" s="167"/>
      <c r="Q566" s="165"/>
      <c r="R566" s="165"/>
    </row>
    <row r="567" spans="1:18" s="41" customFormat="1" ht="15" customHeight="1" x14ac:dyDescent="0.2">
      <c r="A567" s="50"/>
      <c r="B567" s="51"/>
      <c r="C567" s="59"/>
      <c r="D567" s="60"/>
      <c r="E567" s="60"/>
      <c r="F567" s="50"/>
      <c r="G567" s="50"/>
      <c r="H567" s="54"/>
      <c r="I567" s="58"/>
      <c r="J567" s="102"/>
      <c r="K567" s="102"/>
      <c r="L567" s="107"/>
      <c r="M567" s="107"/>
      <c r="N567" s="102"/>
      <c r="O567" s="55"/>
      <c r="P567" s="167"/>
      <c r="Q567" s="165"/>
      <c r="R567" s="165"/>
    </row>
    <row r="568" spans="1:18" s="41" customFormat="1" ht="15" customHeight="1" x14ac:dyDescent="0.2">
      <c r="A568" s="50"/>
      <c r="B568" s="51"/>
      <c r="C568" s="59"/>
      <c r="D568" s="60"/>
      <c r="E568" s="60"/>
      <c r="F568" s="50"/>
      <c r="G568" s="50"/>
      <c r="H568" s="54"/>
      <c r="I568" s="58"/>
      <c r="J568" s="102"/>
      <c r="K568" s="102"/>
      <c r="L568" s="107"/>
      <c r="M568" s="107"/>
      <c r="N568" s="102"/>
      <c r="O568" s="55"/>
      <c r="P568" s="167"/>
      <c r="Q568" s="165"/>
      <c r="R568" s="165"/>
    </row>
    <row r="569" spans="1:18" s="41" customFormat="1" ht="15" customHeight="1" x14ac:dyDescent="0.2">
      <c r="A569" s="50"/>
      <c r="B569" s="51"/>
      <c r="C569" s="59"/>
      <c r="D569" s="60"/>
      <c r="E569" s="60"/>
      <c r="F569" s="50"/>
      <c r="G569" s="50"/>
      <c r="H569" s="54"/>
      <c r="I569" s="58"/>
      <c r="J569" s="102"/>
      <c r="K569" s="102"/>
      <c r="L569" s="107"/>
      <c r="M569" s="107"/>
      <c r="N569" s="102"/>
      <c r="O569" s="55"/>
      <c r="P569" s="167"/>
      <c r="Q569" s="165"/>
      <c r="R569" s="165"/>
    </row>
    <row r="570" spans="1:18" s="41" customFormat="1" ht="15" customHeight="1" x14ac:dyDescent="0.2">
      <c r="A570" s="50"/>
      <c r="B570" s="51"/>
      <c r="C570" s="59"/>
      <c r="D570" s="60"/>
      <c r="E570" s="60"/>
      <c r="F570" s="50"/>
      <c r="G570" s="50"/>
      <c r="H570" s="54"/>
      <c r="I570" s="58"/>
      <c r="J570" s="102"/>
      <c r="K570" s="102"/>
      <c r="L570" s="107"/>
      <c r="M570" s="107"/>
      <c r="N570" s="102"/>
      <c r="O570" s="55"/>
      <c r="P570" s="167"/>
      <c r="Q570" s="165"/>
      <c r="R570" s="165"/>
    </row>
    <row r="571" spans="1:18" s="41" customFormat="1" ht="15" customHeight="1" x14ac:dyDescent="0.2">
      <c r="A571" s="50"/>
      <c r="B571" s="51"/>
      <c r="C571" s="59"/>
      <c r="D571" s="60"/>
      <c r="E571" s="60"/>
      <c r="F571" s="50"/>
      <c r="G571" s="50"/>
      <c r="H571" s="54"/>
      <c r="I571" s="58"/>
      <c r="J571" s="102"/>
      <c r="K571" s="102"/>
      <c r="L571" s="107"/>
      <c r="M571" s="107"/>
      <c r="N571" s="102"/>
      <c r="O571" s="55"/>
      <c r="P571" s="167"/>
      <c r="Q571" s="165"/>
      <c r="R571" s="165"/>
    </row>
    <row r="572" spans="1:18" s="47" customFormat="1" ht="15" customHeight="1" x14ac:dyDescent="0.2">
      <c r="A572" s="50"/>
      <c r="B572" s="51"/>
      <c r="C572" s="62"/>
      <c r="D572" s="60"/>
      <c r="E572" s="60"/>
      <c r="F572" s="50"/>
      <c r="G572" s="50"/>
      <c r="H572" s="54"/>
      <c r="I572" s="58"/>
      <c r="J572" s="102"/>
      <c r="K572" s="102"/>
      <c r="L572" s="107"/>
      <c r="M572" s="107"/>
      <c r="N572" s="103"/>
      <c r="O572" s="66"/>
      <c r="P572" s="213"/>
      <c r="Q572" s="166"/>
      <c r="R572" s="166"/>
    </row>
    <row r="573" spans="1:18" s="41" customFormat="1" ht="15" customHeight="1" x14ac:dyDescent="0.2">
      <c r="A573" s="68"/>
      <c r="B573" s="636"/>
      <c r="C573" s="59"/>
      <c r="D573" s="60"/>
      <c r="E573" s="60"/>
      <c r="F573" s="50"/>
      <c r="G573" s="50"/>
      <c r="H573" s="54"/>
      <c r="I573" s="58"/>
      <c r="J573" s="102"/>
      <c r="K573" s="102"/>
      <c r="L573" s="107"/>
      <c r="M573" s="107"/>
      <c r="N573" s="102"/>
      <c r="O573" s="55"/>
      <c r="P573" s="167"/>
      <c r="Q573" s="165"/>
      <c r="R573" s="165"/>
    </row>
    <row r="574" spans="1:18" s="41" customFormat="1" ht="15" customHeight="1" x14ac:dyDescent="0.2">
      <c r="A574" s="50"/>
      <c r="B574" s="51"/>
      <c r="C574" s="59"/>
      <c r="D574" s="60"/>
      <c r="E574" s="60"/>
      <c r="F574" s="50"/>
      <c r="G574" s="50"/>
      <c r="H574" s="54"/>
      <c r="I574" s="58"/>
      <c r="J574" s="102"/>
      <c r="K574" s="102"/>
      <c r="L574" s="107"/>
      <c r="M574" s="107"/>
      <c r="N574" s="102"/>
      <c r="O574" s="55"/>
      <c r="P574" s="167"/>
      <c r="Q574" s="165"/>
      <c r="R574" s="165"/>
    </row>
    <row r="575" spans="1:18" s="41" customFormat="1" ht="15" customHeight="1" x14ac:dyDescent="0.2">
      <c r="A575" s="50"/>
      <c r="B575" s="51"/>
      <c r="C575" s="59"/>
      <c r="D575" s="60"/>
      <c r="E575" s="60"/>
      <c r="F575" s="50"/>
      <c r="G575" s="50"/>
      <c r="H575" s="54"/>
      <c r="I575" s="58"/>
      <c r="J575" s="102"/>
      <c r="K575" s="102"/>
      <c r="L575" s="107"/>
      <c r="M575" s="107"/>
      <c r="N575" s="102"/>
      <c r="O575" s="55"/>
      <c r="P575" s="167"/>
      <c r="Q575" s="165"/>
      <c r="R575" s="165"/>
    </row>
    <row r="576" spans="1:18" s="41" customFormat="1" ht="15" customHeight="1" x14ac:dyDescent="0.2">
      <c r="A576" s="50"/>
      <c r="B576" s="51"/>
      <c r="C576" s="59"/>
      <c r="D576" s="60"/>
      <c r="E576" s="60"/>
      <c r="F576" s="50"/>
      <c r="G576" s="50"/>
      <c r="H576" s="54"/>
      <c r="I576" s="58"/>
      <c r="J576" s="102"/>
      <c r="K576" s="102"/>
      <c r="L576" s="107"/>
      <c r="M576" s="107"/>
      <c r="N576" s="102"/>
      <c r="O576" s="55"/>
      <c r="P576" s="167"/>
      <c r="Q576" s="165"/>
      <c r="R576" s="165"/>
    </row>
    <row r="577" spans="1:18" s="41" customFormat="1" ht="15" customHeight="1" x14ac:dyDescent="0.2">
      <c r="A577" s="50"/>
      <c r="B577" s="51"/>
      <c r="C577" s="59"/>
      <c r="D577" s="60"/>
      <c r="E577" s="60"/>
      <c r="F577" s="50"/>
      <c r="G577" s="50"/>
      <c r="H577" s="54"/>
      <c r="I577" s="58"/>
      <c r="J577" s="102"/>
      <c r="K577" s="102"/>
      <c r="L577" s="107"/>
      <c r="M577" s="107"/>
      <c r="N577" s="102"/>
      <c r="O577" s="55"/>
      <c r="P577" s="167"/>
      <c r="Q577" s="165"/>
      <c r="R577" s="165"/>
    </row>
    <row r="578" spans="1:18" s="41" customFormat="1" ht="15" customHeight="1" x14ac:dyDescent="0.2">
      <c r="A578" s="50"/>
      <c r="B578" s="51"/>
      <c r="C578" s="59"/>
      <c r="D578" s="60"/>
      <c r="E578" s="60"/>
      <c r="F578" s="50"/>
      <c r="G578" s="50"/>
      <c r="H578" s="54"/>
      <c r="I578" s="58"/>
      <c r="J578" s="102"/>
      <c r="K578" s="102"/>
      <c r="L578" s="107"/>
      <c r="M578" s="107"/>
      <c r="N578" s="102"/>
      <c r="O578" s="55"/>
      <c r="P578" s="167"/>
      <c r="Q578" s="165"/>
      <c r="R578" s="165"/>
    </row>
    <row r="579" spans="1:18" s="41" customFormat="1" ht="15" customHeight="1" x14ac:dyDescent="0.2">
      <c r="A579" s="50"/>
      <c r="B579" s="51"/>
      <c r="C579" s="59"/>
      <c r="D579" s="60"/>
      <c r="E579" s="60"/>
      <c r="F579" s="50"/>
      <c r="G579" s="50"/>
      <c r="H579" s="54"/>
      <c r="I579" s="58"/>
      <c r="J579" s="102"/>
      <c r="K579" s="102"/>
      <c r="L579" s="107"/>
      <c r="M579" s="107"/>
      <c r="N579" s="102"/>
      <c r="O579" s="55"/>
      <c r="P579" s="167"/>
      <c r="Q579" s="165"/>
      <c r="R579" s="165"/>
    </row>
    <row r="580" spans="1:18" s="41" customFormat="1" ht="15" customHeight="1" x14ac:dyDescent="0.2">
      <c r="A580" s="50"/>
      <c r="B580" s="51"/>
      <c r="C580" s="59"/>
      <c r="D580" s="60"/>
      <c r="E580" s="60"/>
      <c r="F580" s="50"/>
      <c r="G580" s="50"/>
      <c r="H580" s="54"/>
      <c r="I580" s="58"/>
      <c r="J580" s="102"/>
      <c r="K580" s="102"/>
      <c r="L580" s="107"/>
      <c r="M580" s="107"/>
      <c r="N580" s="102"/>
      <c r="O580" s="55"/>
      <c r="P580" s="167"/>
      <c r="Q580" s="165"/>
      <c r="R580" s="165"/>
    </row>
    <row r="581" spans="1:18" s="41" customFormat="1" ht="15" customHeight="1" x14ac:dyDescent="0.2">
      <c r="A581" s="50"/>
      <c r="B581" s="51"/>
      <c r="C581" s="59"/>
      <c r="D581" s="60"/>
      <c r="E581" s="60"/>
      <c r="F581" s="50"/>
      <c r="G581" s="50"/>
      <c r="H581" s="54"/>
      <c r="I581" s="58"/>
      <c r="J581" s="102"/>
      <c r="K581" s="102"/>
      <c r="L581" s="107"/>
      <c r="M581" s="107"/>
      <c r="N581" s="102"/>
      <c r="O581" s="55"/>
      <c r="P581" s="167"/>
      <c r="Q581" s="165"/>
      <c r="R581" s="165"/>
    </row>
    <row r="582" spans="1:18" s="41" customFormat="1" ht="15" customHeight="1" x14ac:dyDescent="0.2">
      <c r="A582" s="50"/>
      <c r="B582" s="51"/>
      <c r="C582" s="59"/>
      <c r="D582" s="60"/>
      <c r="E582" s="60"/>
      <c r="F582" s="50"/>
      <c r="G582" s="50"/>
      <c r="H582" s="54"/>
      <c r="I582" s="58"/>
      <c r="J582" s="102"/>
      <c r="K582" s="102"/>
      <c r="L582" s="107"/>
      <c r="M582" s="107"/>
      <c r="N582" s="102"/>
      <c r="O582" s="55"/>
      <c r="P582" s="167"/>
      <c r="Q582" s="165"/>
      <c r="R582" s="165"/>
    </row>
    <row r="583" spans="1:18" s="41" customFormat="1" ht="15" customHeight="1" x14ac:dyDescent="0.2">
      <c r="A583" s="50"/>
      <c r="B583" s="51"/>
      <c r="C583" s="59"/>
      <c r="D583" s="63"/>
      <c r="E583" s="63"/>
      <c r="F583" s="50"/>
      <c r="G583" s="50"/>
      <c r="H583" s="54"/>
      <c r="I583" s="58"/>
      <c r="J583" s="102"/>
      <c r="K583" s="102"/>
      <c r="L583" s="107"/>
      <c r="M583" s="107"/>
      <c r="N583" s="102"/>
      <c r="O583" s="55"/>
      <c r="P583" s="167"/>
      <c r="Q583" s="165"/>
      <c r="R583" s="165"/>
    </row>
    <row r="584" spans="1:18" s="41" customFormat="1" ht="15" customHeight="1" x14ac:dyDescent="0.2">
      <c r="A584" s="50"/>
      <c r="B584" s="51"/>
      <c r="C584" s="59"/>
      <c r="D584" s="60"/>
      <c r="E584" s="60"/>
      <c r="F584" s="50"/>
      <c r="G584" s="50"/>
      <c r="H584" s="54"/>
      <c r="I584" s="58"/>
      <c r="J584" s="102"/>
      <c r="K584" s="102"/>
      <c r="L584" s="107"/>
      <c r="M584" s="107"/>
      <c r="N584" s="102"/>
      <c r="O584" s="55"/>
      <c r="P584" s="167"/>
      <c r="Q584" s="165"/>
      <c r="R584" s="165"/>
    </row>
    <row r="585" spans="1:18" s="41" customFormat="1" ht="15" customHeight="1" x14ac:dyDescent="0.2">
      <c r="A585" s="50"/>
      <c r="B585" s="51"/>
      <c r="C585" s="59"/>
      <c r="D585" s="60"/>
      <c r="E585" s="60"/>
      <c r="F585" s="50"/>
      <c r="G585" s="50"/>
      <c r="H585" s="54"/>
      <c r="I585" s="58"/>
      <c r="J585" s="102"/>
      <c r="K585" s="102"/>
      <c r="L585" s="107"/>
      <c r="M585" s="107"/>
      <c r="N585" s="102"/>
      <c r="O585" s="55"/>
      <c r="P585" s="167"/>
      <c r="Q585" s="165"/>
      <c r="R585" s="165"/>
    </row>
    <row r="586" spans="1:18" s="41" customFormat="1" ht="15" customHeight="1" x14ac:dyDescent="0.2">
      <c r="A586" s="50"/>
      <c r="B586" s="51"/>
      <c r="C586" s="59"/>
      <c r="D586" s="60"/>
      <c r="E586" s="60"/>
      <c r="F586" s="50"/>
      <c r="G586" s="50"/>
      <c r="H586" s="54"/>
      <c r="I586" s="58"/>
      <c r="J586" s="102"/>
      <c r="K586" s="102"/>
      <c r="L586" s="107"/>
      <c r="M586" s="107"/>
      <c r="N586" s="102"/>
      <c r="O586" s="55"/>
      <c r="P586" s="167"/>
      <c r="Q586" s="165"/>
      <c r="R586" s="165"/>
    </row>
    <row r="587" spans="1:18" s="41" customFormat="1" ht="15" customHeight="1" x14ac:dyDescent="0.2">
      <c r="A587" s="50"/>
      <c r="B587" s="51"/>
      <c r="C587" s="59"/>
      <c r="D587" s="60"/>
      <c r="E587" s="60"/>
      <c r="F587" s="50"/>
      <c r="G587" s="50"/>
      <c r="H587" s="54"/>
      <c r="I587" s="58"/>
      <c r="J587" s="102"/>
      <c r="K587" s="102"/>
      <c r="L587" s="107"/>
      <c r="M587" s="107"/>
      <c r="N587" s="102"/>
      <c r="O587" s="55"/>
      <c r="P587" s="167"/>
      <c r="Q587" s="165"/>
      <c r="R587" s="165"/>
    </row>
    <row r="588" spans="1:18" s="41" customFormat="1" ht="15" customHeight="1" x14ac:dyDescent="0.2">
      <c r="A588" s="50"/>
      <c r="B588" s="51"/>
      <c r="C588" s="59"/>
      <c r="D588" s="60"/>
      <c r="E588" s="60"/>
      <c r="F588" s="50"/>
      <c r="G588" s="50"/>
      <c r="H588" s="54"/>
      <c r="I588" s="58"/>
      <c r="J588" s="102"/>
      <c r="K588" s="102"/>
      <c r="L588" s="107"/>
      <c r="M588" s="107"/>
      <c r="N588" s="102"/>
      <c r="O588" s="55"/>
      <c r="P588" s="167"/>
      <c r="Q588" s="165"/>
      <c r="R588" s="165"/>
    </row>
    <row r="589" spans="1:18" s="47" customFormat="1" ht="15" customHeight="1" x14ac:dyDescent="0.2">
      <c r="A589" s="50"/>
      <c r="B589" s="51"/>
      <c r="C589" s="59"/>
      <c r="D589" s="60"/>
      <c r="E589" s="60"/>
      <c r="F589" s="50"/>
      <c r="G589" s="50"/>
      <c r="H589" s="54"/>
      <c r="I589" s="58"/>
      <c r="J589" s="103"/>
      <c r="K589" s="103"/>
      <c r="L589" s="108"/>
      <c r="M589" s="108"/>
      <c r="N589" s="103"/>
      <c r="O589" s="66"/>
      <c r="P589" s="213"/>
      <c r="Q589" s="166"/>
      <c r="R589" s="166"/>
    </row>
    <row r="590" spans="1:18" s="47" customFormat="1" ht="15" customHeight="1" x14ac:dyDescent="0.2">
      <c r="A590" s="68"/>
      <c r="B590" s="636"/>
      <c r="C590" s="59"/>
      <c r="D590" s="60"/>
      <c r="E590" s="60"/>
      <c r="F590" s="50"/>
      <c r="G590" s="50"/>
      <c r="H590" s="54"/>
      <c r="I590" s="58"/>
      <c r="J590" s="103"/>
      <c r="K590" s="103"/>
      <c r="L590" s="108"/>
      <c r="M590" s="108"/>
      <c r="N590" s="111"/>
      <c r="O590" s="67"/>
      <c r="P590" s="212"/>
      <c r="Q590" s="166"/>
      <c r="R590" s="166"/>
    </row>
    <row r="591" spans="1:18" s="41" customFormat="1" ht="15" customHeight="1" x14ac:dyDescent="0.2">
      <c r="A591" s="68"/>
      <c r="B591" s="636"/>
      <c r="C591" s="59"/>
      <c r="D591" s="60"/>
      <c r="E591" s="60"/>
      <c r="F591" s="50"/>
      <c r="G591" s="50"/>
      <c r="H591" s="54"/>
      <c r="I591" s="58"/>
      <c r="J591" s="102"/>
      <c r="K591" s="102"/>
      <c r="L591" s="107"/>
      <c r="M591" s="107"/>
      <c r="N591" s="102"/>
      <c r="O591" s="55"/>
      <c r="P591" s="167"/>
      <c r="Q591" s="165"/>
      <c r="R591" s="165"/>
    </row>
    <row r="592" spans="1:18" s="41" customFormat="1" ht="15" customHeight="1" x14ac:dyDescent="0.2">
      <c r="A592" s="50"/>
      <c r="B592" s="51"/>
      <c r="C592" s="59"/>
      <c r="D592" s="60"/>
      <c r="E592" s="60"/>
      <c r="F592" s="50"/>
      <c r="G592" s="50"/>
      <c r="H592" s="54"/>
      <c r="I592" s="58"/>
      <c r="J592" s="102"/>
      <c r="K592" s="102"/>
      <c r="L592" s="107"/>
      <c r="M592" s="107"/>
      <c r="N592" s="102"/>
      <c r="O592" s="55"/>
      <c r="P592" s="167"/>
      <c r="Q592" s="165"/>
      <c r="R592" s="165"/>
    </row>
    <row r="593" spans="1:18" s="41" customFormat="1" ht="15" customHeight="1" x14ac:dyDescent="0.2">
      <c r="A593" s="50"/>
      <c r="B593" s="51"/>
      <c r="C593" s="59"/>
      <c r="D593" s="60"/>
      <c r="E593" s="60"/>
      <c r="F593" s="50"/>
      <c r="G593" s="50"/>
      <c r="H593" s="54"/>
      <c r="I593" s="58"/>
      <c r="J593" s="102"/>
      <c r="K593" s="102"/>
      <c r="L593" s="107"/>
      <c r="M593" s="107"/>
      <c r="N593" s="102"/>
      <c r="O593" s="55"/>
      <c r="P593" s="167"/>
      <c r="Q593" s="165"/>
      <c r="R593" s="165"/>
    </row>
    <row r="594" spans="1:18" s="41" customFormat="1" ht="15" customHeight="1" x14ac:dyDescent="0.2">
      <c r="A594" s="50"/>
      <c r="B594" s="51"/>
      <c r="C594" s="59"/>
      <c r="D594" s="60"/>
      <c r="E594" s="60"/>
      <c r="F594" s="50"/>
      <c r="G594" s="50"/>
      <c r="H594" s="54"/>
      <c r="I594" s="58"/>
      <c r="J594" s="102"/>
      <c r="K594" s="102"/>
      <c r="L594" s="107"/>
      <c r="M594" s="107"/>
      <c r="N594" s="102"/>
      <c r="O594" s="55"/>
      <c r="P594" s="167"/>
      <c r="Q594" s="165"/>
      <c r="R594" s="165"/>
    </row>
    <row r="595" spans="1:18" s="41" customFormat="1" ht="15" customHeight="1" x14ac:dyDescent="0.2">
      <c r="A595" s="50"/>
      <c r="B595" s="51"/>
      <c r="C595" s="59"/>
      <c r="D595" s="60"/>
      <c r="E595" s="60"/>
      <c r="F595" s="50"/>
      <c r="G595" s="57"/>
      <c r="H595" s="54"/>
      <c r="I595" s="58"/>
      <c r="J595" s="102"/>
      <c r="K595" s="102"/>
      <c r="L595" s="107"/>
      <c r="M595" s="107"/>
      <c r="N595" s="102"/>
      <c r="O595" s="55"/>
      <c r="P595" s="167"/>
      <c r="Q595" s="165"/>
      <c r="R595" s="165"/>
    </row>
    <row r="596" spans="1:18" s="41" customFormat="1" ht="15" customHeight="1" x14ac:dyDescent="0.2">
      <c r="A596" s="50"/>
      <c r="B596" s="51"/>
      <c r="C596" s="59"/>
      <c r="D596" s="60"/>
      <c r="E596" s="60"/>
      <c r="F596" s="50"/>
      <c r="G596" s="50"/>
      <c r="H596" s="54"/>
      <c r="I596" s="58"/>
      <c r="J596" s="102"/>
      <c r="K596" s="102"/>
      <c r="L596" s="107"/>
      <c r="M596" s="107"/>
      <c r="N596" s="102"/>
      <c r="O596" s="55"/>
      <c r="P596" s="167"/>
      <c r="Q596" s="165"/>
      <c r="R596" s="165"/>
    </row>
    <row r="597" spans="1:18" s="41" customFormat="1" ht="15" customHeight="1" x14ac:dyDescent="0.2">
      <c r="A597" s="50"/>
      <c r="B597" s="51"/>
      <c r="C597" s="59"/>
      <c r="D597" s="60"/>
      <c r="E597" s="60"/>
      <c r="F597" s="50"/>
      <c r="G597" s="50"/>
      <c r="H597" s="54"/>
      <c r="I597" s="58"/>
      <c r="J597" s="102"/>
      <c r="K597" s="102"/>
      <c r="L597" s="107"/>
      <c r="M597" s="107"/>
      <c r="N597" s="102"/>
      <c r="O597" s="55"/>
      <c r="P597" s="167"/>
      <c r="Q597" s="165"/>
      <c r="R597" s="165"/>
    </row>
    <row r="598" spans="1:18" s="41" customFormat="1" ht="15" customHeight="1" x14ac:dyDescent="0.2">
      <c r="A598" s="50"/>
      <c r="B598" s="51"/>
      <c r="C598" s="59"/>
      <c r="D598" s="60"/>
      <c r="E598" s="60"/>
      <c r="F598" s="50"/>
      <c r="G598" s="50"/>
      <c r="H598" s="54"/>
      <c r="I598" s="58"/>
      <c r="J598" s="102"/>
      <c r="K598" s="102"/>
      <c r="L598" s="107"/>
      <c r="M598" s="107"/>
      <c r="N598" s="102"/>
      <c r="O598" s="55"/>
      <c r="P598" s="167"/>
      <c r="Q598" s="165"/>
      <c r="R598" s="165"/>
    </row>
    <row r="599" spans="1:18" s="41" customFormat="1" ht="15" customHeight="1" x14ac:dyDescent="0.2">
      <c r="A599" s="50"/>
      <c r="B599" s="51"/>
      <c r="C599" s="59"/>
      <c r="D599" s="60"/>
      <c r="E599" s="60"/>
      <c r="F599" s="50"/>
      <c r="G599" s="50"/>
      <c r="H599" s="54"/>
      <c r="I599" s="58"/>
      <c r="J599" s="102"/>
      <c r="K599" s="102"/>
      <c r="L599" s="107"/>
      <c r="M599" s="107"/>
      <c r="N599" s="102"/>
      <c r="O599" s="55"/>
      <c r="P599" s="167"/>
      <c r="Q599" s="165"/>
      <c r="R599" s="165"/>
    </row>
    <row r="600" spans="1:18" s="41" customFormat="1" ht="15" customHeight="1" x14ac:dyDescent="0.2">
      <c r="A600" s="50"/>
      <c r="B600" s="51"/>
      <c r="C600" s="59"/>
      <c r="D600" s="60"/>
      <c r="E600" s="60"/>
      <c r="F600" s="50"/>
      <c r="G600" s="50"/>
      <c r="H600" s="54"/>
      <c r="I600" s="58"/>
      <c r="J600" s="102"/>
      <c r="K600" s="102"/>
      <c r="L600" s="107"/>
      <c r="M600" s="107"/>
      <c r="N600" s="102"/>
      <c r="O600" s="55"/>
      <c r="P600" s="167"/>
      <c r="Q600" s="165"/>
      <c r="R600" s="165"/>
    </row>
    <row r="601" spans="1:18" s="41" customFormat="1" ht="15" customHeight="1" x14ac:dyDescent="0.2">
      <c r="A601" s="50"/>
      <c r="B601" s="51"/>
      <c r="C601" s="59"/>
      <c r="D601" s="60"/>
      <c r="E601" s="60"/>
      <c r="F601" s="50"/>
      <c r="G601" s="50"/>
      <c r="H601" s="54"/>
      <c r="I601" s="58"/>
      <c r="J601" s="102"/>
      <c r="K601" s="102"/>
      <c r="L601" s="107"/>
      <c r="M601" s="107"/>
      <c r="N601" s="102"/>
      <c r="O601" s="55"/>
      <c r="P601" s="167"/>
      <c r="Q601" s="165"/>
      <c r="R601" s="165"/>
    </row>
    <row r="602" spans="1:18" s="41" customFormat="1" ht="15" customHeight="1" x14ac:dyDescent="0.2">
      <c r="A602" s="50"/>
      <c r="B602" s="51"/>
      <c r="C602" s="59"/>
      <c r="D602" s="60"/>
      <c r="E602" s="60"/>
      <c r="F602" s="50"/>
      <c r="G602" s="50"/>
      <c r="H602" s="54"/>
      <c r="I602" s="58"/>
      <c r="J602" s="102"/>
      <c r="K602" s="102"/>
      <c r="L602" s="107"/>
      <c r="M602" s="107"/>
      <c r="N602" s="102"/>
      <c r="O602" s="55"/>
      <c r="P602" s="167"/>
      <c r="Q602" s="165"/>
      <c r="R602" s="165"/>
    </row>
    <row r="603" spans="1:18" s="41" customFormat="1" ht="15" customHeight="1" x14ac:dyDescent="0.2">
      <c r="A603" s="50"/>
      <c r="B603" s="51"/>
      <c r="C603" s="59"/>
      <c r="D603" s="60"/>
      <c r="E603" s="60"/>
      <c r="F603" s="50"/>
      <c r="G603" s="50"/>
      <c r="H603" s="54"/>
      <c r="I603" s="58"/>
      <c r="J603" s="102"/>
      <c r="K603" s="102"/>
      <c r="L603" s="107"/>
      <c r="M603" s="107"/>
      <c r="N603" s="102"/>
      <c r="O603" s="55"/>
      <c r="P603" s="167"/>
      <c r="Q603" s="165"/>
      <c r="R603" s="165"/>
    </row>
    <row r="604" spans="1:18" s="41" customFormat="1" ht="15" customHeight="1" x14ac:dyDescent="0.2">
      <c r="A604" s="50"/>
      <c r="B604" s="51"/>
      <c r="C604" s="59"/>
      <c r="D604" s="60"/>
      <c r="E604" s="60"/>
      <c r="F604" s="50"/>
      <c r="G604" s="50"/>
      <c r="H604" s="54"/>
      <c r="I604" s="58"/>
      <c r="J604" s="102"/>
      <c r="K604" s="102"/>
      <c r="L604" s="107"/>
      <c r="M604" s="107"/>
      <c r="N604" s="102"/>
      <c r="O604" s="55"/>
      <c r="P604" s="167"/>
      <c r="Q604" s="165"/>
      <c r="R604" s="165"/>
    </row>
    <row r="605" spans="1:18" s="41" customFormat="1" ht="15" customHeight="1" x14ac:dyDescent="0.2">
      <c r="A605" s="50"/>
      <c r="B605" s="51"/>
      <c r="C605" s="59"/>
      <c r="D605" s="60"/>
      <c r="E605" s="60"/>
      <c r="F605" s="50"/>
      <c r="G605" s="50"/>
      <c r="H605" s="54"/>
      <c r="I605" s="58"/>
      <c r="J605" s="102"/>
      <c r="K605" s="102"/>
      <c r="L605" s="107"/>
      <c r="M605" s="107"/>
      <c r="N605" s="102"/>
      <c r="O605" s="55"/>
      <c r="P605" s="167"/>
      <c r="Q605" s="165"/>
      <c r="R605" s="165"/>
    </row>
    <row r="606" spans="1:18" s="41" customFormat="1" ht="15" customHeight="1" x14ac:dyDescent="0.2">
      <c r="A606" s="50"/>
      <c r="B606" s="51"/>
      <c r="C606" s="59"/>
      <c r="D606" s="60"/>
      <c r="E606" s="60"/>
      <c r="F606" s="50"/>
      <c r="G606" s="50"/>
      <c r="H606" s="54"/>
      <c r="I606" s="58"/>
      <c r="J606" s="102"/>
      <c r="K606" s="102"/>
      <c r="L606" s="107"/>
      <c r="M606" s="107"/>
      <c r="N606" s="102"/>
      <c r="O606" s="55"/>
      <c r="P606" s="167"/>
      <c r="Q606" s="165"/>
      <c r="R606" s="165"/>
    </row>
    <row r="607" spans="1:18" s="41" customFormat="1" ht="15" customHeight="1" x14ac:dyDescent="0.2">
      <c r="A607" s="50"/>
      <c r="B607" s="51"/>
      <c r="C607" s="59"/>
      <c r="D607" s="60"/>
      <c r="E607" s="60"/>
      <c r="F607" s="50"/>
      <c r="G607" s="50"/>
      <c r="H607" s="54"/>
      <c r="I607" s="58"/>
      <c r="J607" s="102"/>
      <c r="K607" s="102"/>
      <c r="L607" s="107"/>
      <c r="M607" s="107"/>
      <c r="N607" s="102"/>
      <c r="O607" s="55"/>
      <c r="P607" s="167"/>
      <c r="Q607" s="165"/>
      <c r="R607" s="165"/>
    </row>
    <row r="608" spans="1:18" s="41" customFormat="1" ht="15" customHeight="1" x14ac:dyDescent="0.2">
      <c r="A608" s="50"/>
      <c r="B608" s="51"/>
      <c r="C608" s="59"/>
      <c r="D608" s="60"/>
      <c r="E608" s="60"/>
      <c r="F608" s="50"/>
      <c r="G608" s="50"/>
      <c r="H608" s="54"/>
      <c r="I608" s="58"/>
      <c r="J608" s="102"/>
      <c r="K608" s="102"/>
      <c r="L608" s="107"/>
      <c r="M608" s="107"/>
      <c r="N608" s="102"/>
      <c r="O608" s="55"/>
      <c r="P608" s="167"/>
      <c r="Q608" s="165"/>
      <c r="R608" s="165"/>
    </row>
    <row r="609" spans="1:18" s="41" customFormat="1" ht="15" customHeight="1" x14ac:dyDescent="0.2">
      <c r="A609" s="50"/>
      <c r="B609" s="51"/>
      <c r="C609" s="59"/>
      <c r="D609" s="60"/>
      <c r="E609" s="60"/>
      <c r="F609" s="50"/>
      <c r="G609" s="50"/>
      <c r="H609" s="54"/>
      <c r="I609" s="58"/>
      <c r="J609" s="102"/>
      <c r="K609" s="102"/>
      <c r="L609" s="107"/>
      <c r="M609" s="107"/>
      <c r="N609" s="102"/>
      <c r="O609" s="55"/>
      <c r="P609" s="167"/>
      <c r="Q609" s="165"/>
      <c r="R609" s="165"/>
    </row>
    <row r="610" spans="1:18" s="41" customFormat="1" ht="15" customHeight="1" x14ac:dyDescent="0.2">
      <c r="A610" s="50"/>
      <c r="B610" s="51"/>
      <c r="C610" s="59"/>
      <c r="D610" s="60"/>
      <c r="E610" s="60"/>
      <c r="F610" s="50"/>
      <c r="G610" s="50"/>
      <c r="H610" s="54"/>
      <c r="I610" s="58"/>
      <c r="J610" s="102"/>
      <c r="K610" s="102"/>
      <c r="L610" s="107"/>
      <c r="M610" s="107"/>
      <c r="N610" s="102"/>
      <c r="O610" s="55"/>
      <c r="P610" s="167"/>
      <c r="Q610" s="165"/>
      <c r="R610" s="165"/>
    </row>
    <row r="611" spans="1:18" s="41" customFormat="1" ht="15" customHeight="1" x14ac:dyDescent="0.2">
      <c r="A611" s="50"/>
      <c r="B611" s="51"/>
      <c r="C611" s="59"/>
      <c r="D611" s="60"/>
      <c r="E611" s="60"/>
      <c r="F611" s="50"/>
      <c r="G611" s="50"/>
      <c r="H611" s="54"/>
      <c r="I611" s="58"/>
      <c r="J611" s="102"/>
      <c r="K611" s="102"/>
      <c r="L611" s="107"/>
      <c r="M611" s="107"/>
      <c r="N611" s="102"/>
      <c r="O611" s="55"/>
      <c r="P611" s="167"/>
      <c r="Q611" s="165"/>
      <c r="R611" s="165"/>
    </row>
    <row r="612" spans="1:18" s="41" customFormat="1" ht="15" customHeight="1" x14ac:dyDescent="0.2">
      <c r="A612" s="50"/>
      <c r="B612" s="51"/>
      <c r="C612" s="59"/>
      <c r="D612" s="60"/>
      <c r="E612" s="60"/>
      <c r="F612" s="50"/>
      <c r="G612" s="50"/>
      <c r="H612" s="54"/>
      <c r="I612" s="58"/>
      <c r="J612" s="102"/>
      <c r="K612" s="102"/>
      <c r="L612" s="107"/>
      <c r="M612" s="107"/>
      <c r="N612" s="102"/>
      <c r="O612" s="55"/>
      <c r="P612" s="167"/>
      <c r="Q612" s="165"/>
      <c r="R612" s="165"/>
    </row>
    <row r="613" spans="1:18" s="41" customFormat="1" ht="15" customHeight="1" x14ac:dyDescent="0.2">
      <c r="A613" s="50"/>
      <c r="B613" s="51"/>
      <c r="C613" s="51"/>
      <c r="D613" s="52"/>
      <c r="E613" s="52"/>
      <c r="F613" s="53"/>
      <c r="G613" s="50"/>
      <c r="H613" s="54"/>
      <c r="I613" s="54"/>
      <c r="J613" s="102"/>
      <c r="K613" s="102"/>
      <c r="L613" s="107"/>
      <c r="M613" s="107"/>
      <c r="N613" s="102"/>
      <c r="O613" s="55"/>
      <c r="P613" s="167"/>
      <c r="Q613" s="165"/>
      <c r="R613" s="165"/>
    </row>
  </sheetData>
  <phoneticPr fontId="0" type="noConversion"/>
  <pageMargins left="0.44" right="0.47" top="0.42" bottom="0.48" header="0.25" footer="0.16"/>
  <pageSetup scale="79" fitToHeight="10" orientation="landscape" verticalDpi="300" r:id="rId1"/>
  <headerFooter alignWithMargins="0">
    <oddHeader>&amp;A</oddHeader>
    <oddFooter>&amp;LPrepared by: Physical Gas Settlements&amp;C&amp;P of &amp;N&amp;R&amp;D  &amp;T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3"/>
  <sheetViews>
    <sheetView topLeftCell="A98" workbookViewId="0">
      <selection activeCell="D3" sqref="D2:D111"/>
    </sheetView>
  </sheetViews>
  <sheetFormatPr defaultRowHeight="12.75" x14ac:dyDescent="0.2"/>
  <cols>
    <col min="2" max="2" width="21.5703125" customWidth="1"/>
  </cols>
  <sheetData>
    <row r="1" spans="1:6" x14ac:dyDescent="0.2">
      <c r="A1" t="s">
        <v>1200</v>
      </c>
      <c r="B1" s="777" t="s">
        <v>1201</v>
      </c>
      <c r="C1" s="777" t="s">
        <v>1202</v>
      </c>
      <c r="D1" s="777" t="s">
        <v>1203</v>
      </c>
    </row>
    <row r="2" spans="1:6" x14ac:dyDescent="0.2">
      <c r="A2">
        <v>700769</v>
      </c>
      <c r="B2" s="777" t="s">
        <v>190</v>
      </c>
      <c r="C2" s="777" t="s">
        <v>1204</v>
      </c>
      <c r="D2" s="777">
        <v>0</v>
      </c>
      <c r="F2">
        <v>700769</v>
      </c>
    </row>
    <row r="3" spans="1:6" x14ac:dyDescent="0.2">
      <c r="A3">
        <v>701212</v>
      </c>
      <c r="B3" s="777" t="s">
        <v>1539</v>
      </c>
      <c r="C3" s="777" t="s">
        <v>1204</v>
      </c>
      <c r="D3" s="777">
        <v>0</v>
      </c>
      <c r="F3">
        <v>701212</v>
      </c>
    </row>
    <row r="4" spans="1:6" x14ac:dyDescent="0.2">
      <c r="A4">
        <v>701263</v>
      </c>
      <c r="B4" s="777" t="s">
        <v>1541</v>
      </c>
      <c r="C4" s="777" t="s">
        <v>1204</v>
      </c>
      <c r="D4" s="777">
        <v>0</v>
      </c>
      <c r="F4">
        <v>701263</v>
      </c>
    </row>
    <row r="5" spans="1:6" x14ac:dyDescent="0.2">
      <c r="A5">
        <v>702123</v>
      </c>
      <c r="B5" s="777" t="s">
        <v>191</v>
      </c>
      <c r="C5" s="777" t="s">
        <v>1204</v>
      </c>
      <c r="D5" s="777">
        <v>0</v>
      </c>
      <c r="F5">
        <v>702123</v>
      </c>
    </row>
    <row r="6" spans="1:6" x14ac:dyDescent="0.2">
      <c r="A6">
        <v>703738</v>
      </c>
      <c r="B6" s="777" t="s">
        <v>1543</v>
      </c>
      <c r="C6" s="777" t="s">
        <v>1204</v>
      </c>
      <c r="D6" s="777">
        <v>0</v>
      </c>
      <c r="F6">
        <v>703738</v>
      </c>
    </row>
    <row r="7" spans="1:6" x14ac:dyDescent="0.2">
      <c r="A7">
        <v>704154</v>
      </c>
      <c r="B7" s="777" t="s">
        <v>1545</v>
      </c>
      <c r="C7" s="777" t="s">
        <v>1204</v>
      </c>
      <c r="D7" s="777">
        <v>0</v>
      </c>
      <c r="F7">
        <v>704154</v>
      </c>
    </row>
    <row r="8" spans="1:6" x14ac:dyDescent="0.2">
      <c r="A8">
        <v>704162</v>
      </c>
      <c r="B8" s="777" t="s">
        <v>1546</v>
      </c>
      <c r="C8" s="777" t="s">
        <v>1204</v>
      </c>
      <c r="D8" s="777">
        <v>0</v>
      </c>
      <c r="F8">
        <v>704162</v>
      </c>
    </row>
    <row r="9" spans="1:6" x14ac:dyDescent="0.2">
      <c r="A9">
        <v>704761</v>
      </c>
      <c r="B9" s="777" t="s">
        <v>1548</v>
      </c>
      <c r="C9" s="777" t="s">
        <v>1204</v>
      </c>
      <c r="D9" s="777">
        <v>0</v>
      </c>
      <c r="F9">
        <v>704761</v>
      </c>
    </row>
    <row r="10" spans="1:6" x14ac:dyDescent="0.2">
      <c r="A10">
        <v>705822</v>
      </c>
      <c r="B10" s="777" t="s">
        <v>876</v>
      </c>
      <c r="C10" s="777" t="s">
        <v>1204</v>
      </c>
      <c r="D10" s="777">
        <v>0</v>
      </c>
      <c r="F10">
        <v>705822</v>
      </c>
    </row>
    <row r="11" spans="1:6" x14ac:dyDescent="0.2">
      <c r="A11">
        <v>705940</v>
      </c>
      <c r="B11" s="777" t="s">
        <v>1551</v>
      </c>
      <c r="C11" s="777" t="s">
        <v>1204</v>
      </c>
      <c r="D11" s="777">
        <v>0</v>
      </c>
      <c r="F11">
        <v>705940</v>
      </c>
    </row>
    <row r="12" spans="1:6" x14ac:dyDescent="0.2">
      <c r="A12">
        <v>706202</v>
      </c>
      <c r="B12" s="777" t="s">
        <v>1554</v>
      </c>
      <c r="C12" s="777" t="s">
        <v>1204</v>
      </c>
      <c r="D12" s="777">
        <v>0</v>
      </c>
      <c r="F12">
        <v>706202</v>
      </c>
    </row>
    <row r="13" spans="1:6" x14ac:dyDescent="0.2">
      <c r="A13">
        <v>706264</v>
      </c>
      <c r="B13" s="777" t="s">
        <v>877</v>
      </c>
      <c r="C13" s="777" t="s">
        <v>1204</v>
      </c>
      <c r="D13" s="777">
        <v>0</v>
      </c>
      <c r="F13">
        <v>706264</v>
      </c>
    </row>
    <row r="14" spans="1:6" x14ac:dyDescent="0.2">
      <c r="A14">
        <v>706480</v>
      </c>
      <c r="B14" s="777" t="s">
        <v>1558</v>
      </c>
      <c r="C14" s="777" t="s">
        <v>1204</v>
      </c>
      <c r="D14" s="777">
        <v>0</v>
      </c>
      <c r="F14">
        <v>706480</v>
      </c>
    </row>
    <row r="15" spans="1:6" x14ac:dyDescent="0.2">
      <c r="A15">
        <v>707597</v>
      </c>
      <c r="B15" s="777" t="s">
        <v>1205</v>
      </c>
      <c r="C15" s="777" t="s">
        <v>1204</v>
      </c>
      <c r="D15" s="777">
        <v>0</v>
      </c>
      <c r="F15">
        <v>707597</v>
      </c>
    </row>
    <row r="16" spans="1:6" x14ac:dyDescent="0.2">
      <c r="A16">
        <v>707894</v>
      </c>
      <c r="B16" s="777" t="s">
        <v>1206</v>
      </c>
      <c r="C16" s="777" t="s">
        <v>1204</v>
      </c>
      <c r="D16" s="777">
        <v>0</v>
      </c>
      <c r="F16">
        <v>707894</v>
      </c>
    </row>
    <row r="17" spans="1:6" x14ac:dyDescent="0.2">
      <c r="A17">
        <v>708269</v>
      </c>
      <c r="B17" s="777" t="s">
        <v>1561</v>
      </c>
      <c r="C17" s="777" t="s">
        <v>1204</v>
      </c>
      <c r="D17" s="777">
        <v>0</v>
      </c>
      <c r="F17">
        <v>708269</v>
      </c>
    </row>
    <row r="18" spans="1:6" x14ac:dyDescent="0.2">
      <c r="A18">
        <v>712018</v>
      </c>
      <c r="B18" s="777" t="s">
        <v>1208</v>
      </c>
      <c r="C18" s="777" t="s">
        <v>1204</v>
      </c>
      <c r="D18" s="777">
        <v>0</v>
      </c>
      <c r="F18">
        <v>712018</v>
      </c>
    </row>
    <row r="19" spans="1:6" x14ac:dyDescent="0.2">
      <c r="A19">
        <v>712390</v>
      </c>
      <c r="B19" s="777" t="s">
        <v>1209</v>
      </c>
      <c r="C19" s="777" t="s">
        <v>1204</v>
      </c>
      <c r="D19" s="777">
        <v>0</v>
      </c>
      <c r="F19">
        <v>712390</v>
      </c>
    </row>
    <row r="20" spans="1:6" x14ac:dyDescent="0.2">
      <c r="A20">
        <v>712763</v>
      </c>
      <c r="B20" s="777" t="s">
        <v>1210</v>
      </c>
      <c r="C20" s="777" t="s">
        <v>1204</v>
      </c>
      <c r="D20" s="777">
        <v>0</v>
      </c>
      <c r="F20">
        <v>712763</v>
      </c>
    </row>
    <row r="21" spans="1:6" x14ac:dyDescent="0.2">
      <c r="A21">
        <v>712766</v>
      </c>
      <c r="B21" s="777" t="s">
        <v>1211</v>
      </c>
      <c r="C21" s="777" t="s">
        <v>1204</v>
      </c>
      <c r="D21" s="777">
        <v>0</v>
      </c>
      <c r="F21">
        <v>712766</v>
      </c>
    </row>
    <row r="22" spans="1:6" x14ac:dyDescent="0.2">
      <c r="A22">
        <v>713117</v>
      </c>
      <c r="B22" s="777" t="s">
        <v>1212</v>
      </c>
      <c r="C22" s="777" t="s">
        <v>1204</v>
      </c>
      <c r="D22" s="777">
        <v>0</v>
      </c>
      <c r="F22">
        <v>713117</v>
      </c>
    </row>
    <row r="23" spans="1:6" x14ac:dyDescent="0.2">
      <c r="A23">
        <v>713755</v>
      </c>
      <c r="B23" s="777" t="s">
        <v>1600</v>
      </c>
      <c r="C23" s="777" t="s">
        <v>1204</v>
      </c>
      <c r="D23" s="777">
        <v>0</v>
      </c>
      <c r="F23">
        <v>713755</v>
      </c>
    </row>
    <row r="24" spans="1:6" x14ac:dyDescent="0.2">
      <c r="A24">
        <v>716865</v>
      </c>
      <c r="B24" s="777" t="s">
        <v>195</v>
      </c>
      <c r="C24" s="777" t="s">
        <v>1204</v>
      </c>
      <c r="D24" s="777">
        <v>0</v>
      </c>
      <c r="F24">
        <v>716865</v>
      </c>
    </row>
    <row r="25" spans="1:6" x14ac:dyDescent="0.2">
      <c r="A25">
        <v>717255</v>
      </c>
      <c r="B25" s="777" t="s">
        <v>1213</v>
      </c>
      <c r="C25" s="777" t="s">
        <v>1204</v>
      </c>
      <c r="D25" s="777">
        <v>0</v>
      </c>
      <c r="F25">
        <v>717255</v>
      </c>
    </row>
    <row r="26" spans="1:6" x14ac:dyDescent="0.2">
      <c r="A26">
        <v>717457</v>
      </c>
      <c r="B26" s="777" t="s">
        <v>1603</v>
      </c>
      <c r="C26" s="777" t="s">
        <v>1204</v>
      </c>
      <c r="D26" s="777">
        <v>0</v>
      </c>
      <c r="F26">
        <v>717457</v>
      </c>
    </row>
    <row r="27" spans="1:6" x14ac:dyDescent="0.2">
      <c r="A27">
        <v>717602</v>
      </c>
      <c r="B27" s="777" t="s">
        <v>1214</v>
      </c>
      <c r="C27" s="777" t="s">
        <v>1204</v>
      </c>
      <c r="D27" s="777">
        <v>0</v>
      </c>
      <c r="F27">
        <v>717602</v>
      </c>
    </row>
    <row r="28" spans="1:6" x14ac:dyDescent="0.2">
      <c r="A28">
        <v>717621</v>
      </c>
      <c r="B28" s="777" t="s">
        <v>197</v>
      </c>
      <c r="C28" s="777" t="s">
        <v>1204</v>
      </c>
      <c r="D28" s="777">
        <v>0</v>
      </c>
      <c r="F28">
        <v>717621</v>
      </c>
    </row>
    <row r="29" spans="1:6" x14ac:dyDescent="0.2">
      <c r="A29">
        <v>717786</v>
      </c>
      <c r="B29" s="777" t="s">
        <v>1215</v>
      </c>
      <c r="C29" s="777" t="s">
        <v>1204</v>
      </c>
      <c r="D29" s="777">
        <v>0</v>
      </c>
      <c r="F29">
        <v>717786</v>
      </c>
    </row>
    <row r="30" spans="1:6" x14ac:dyDescent="0.2">
      <c r="A30">
        <v>717873</v>
      </c>
      <c r="B30" s="777" t="s">
        <v>1606</v>
      </c>
      <c r="C30" s="777" t="s">
        <v>1204</v>
      </c>
      <c r="D30" s="777">
        <v>0</v>
      </c>
      <c r="F30">
        <v>717873</v>
      </c>
    </row>
    <row r="31" spans="1:6" x14ac:dyDescent="0.2">
      <c r="A31">
        <v>717883</v>
      </c>
      <c r="B31" s="777" t="s">
        <v>1609</v>
      </c>
      <c r="C31" s="777" t="s">
        <v>1204</v>
      </c>
      <c r="D31" s="777">
        <v>0</v>
      </c>
      <c r="F31">
        <v>717883</v>
      </c>
    </row>
    <row r="32" spans="1:6" x14ac:dyDescent="0.2">
      <c r="A32">
        <v>718123</v>
      </c>
      <c r="B32" s="777" t="s">
        <v>198</v>
      </c>
      <c r="C32" s="777" t="s">
        <v>1204</v>
      </c>
      <c r="D32" s="777">
        <v>0</v>
      </c>
      <c r="F32">
        <v>718123</v>
      </c>
    </row>
    <row r="33" spans="1:6" x14ac:dyDescent="0.2">
      <c r="A33">
        <v>718234</v>
      </c>
      <c r="B33" s="777" t="s">
        <v>1612</v>
      </c>
      <c r="C33" s="777" t="s">
        <v>1204</v>
      </c>
      <c r="D33" s="777">
        <v>0</v>
      </c>
      <c r="F33">
        <v>718234</v>
      </c>
    </row>
    <row r="34" spans="1:6" x14ac:dyDescent="0.2">
      <c r="A34">
        <v>718274</v>
      </c>
      <c r="B34" s="777" t="s">
        <v>1216</v>
      </c>
      <c r="C34" s="777" t="s">
        <v>1204</v>
      </c>
      <c r="D34" s="777">
        <v>0</v>
      </c>
      <c r="F34">
        <v>718274</v>
      </c>
    </row>
    <row r="35" spans="1:6" x14ac:dyDescent="0.2">
      <c r="A35">
        <v>718571</v>
      </c>
      <c r="B35" s="777" t="s">
        <v>1614</v>
      </c>
      <c r="C35" s="777" t="s">
        <v>1204</v>
      </c>
      <c r="D35" s="777">
        <v>0</v>
      </c>
      <c r="F35">
        <v>718571</v>
      </c>
    </row>
    <row r="36" spans="1:6" x14ac:dyDescent="0.2">
      <c r="A36">
        <v>718691</v>
      </c>
      <c r="B36" s="777" t="s">
        <v>1615</v>
      </c>
      <c r="C36" s="777" t="s">
        <v>1204</v>
      </c>
      <c r="D36" s="777">
        <v>0</v>
      </c>
      <c r="F36">
        <v>718691</v>
      </c>
    </row>
    <row r="37" spans="1:6" x14ac:dyDescent="0.2">
      <c r="A37">
        <v>718948</v>
      </c>
      <c r="B37" s="777" t="s">
        <v>1616</v>
      </c>
      <c r="C37" s="777" t="s">
        <v>1204</v>
      </c>
      <c r="D37" s="777">
        <v>0</v>
      </c>
      <c r="F37">
        <v>718948</v>
      </c>
    </row>
    <row r="38" spans="1:6" x14ac:dyDescent="0.2">
      <c r="A38">
        <v>718986</v>
      </c>
      <c r="B38" s="777" t="s">
        <v>336</v>
      </c>
      <c r="C38" s="777" t="s">
        <v>1204</v>
      </c>
      <c r="D38" s="777">
        <v>0</v>
      </c>
      <c r="F38">
        <v>718986</v>
      </c>
    </row>
    <row r="39" spans="1:6" x14ac:dyDescent="0.2">
      <c r="A39">
        <v>719237</v>
      </c>
      <c r="B39" s="777" t="s">
        <v>1617</v>
      </c>
      <c r="C39" s="777" t="s">
        <v>1204</v>
      </c>
      <c r="D39" s="777">
        <v>0</v>
      </c>
      <c r="F39">
        <v>719237</v>
      </c>
    </row>
    <row r="40" spans="1:6" x14ac:dyDescent="0.2">
      <c r="A40">
        <v>719397</v>
      </c>
      <c r="B40" s="777" t="s">
        <v>1217</v>
      </c>
      <c r="C40" s="777" t="s">
        <v>1204</v>
      </c>
      <c r="D40" s="777">
        <v>0</v>
      </c>
      <c r="F40">
        <v>719397</v>
      </c>
    </row>
    <row r="41" spans="1:6" x14ac:dyDescent="0.2">
      <c r="A41">
        <v>719658</v>
      </c>
      <c r="B41" s="777" t="s">
        <v>208</v>
      </c>
      <c r="C41" s="777" t="s">
        <v>1204</v>
      </c>
      <c r="D41" s="777">
        <v>0</v>
      </c>
      <c r="F41">
        <v>719658</v>
      </c>
    </row>
    <row r="42" spans="1:6" x14ac:dyDescent="0.2">
      <c r="A42">
        <v>719842</v>
      </c>
      <c r="B42" s="777" t="s">
        <v>1619</v>
      </c>
      <c r="C42" s="777" t="s">
        <v>1204</v>
      </c>
      <c r="D42" s="777">
        <v>0</v>
      </c>
      <c r="F42">
        <v>719842</v>
      </c>
    </row>
    <row r="43" spans="1:6" x14ac:dyDescent="0.2">
      <c r="A43">
        <v>720220</v>
      </c>
      <c r="B43" s="777" t="s">
        <v>1625</v>
      </c>
      <c r="C43" s="777" t="s">
        <v>1204</v>
      </c>
      <c r="D43" s="777">
        <v>0</v>
      </c>
      <c r="F43">
        <v>720220</v>
      </c>
    </row>
    <row r="44" spans="1:6" x14ac:dyDescent="0.2">
      <c r="A44">
        <v>720488</v>
      </c>
      <c r="B44" s="777" t="s">
        <v>211</v>
      </c>
      <c r="C44" s="777" t="s">
        <v>1204</v>
      </c>
      <c r="D44" s="777">
        <v>0</v>
      </c>
      <c r="F44">
        <v>720488</v>
      </c>
    </row>
    <row r="45" spans="1:6" x14ac:dyDescent="0.2">
      <c r="A45">
        <v>720501</v>
      </c>
      <c r="B45" s="777" t="s">
        <v>1219</v>
      </c>
      <c r="C45" s="777" t="s">
        <v>1204</v>
      </c>
      <c r="D45" s="777">
        <v>0</v>
      </c>
      <c r="F45">
        <v>720501</v>
      </c>
    </row>
    <row r="46" spans="1:6" x14ac:dyDescent="0.2">
      <c r="A46">
        <v>720563</v>
      </c>
      <c r="B46" s="777" t="s">
        <v>1220</v>
      </c>
      <c r="C46" s="777" t="s">
        <v>1204</v>
      </c>
      <c r="D46" s="777">
        <v>0</v>
      </c>
      <c r="F46">
        <v>720563</v>
      </c>
    </row>
    <row r="47" spans="1:6" x14ac:dyDescent="0.2">
      <c r="A47">
        <v>720583</v>
      </c>
      <c r="B47" s="777" t="s">
        <v>1628</v>
      </c>
      <c r="C47" s="777" t="s">
        <v>1204</v>
      </c>
      <c r="D47" s="777">
        <v>0</v>
      </c>
      <c r="F47">
        <v>720583</v>
      </c>
    </row>
    <row r="48" spans="1:6" x14ac:dyDescent="0.2">
      <c r="A48">
        <v>720584</v>
      </c>
      <c r="B48" s="777" t="s">
        <v>1889</v>
      </c>
      <c r="C48" s="777" t="s">
        <v>1204</v>
      </c>
      <c r="D48" s="777">
        <v>0</v>
      </c>
      <c r="F48">
        <v>720584</v>
      </c>
    </row>
    <row r="49" spans="1:6" x14ac:dyDescent="0.2">
      <c r="A49">
        <v>720761</v>
      </c>
      <c r="B49" s="777" t="s">
        <v>1221</v>
      </c>
      <c r="C49" s="777" t="s">
        <v>1204</v>
      </c>
      <c r="D49" s="777">
        <v>0</v>
      </c>
      <c r="F49">
        <v>720761</v>
      </c>
    </row>
    <row r="50" spans="1:6" x14ac:dyDescent="0.2">
      <c r="A50">
        <v>720783</v>
      </c>
      <c r="B50" s="777" t="s">
        <v>212</v>
      </c>
      <c r="C50" s="777" t="s">
        <v>1204</v>
      </c>
      <c r="D50" s="777">
        <v>0</v>
      </c>
      <c r="F50">
        <v>720783</v>
      </c>
    </row>
    <row r="51" spans="1:6" x14ac:dyDescent="0.2">
      <c r="A51">
        <v>720887</v>
      </c>
      <c r="B51" s="777" t="s">
        <v>213</v>
      </c>
      <c r="C51" s="777" t="s">
        <v>1204</v>
      </c>
      <c r="D51" s="777">
        <v>0</v>
      </c>
      <c r="F51">
        <v>720887</v>
      </c>
    </row>
    <row r="52" spans="1:6" x14ac:dyDescent="0.2">
      <c r="A52">
        <v>720888</v>
      </c>
      <c r="B52" s="777" t="s">
        <v>214</v>
      </c>
      <c r="C52" s="777" t="s">
        <v>1204</v>
      </c>
      <c r="D52" s="777">
        <v>0</v>
      </c>
      <c r="F52">
        <v>720888</v>
      </c>
    </row>
    <row r="53" spans="1:6" x14ac:dyDescent="0.2">
      <c r="A53">
        <v>720942</v>
      </c>
      <c r="B53" s="777" t="s">
        <v>215</v>
      </c>
      <c r="C53" s="777" t="s">
        <v>1204</v>
      </c>
      <c r="D53" s="777">
        <v>0</v>
      </c>
      <c r="F53">
        <v>720942</v>
      </c>
    </row>
    <row r="54" spans="1:6" x14ac:dyDescent="0.2">
      <c r="A54">
        <v>720955</v>
      </c>
      <c r="B54" s="777" t="s">
        <v>1629</v>
      </c>
      <c r="C54" s="777" t="s">
        <v>1204</v>
      </c>
      <c r="D54" s="777">
        <v>0</v>
      </c>
      <c r="F54">
        <v>720955</v>
      </c>
    </row>
    <row r="55" spans="1:6" x14ac:dyDescent="0.2">
      <c r="A55">
        <v>721054</v>
      </c>
      <c r="B55" s="777" t="s">
        <v>1222</v>
      </c>
      <c r="C55" s="777" t="s">
        <v>1204</v>
      </c>
      <c r="D55" s="777">
        <v>0</v>
      </c>
      <c r="F55">
        <v>721054</v>
      </c>
    </row>
    <row r="56" spans="1:6" x14ac:dyDescent="0.2">
      <c r="A56">
        <v>721075</v>
      </c>
      <c r="B56" s="777" t="s">
        <v>218</v>
      </c>
      <c r="C56" s="777" t="s">
        <v>1204</v>
      </c>
      <c r="D56" s="777">
        <v>0</v>
      </c>
      <c r="F56">
        <v>721075</v>
      </c>
    </row>
    <row r="57" spans="1:6" x14ac:dyDescent="0.2">
      <c r="A57">
        <v>721340</v>
      </c>
      <c r="B57" s="777" t="s">
        <v>337</v>
      </c>
      <c r="C57" s="777" t="s">
        <v>1204</v>
      </c>
      <c r="D57" s="777">
        <v>0</v>
      </c>
      <c r="F57">
        <v>721340</v>
      </c>
    </row>
    <row r="58" spans="1:6" x14ac:dyDescent="0.2">
      <c r="A58">
        <v>721351</v>
      </c>
      <c r="B58" s="777" t="s">
        <v>1223</v>
      </c>
      <c r="C58" s="777" t="s">
        <v>1204</v>
      </c>
      <c r="D58" s="777">
        <v>0</v>
      </c>
      <c r="F58">
        <v>721351</v>
      </c>
    </row>
    <row r="59" spans="1:6" x14ac:dyDescent="0.2">
      <c r="A59">
        <v>721810</v>
      </c>
      <c r="B59" s="777" t="s">
        <v>219</v>
      </c>
      <c r="C59" s="777" t="s">
        <v>1204</v>
      </c>
      <c r="D59" s="777">
        <v>0</v>
      </c>
      <c r="F59">
        <v>721810</v>
      </c>
    </row>
    <row r="60" spans="1:6" x14ac:dyDescent="0.2">
      <c r="A60">
        <v>722101</v>
      </c>
      <c r="B60" s="777" t="s">
        <v>1663</v>
      </c>
      <c r="C60" s="777" t="s">
        <v>1204</v>
      </c>
      <c r="D60" s="777">
        <v>0</v>
      </c>
      <c r="F60">
        <v>722101</v>
      </c>
    </row>
    <row r="61" spans="1:6" x14ac:dyDescent="0.2">
      <c r="A61">
        <v>722104</v>
      </c>
      <c r="B61" s="777" t="s">
        <v>220</v>
      </c>
      <c r="C61" s="777" t="s">
        <v>1204</v>
      </c>
      <c r="D61" s="777">
        <v>0</v>
      </c>
      <c r="F61">
        <v>722104</v>
      </c>
    </row>
    <row r="62" spans="1:6" x14ac:dyDescent="0.2">
      <c r="A62">
        <v>722123</v>
      </c>
      <c r="B62" s="777" t="s">
        <v>1224</v>
      </c>
      <c r="C62" s="777" t="s">
        <v>1204</v>
      </c>
      <c r="D62" s="777">
        <v>0</v>
      </c>
      <c r="F62">
        <v>722123</v>
      </c>
    </row>
    <row r="63" spans="1:6" x14ac:dyDescent="0.2">
      <c r="A63">
        <v>722244</v>
      </c>
      <c r="B63" s="777" t="s">
        <v>1666</v>
      </c>
      <c r="C63" s="777" t="s">
        <v>1204</v>
      </c>
      <c r="D63" s="777">
        <v>0</v>
      </c>
      <c r="F63">
        <v>722244</v>
      </c>
    </row>
    <row r="64" spans="1:6" x14ac:dyDescent="0.2">
      <c r="A64">
        <v>722345</v>
      </c>
      <c r="B64" s="777" t="s">
        <v>1672</v>
      </c>
      <c r="C64" s="777" t="s">
        <v>1204</v>
      </c>
      <c r="D64" s="777">
        <v>0</v>
      </c>
      <c r="F64">
        <v>722345</v>
      </c>
    </row>
    <row r="65" spans="1:6" x14ac:dyDescent="0.2">
      <c r="A65">
        <v>722388</v>
      </c>
      <c r="B65" s="777" t="s">
        <v>1673</v>
      </c>
      <c r="C65" s="777" t="s">
        <v>1204</v>
      </c>
      <c r="D65" s="777">
        <v>0</v>
      </c>
      <c r="F65">
        <v>722388</v>
      </c>
    </row>
    <row r="66" spans="1:6" x14ac:dyDescent="0.2">
      <c r="A66">
        <v>722445</v>
      </c>
      <c r="B66" s="777" t="s">
        <v>1225</v>
      </c>
      <c r="C66" s="777" t="s">
        <v>1204</v>
      </c>
      <c r="D66" s="777">
        <v>0</v>
      </c>
      <c r="F66">
        <v>722445</v>
      </c>
    </row>
    <row r="67" spans="1:6" x14ac:dyDescent="0.2">
      <c r="A67">
        <v>722481</v>
      </c>
      <c r="B67" s="777" t="s">
        <v>1226</v>
      </c>
      <c r="C67" s="777" t="s">
        <v>1204</v>
      </c>
      <c r="D67" s="777">
        <v>0</v>
      </c>
      <c r="F67">
        <v>722481</v>
      </c>
    </row>
    <row r="68" spans="1:6" x14ac:dyDescent="0.2">
      <c r="A68">
        <v>722615</v>
      </c>
      <c r="B68" s="777" t="s">
        <v>1227</v>
      </c>
      <c r="C68" s="777" t="s">
        <v>1204</v>
      </c>
      <c r="D68" s="777">
        <v>0</v>
      </c>
      <c r="F68">
        <v>722615</v>
      </c>
    </row>
    <row r="69" spans="1:6" x14ac:dyDescent="0.2">
      <c r="A69">
        <v>722752</v>
      </c>
      <c r="B69" s="777" t="s">
        <v>223</v>
      </c>
      <c r="C69" s="777" t="s">
        <v>1204</v>
      </c>
      <c r="D69" s="777">
        <v>0</v>
      </c>
      <c r="F69">
        <v>722752</v>
      </c>
    </row>
    <row r="70" spans="1:6" x14ac:dyDescent="0.2">
      <c r="A70">
        <v>722792</v>
      </c>
      <c r="B70" s="777" t="s">
        <v>1229</v>
      </c>
      <c r="C70" s="777" t="s">
        <v>1204</v>
      </c>
      <c r="D70" s="777">
        <v>0</v>
      </c>
      <c r="F70">
        <v>722792</v>
      </c>
    </row>
    <row r="71" spans="1:6" x14ac:dyDescent="0.2">
      <c r="A71">
        <v>722909</v>
      </c>
      <c r="B71" s="777" t="s">
        <v>1896</v>
      </c>
      <c r="C71" s="777" t="s">
        <v>1204</v>
      </c>
      <c r="D71" s="777">
        <v>0</v>
      </c>
      <c r="F71">
        <v>722909</v>
      </c>
    </row>
    <row r="72" spans="1:6" x14ac:dyDescent="0.2">
      <c r="A72">
        <v>722914</v>
      </c>
      <c r="B72" s="777" t="s">
        <v>224</v>
      </c>
      <c r="C72" s="777" t="s">
        <v>1204</v>
      </c>
      <c r="D72" s="777">
        <v>0</v>
      </c>
      <c r="F72">
        <v>722914</v>
      </c>
    </row>
    <row r="73" spans="1:6" x14ac:dyDescent="0.2">
      <c r="A73">
        <v>723107</v>
      </c>
      <c r="B73" s="777" t="s">
        <v>1230</v>
      </c>
      <c r="C73" s="777" t="s">
        <v>1204</v>
      </c>
      <c r="D73" s="777">
        <v>0</v>
      </c>
      <c r="F73">
        <v>723107</v>
      </c>
    </row>
    <row r="74" spans="1:6" x14ac:dyDescent="0.2">
      <c r="A74">
        <v>723123</v>
      </c>
      <c r="B74" s="777" t="s">
        <v>1231</v>
      </c>
      <c r="C74" s="777" t="s">
        <v>1204</v>
      </c>
      <c r="D74" s="777">
        <v>0</v>
      </c>
      <c r="F74">
        <v>723123</v>
      </c>
    </row>
    <row r="75" spans="1:6" x14ac:dyDescent="0.2">
      <c r="A75">
        <v>723133</v>
      </c>
      <c r="B75" s="777" t="s">
        <v>226</v>
      </c>
      <c r="C75" s="777" t="s">
        <v>1204</v>
      </c>
      <c r="D75" s="777">
        <v>0</v>
      </c>
      <c r="F75">
        <v>723133</v>
      </c>
    </row>
    <row r="76" spans="1:6" x14ac:dyDescent="0.2">
      <c r="A76">
        <v>723266</v>
      </c>
      <c r="B76" s="777" t="s">
        <v>1232</v>
      </c>
      <c r="C76" s="777" t="s">
        <v>1204</v>
      </c>
      <c r="D76" s="777">
        <v>0</v>
      </c>
      <c r="F76">
        <v>723266</v>
      </c>
    </row>
    <row r="77" spans="1:6" x14ac:dyDescent="0.2">
      <c r="A77">
        <v>723318</v>
      </c>
      <c r="B77" s="777" t="s">
        <v>227</v>
      </c>
      <c r="C77" s="777" t="s">
        <v>1204</v>
      </c>
      <c r="D77" s="777">
        <v>0</v>
      </c>
      <c r="F77">
        <v>723318</v>
      </c>
    </row>
    <row r="78" spans="1:6" x14ac:dyDescent="0.2">
      <c r="A78">
        <v>723794</v>
      </c>
      <c r="B78" s="777" t="s">
        <v>230</v>
      </c>
      <c r="C78" s="777" t="s">
        <v>1204</v>
      </c>
      <c r="D78" s="777">
        <v>0</v>
      </c>
      <c r="F78">
        <v>723794</v>
      </c>
    </row>
    <row r="79" spans="1:6" x14ac:dyDescent="0.2">
      <c r="A79">
        <v>724072</v>
      </c>
      <c r="B79" s="777" t="s">
        <v>1233</v>
      </c>
      <c r="C79" s="777" t="s">
        <v>1204</v>
      </c>
      <c r="D79" s="777">
        <v>0</v>
      </c>
      <c r="F79">
        <v>724072</v>
      </c>
    </row>
    <row r="80" spans="1:6" x14ac:dyDescent="0.2">
      <c r="A80">
        <v>726076</v>
      </c>
      <c r="B80" s="777" t="s">
        <v>1449</v>
      </c>
      <c r="C80" s="777" t="s">
        <v>1204</v>
      </c>
      <c r="D80" s="777">
        <v>0</v>
      </c>
      <c r="F80">
        <v>726076</v>
      </c>
    </row>
    <row r="81" spans="1:6" x14ac:dyDescent="0.2">
      <c r="A81">
        <v>728487</v>
      </c>
      <c r="B81" s="777" t="s">
        <v>1234</v>
      </c>
      <c r="C81" s="777" t="s">
        <v>1204</v>
      </c>
      <c r="D81" s="777">
        <v>0</v>
      </c>
      <c r="F81">
        <v>728487</v>
      </c>
    </row>
    <row r="82" spans="1:6" x14ac:dyDescent="0.2">
      <c r="A82">
        <v>729406</v>
      </c>
      <c r="B82" s="777" t="s">
        <v>1235</v>
      </c>
      <c r="C82" s="777" t="s">
        <v>1204</v>
      </c>
      <c r="D82" s="777">
        <v>0</v>
      </c>
      <c r="F82">
        <v>729406</v>
      </c>
    </row>
    <row r="83" spans="1:6" x14ac:dyDescent="0.2">
      <c r="A83">
        <v>730069</v>
      </c>
      <c r="B83" s="777" t="s">
        <v>235</v>
      </c>
      <c r="C83" s="777" t="s">
        <v>1204</v>
      </c>
      <c r="D83" s="777">
        <v>0</v>
      </c>
      <c r="F83">
        <v>730069</v>
      </c>
    </row>
    <row r="84" spans="1:6" x14ac:dyDescent="0.2">
      <c r="A84">
        <v>730094</v>
      </c>
      <c r="B84" s="777" t="s">
        <v>1236</v>
      </c>
      <c r="C84" s="777" t="s">
        <v>1204</v>
      </c>
      <c r="D84" s="777">
        <v>0</v>
      </c>
      <c r="F84">
        <v>730094</v>
      </c>
    </row>
    <row r="85" spans="1:6" x14ac:dyDescent="0.2">
      <c r="A85">
        <v>730258</v>
      </c>
      <c r="B85" s="777" t="s">
        <v>338</v>
      </c>
      <c r="C85" s="777" t="s">
        <v>1204</v>
      </c>
      <c r="D85" s="777">
        <v>0</v>
      </c>
      <c r="F85">
        <v>730258</v>
      </c>
    </row>
    <row r="86" spans="1:6" x14ac:dyDescent="0.2">
      <c r="A86">
        <v>730318</v>
      </c>
      <c r="B86" s="777" t="s">
        <v>1237</v>
      </c>
      <c r="C86" s="777" t="s">
        <v>1204</v>
      </c>
      <c r="D86" s="777">
        <v>0</v>
      </c>
      <c r="F86">
        <v>730318</v>
      </c>
    </row>
    <row r="87" spans="1:6" x14ac:dyDescent="0.2">
      <c r="A87">
        <v>730506</v>
      </c>
      <c r="B87" s="777" t="s">
        <v>1684</v>
      </c>
      <c r="C87" s="777" t="s">
        <v>1204</v>
      </c>
      <c r="D87" s="777">
        <v>0</v>
      </c>
      <c r="F87">
        <v>730506</v>
      </c>
    </row>
    <row r="88" spans="1:6" x14ac:dyDescent="0.2">
      <c r="A88">
        <v>730681</v>
      </c>
      <c r="B88" s="777" t="s">
        <v>339</v>
      </c>
      <c r="C88" s="777" t="s">
        <v>1204</v>
      </c>
      <c r="D88" s="777">
        <v>0</v>
      </c>
      <c r="F88">
        <v>730681</v>
      </c>
    </row>
    <row r="89" spans="1:6" x14ac:dyDescent="0.2">
      <c r="A89">
        <v>731230</v>
      </c>
      <c r="B89" s="777" t="s">
        <v>1904</v>
      </c>
      <c r="C89" s="777" t="s">
        <v>1204</v>
      </c>
      <c r="D89" s="777">
        <v>0</v>
      </c>
      <c r="F89">
        <v>731230</v>
      </c>
    </row>
    <row r="90" spans="1:6" x14ac:dyDescent="0.2">
      <c r="A90">
        <v>731232</v>
      </c>
      <c r="B90" s="777" t="s">
        <v>1692</v>
      </c>
      <c r="C90" s="777" t="s">
        <v>1204</v>
      </c>
      <c r="D90" s="777">
        <v>0</v>
      </c>
      <c r="F90">
        <v>731232</v>
      </c>
    </row>
    <row r="91" spans="1:6" x14ac:dyDescent="0.2">
      <c r="A91">
        <v>731315</v>
      </c>
      <c r="B91" s="777" t="s">
        <v>1238</v>
      </c>
      <c r="C91" s="777" t="s">
        <v>1204</v>
      </c>
      <c r="D91" s="777">
        <v>0</v>
      </c>
      <c r="F91">
        <v>731315</v>
      </c>
    </row>
    <row r="92" spans="1:6" x14ac:dyDescent="0.2">
      <c r="A92">
        <v>731680</v>
      </c>
      <c r="B92" s="777" t="s">
        <v>1239</v>
      </c>
      <c r="C92" s="777" t="s">
        <v>1204</v>
      </c>
      <c r="D92" s="777">
        <v>0</v>
      </c>
      <c r="F92">
        <v>731680</v>
      </c>
    </row>
    <row r="93" spans="1:6" x14ac:dyDescent="0.2">
      <c r="A93">
        <v>731724</v>
      </c>
      <c r="B93" s="777" t="s">
        <v>237</v>
      </c>
      <c r="C93" s="777" t="s">
        <v>1204</v>
      </c>
      <c r="D93" s="777">
        <v>0</v>
      </c>
      <c r="F93">
        <v>731724</v>
      </c>
    </row>
    <row r="94" spans="1:6" x14ac:dyDescent="0.2">
      <c r="A94">
        <v>731779</v>
      </c>
      <c r="B94" s="777" t="s">
        <v>1224</v>
      </c>
      <c r="C94" s="777" t="s">
        <v>1204</v>
      </c>
      <c r="D94" s="777">
        <v>0</v>
      </c>
      <c r="F94">
        <v>731779</v>
      </c>
    </row>
    <row r="95" spans="1:6" x14ac:dyDescent="0.2">
      <c r="A95">
        <v>731780</v>
      </c>
      <c r="B95" s="777" t="s">
        <v>1224</v>
      </c>
      <c r="C95" s="777" t="s">
        <v>1204</v>
      </c>
      <c r="D95" s="777">
        <v>0</v>
      </c>
      <c r="F95">
        <v>731780</v>
      </c>
    </row>
    <row r="96" spans="1:6" x14ac:dyDescent="0.2">
      <c r="A96">
        <v>731828</v>
      </c>
      <c r="B96" s="777" t="s">
        <v>1906</v>
      </c>
      <c r="C96" s="777" t="s">
        <v>1204</v>
      </c>
      <c r="D96" s="777">
        <v>0</v>
      </c>
      <c r="F96">
        <v>731828</v>
      </c>
    </row>
    <row r="97" spans="1:6" x14ac:dyDescent="0.2">
      <c r="A97">
        <v>731850</v>
      </c>
      <c r="B97" s="777" t="s">
        <v>1695</v>
      </c>
      <c r="C97" s="777" t="s">
        <v>1204</v>
      </c>
      <c r="D97" s="777">
        <v>0</v>
      </c>
      <c r="F97">
        <v>731850</v>
      </c>
    </row>
    <row r="98" spans="1:6" x14ac:dyDescent="0.2">
      <c r="A98">
        <v>732021</v>
      </c>
      <c r="B98" s="777" t="s">
        <v>1697</v>
      </c>
      <c r="C98" s="777" t="s">
        <v>1204</v>
      </c>
      <c r="D98" s="777">
        <v>0</v>
      </c>
      <c r="F98">
        <v>732021</v>
      </c>
    </row>
    <row r="99" spans="1:6" x14ac:dyDescent="0.2">
      <c r="A99">
        <v>732037</v>
      </c>
      <c r="B99" s="777" t="s">
        <v>238</v>
      </c>
      <c r="C99" s="777" t="s">
        <v>1204</v>
      </c>
      <c r="D99" s="777">
        <v>0</v>
      </c>
      <c r="F99">
        <v>732037</v>
      </c>
    </row>
    <row r="100" spans="1:6" x14ac:dyDescent="0.2">
      <c r="A100">
        <v>732209</v>
      </c>
      <c r="B100" s="777" t="s">
        <v>1240</v>
      </c>
      <c r="C100" s="777" t="s">
        <v>1204</v>
      </c>
      <c r="D100" s="777">
        <v>0</v>
      </c>
      <c r="F100">
        <v>732209</v>
      </c>
    </row>
    <row r="101" spans="1:6" x14ac:dyDescent="0.2">
      <c r="A101">
        <v>732211</v>
      </c>
      <c r="B101" s="777" t="s">
        <v>340</v>
      </c>
      <c r="C101" s="777" t="s">
        <v>1204</v>
      </c>
      <c r="D101" s="777">
        <v>0</v>
      </c>
      <c r="F101">
        <v>732211</v>
      </c>
    </row>
    <row r="102" spans="1:6" x14ac:dyDescent="0.2">
      <c r="A102">
        <v>732263</v>
      </c>
      <c r="B102" s="777" t="s">
        <v>1699</v>
      </c>
      <c r="C102" s="777" t="s">
        <v>1204</v>
      </c>
      <c r="D102" s="777">
        <v>0</v>
      </c>
      <c r="F102">
        <v>732263</v>
      </c>
    </row>
    <row r="103" spans="1:6" x14ac:dyDescent="0.2">
      <c r="A103">
        <v>732314</v>
      </c>
      <c r="B103" s="777" t="s">
        <v>1241</v>
      </c>
      <c r="C103" s="777" t="s">
        <v>1204</v>
      </c>
      <c r="D103" s="777">
        <v>0</v>
      </c>
      <c r="F103">
        <v>732314</v>
      </c>
    </row>
    <row r="104" spans="1:6" x14ac:dyDescent="0.2">
      <c r="A104">
        <v>732731</v>
      </c>
      <c r="B104" s="777" t="s">
        <v>1242</v>
      </c>
      <c r="C104" s="777" t="s">
        <v>1204</v>
      </c>
      <c r="D104" s="777">
        <v>0</v>
      </c>
      <c r="F104">
        <v>732731</v>
      </c>
    </row>
    <row r="105" spans="1:6" x14ac:dyDescent="0.2">
      <c r="A105">
        <v>733208</v>
      </c>
      <c r="B105" s="777" t="s">
        <v>1701</v>
      </c>
      <c r="C105" s="777" t="s">
        <v>1204</v>
      </c>
      <c r="D105" s="777">
        <v>0</v>
      </c>
      <c r="F105">
        <v>733208</v>
      </c>
    </row>
    <row r="106" spans="1:6" x14ac:dyDescent="0.2">
      <c r="A106">
        <v>734272</v>
      </c>
      <c r="B106" s="777" t="s">
        <v>1243</v>
      </c>
      <c r="C106" s="777" t="s">
        <v>1204</v>
      </c>
      <c r="D106" s="777">
        <v>0</v>
      </c>
      <c r="F106">
        <v>734272</v>
      </c>
    </row>
    <row r="107" spans="1:6" x14ac:dyDescent="0.2">
      <c r="A107">
        <v>734583</v>
      </c>
      <c r="B107" s="777" t="s">
        <v>242</v>
      </c>
      <c r="C107" s="777" t="s">
        <v>1204</v>
      </c>
      <c r="D107" s="777">
        <v>0</v>
      </c>
      <c r="F107">
        <v>734583</v>
      </c>
    </row>
    <row r="108" spans="1:6" x14ac:dyDescent="0.2">
      <c r="A108">
        <v>734807</v>
      </c>
      <c r="B108" s="777" t="s">
        <v>1244</v>
      </c>
      <c r="C108" s="777" t="s">
        <v>1204</v>
      </c>
      <c r="D108" s="777">
        <v>0</v>
      </c>
      <c r="F108">
        <v>734807</v>
      </c>
    </row>
    <row r="109" spans="1:6" x14ac:dyDescent="0.2">
      <c r="A109">
        <v>734866</v>
      </c>
      <c r="B109" s="777" t="s">
        <v>1708</v>
      </c>
      <c r="C109" s="777" t="s">
        <v>1204</v>
      </c>
      <c r="D109" s="777">
        <v>0</v>
      </c>
      <c r="F109">
        <v>734866</v>
      </c>
    </row>
    <row r="110" spans="1:6" x14ac:dyDescent="0.2">
      <c r="A110">
        <v>734986</v>
      </c>
      <c r="B110" s="777" t="s">
        <v>243</v>
      </c>
      <c r="C110" s="777" t="s">
        <v>1204</v>
      </c>
      <c r="D110" s="777">
        <v>0</v>
      </c>
      <c r="F110">
        <v>734986</v>
      </c>
    </row>
    <row r="111" spans="1:6" x14ac:dyDescent="0.2">
      <c r="A111">
        <v>735479</v>
      </c>
      <c r="B111" s="777" t="s">
        <v>1245</v>
      </c>
      <c r="C111" s="777" t="s">
        <v>1204</v>
      </c>
      <c r="D111" s="777">
        <v>0</v>
      </c>
      <c r="F111">
        <v>735479</v>
      </c>
    </row>
    <row r="113" spans="4:4" x14ac:dyDescent="0.2">
      <c r="D113">
        <f>SUM(D2:D112)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70"/>
  <sheetViews>
    <sheetView workbookViewId="0">
      <selection activeCell="A24" sqref="A24:IV27"/>
    </sheetView>
  </sheetViews>
  <sheetFormatPr defaultColWidth="9.140625" defaultRowHeight="15" customHeight="1" x14ac:dyDescent="0.2"/>
  <cols>
    <col min="1" max="1" width="8" style="90" customWidth="1"/>
    <col min="2" max="2" width="4.28515625" bestFit="1" customWidth="1"/>
    <col min="3" max="3" width="21.7109375" customWidth="1"/>
    <col min="4" max="4" width="6" bestFit="1" customWidth="1"/>
    <col min="5" max="5" width="4.85546875" bestFit="1" customWidth="1"/>
    <col min="6" max="6" width="4.85546875" customWidth="1"/>
    <col min="7" max="7" width="14.5703125" customWidth="1"/>
    <col min="8" max="8" width="13.85546875" bestFit="1" customWidth="1"/>
    <col min="9" max="9" width="5.5703125" customWidth="1"/>
    <col min="10" max="10" width="9.42578125" style="90" bestFit="1" customWidth="1"/>
    <col min="11" max="11" width="5.140625" bestFit="1" customWidth="1"/>
    <col min="12" max="12" width="9.42578125" style="90" bestFit="1" customWidth="1"/>
    <col min="13" max="13" width="10.28515625" bestFit="1" customWidth="1"/>
    <col min="14" max="14" width="7.5703125" customWidth="1"/>
    <col min="15" max="15" width="30.42578125" customWidth="1"/>
    <col min="16" max="16" width="9.28515625" bestFit="1" customWidth="1"/>
    <col min="17" max="17" width="6.28515625" style="91" customWidth="1"/>
    <col min="18" max="18" width="8" customWidth="1"/>
    <col min="20" max="20" width="9.5703125" customWidth="1"/>
  </cols>
  <sheetData>
    <row r="1" spans="1:20" ht="23.25" customHeight="1" x14ac:dyDescent="0.2">
      <c r="A1" s="169" t="s">
        <v>1479</v>
      </c>
      <c r="B1" s="170" t="s">
        <v>1480</v>
      </c>
      <c r="C1" s="170" t="s">
        <v>1481</v>
      </c>
      <c r="D1" s="170" t="s">
        <v>1482</v>
      </c>
      <c r="E1" s="170" t="s">
        <v>1483</v>
      </c>
      <c r="F1" s="170" t="s">
        <v>1511</v>
      </c>
      <c r="G1" s="170" t="s">
        <v>1484</v>
      </c>
      <c r="H1" s="170" t="s">
        <v>1485</v>
      </c>
      <c r="I1" s="170" t="s">
        <v>1486</v>
      </c>
      <c r="J1" s="170" t="s">
        <v>1487</v>
      </c>
      <c r="K1" s="170" t="s">
        <v>1488</v>
      </c>
      <c r="L1" s="170" t="s">
        <v>1492</v>
      </c>
      <c r="M1" s="170" t="s">
        <v>1493</v>
      </c>
      <c r="N1" s="170" t="s">
        <v>1494</v>
      </c>
      <c r="O1" s="170" t="s">
        <v>1495</v>
      </c>
      <c r="P1" s="152"/>
      <c r="Q1" s="158" t="s">
        <v>1507</v>
      </c>
      <c r="R1" s="648"/>
      <c r="T1" s="153"/>
    </row>
    <row r="2" spans="1:20" ht="15" customHeight="1" x14ac:dyDescent="0.2">
      <c r="A2" s="879">
        <v>705822</v>
      </c>
      <c r="B2" s="879">
        <v>1</v>
      </c>
      <c r="C2" s="879" t="s">
        <v>876</v>
      </c>
      <c r="D2" s="879" t="s">
        <v>1444</v>
      </c>
      <c r="E2" s="879" t="s">
        <v>1496</v>
      </c>
      <c r="F2" s="879"/>
      <c r="G2" s="880">
        <v>37318</v>
      </c>
      <c r="H2" s="880">
        <v>37342</v>
      </c>
      <c r="I2" s="881">
        <v>40</v>
      </c>
      <c r="J2" s="881">
        <v>194</v>
      </c>
      <c r="K2" s="881">
        <v>1018</v>
      </c>
      <c r="L2" s="881">
        <v>197</v>
      </c>
      <c r="M2" s="881">
        <v>200204</v>
      </c>
      <c r="N2" s="881">
        <v>200203</v>
      </c>
      <c r="O2" s="879" t="s">
        <v>1550</v>
      </c>
      <c r="P2" s="152"/>
      <c r="Q2" s="160" t="str">
        <f>IF(ISNA(VLOOKUP(A2,InReg,1,FALSE)),"--", "Y")</f>
        <v>Y</v>
      </c>
      <c r="R2" s="160">
        <f>IF(ISNA(VLOOKUP(A2,InReg,1,FALSE)),"--",VLOOKUP(A2,InReg,7,FALSE))</f>
        <v>197</v>
      </c>
      <c r="S2" s="4">
        <f t="shared" ref="S2:S7" si="0">IF(Q2="Y",L2,0)</f>
        <v>197</v>
      </c>
      <c r="T2" s="153">
        <f>+R2-S2</f>
        <v>0</v>
      </c>
    </row>
    <row r="3" spans="1:20" ht="15" customHeight="1" x14ac:dyDescent="0.2">
      <c r="A3" s="879">
        <v>705940</v>
      </c>
      <c r="B3" s="879">
        <v>1</v>
      </c>
      <c r="C3" s="879" t="s">
        <v>1551</v>
      </c>
      <c r="D3" s="879" t="s">
        <v>1444</v>
      </c>
      <c r="E3" s="879" t="s">
        <v>1496</v>
      </c>
      <c r="F3" s="879"/>
      <c r="G3" s="880">
        <v>37316</v>
      </c>
      <c r="H3" s="880">
        <v>37347</v>
      </c>
      <c r="I3" s="881">
        <v>42</v>
      </c>
      <c r="J3" s="881">
        <v>6</v>
      </c>
      <c r="K3" s="881">
        <v>1018</v>
      </c>
      <c r="L3" s="881">
        <v>6</v>
      </c>
      <c r="M3" s="881">
        <v>200204</v>
      </c>
      <c r="N3" s="881">
        <v>200203</v>
      </c>
      <c r="O3" s="879" t="s">
        <v>1552</v>
      </c>
      <c r="P3" s="152"/>
      <c r="Q3" s="160" t="str">
        <f>IF(ISNA(VLOOKUP(A3,InReg,1,FALSE)),"--", "Y")</f>
        <v>Y</v>
      </c>
      <c r="R3" s="160">
        <f t="shared" ref="R3:R20" si="1">IF(ISNA(VLOOKUP(A3,InReg,1,FALSE)),"--",VLOOKUP(A3,InReg,7,FALSE))</f>
        <v>6</v>
      </c>
      <c r="S3" s="4">
        <f t="shared" si="0"/>
        <v>6</v>
      </c>
      <c r="T3" s="153">
        <f t="shared" ref="T3:T20" si="2">+R3-S3</f>
        <v>0</v>
      </c>
    </row>
    <row r="4" spans="1:20" ht="15" customHeight="1" x14ac:dyDescent="0.2">
      <c r="A4" s="879">
        <v>706480</v>
      </c>
      <c r="B4" s="879">
        <v>1</v>
      </c>
      <c r="C4" s="879" t="s">
        <v>1558</v>
      </c>
      <c r="D4" s="879" t="s">
        <v>1443</v>
      </c>
      <c r="E4" s="879" t="s">
        <v>1496</v>
      </c>
      <c r="F4" s="879"/>
      <c r="G4" s="880">
        <v>37316</v>
      </c>
      <c r="H4" s="880">
        <v>37347</v>
      </c>
      <c r="I4" s="881">
        <v>0</v>
      </c>
      <c r="J4" s="881">
        <v>0</v>
      </c>
      <c r="K4" s="881">
        <v>1000</v>
      </c>
      <c r="L4" s="881">
        <v>0</v>
      </c>
      <c r="M4" s="881">
        <v>200204</v>
      </c>
      <c r="N4" s="881">
        <v>200203</v>
      </c>
      <c r="O4" s="879" t="s">
        <v>1181</v>
      </c>
      <c r="P4" s="152"/>
      <c r="Q4" s="160" t="str">
        <f>IF(ISNA(VLOOKUP(A4,InReg,1,FALSE)),"--", "Y")</f>
        <v>Y</v>
      </c>
      <c r="R4" s="160">
        <f t="shared" si="1"/>
        <v>0</v>
      </c>
      <c r="S4" s="4">
        <f t="shared" si="0"/>
        <v>0</v>
      </c>
      <c r="T4" s="153">
        <f t="shared" si="2"/>
        <v>0</v>
      </c>
    </row>
    <row r="5" spans="1:20" ht="15" customHeight="1" x14ac:dyDescent="0.2">
      <c r="A5" s="879">
        <v>716865</v>
      </c>
      <c r="B5" s="879">
        <v>1</v>
      </c>
      <c r="C5" s="879" t="s">
        <v>195</v>
      </c>
      <c r="D5" s="879" t="s">
        <v>1443</v>
      </c>
      <c r="E5" s="879" t="s">
        <v>1496</v>
      </c>
      <c r="F5" s="879"/>
      <c r="G5" s="880">
        <v>37316</v>
      </c>
      <c r="H5" s="880">
        <v>37347</v>
      </c>
      <c r="I5" s="881">
        <v>0</v>
      </c>
      <c r="J5" s="881">
        <v>0</v>
      </c>
      <c r="K5" s="881">
        <v>1000</v>
      </c>
      <c r="L5" s="881">
        <v>0</v>
      </c>
      <c r="M5" s="881">
        <v>200204</v>
      </c>
      <c r="N5" s="881">
        <v>200203</v>
      </c>
      <c r="O5" s="879" t="s">
        <v>196</v>
      </c>
      <c r="P5" s="152"/>
      <c r="Q5" s="160" t="str">
        <f>IF(ISNA(VLOOKUP(A5,InReg,1,FALSE)),"--", "Y")</f>
        <v>Y</v>
      </c>
      <c r="R5" s="160">
        <f t="shared" si="1"/>
        <v>0</v>
      </c>
      <c r="S5" s="4">
        <f t="shared" si="0"/>
        <v>0</v>
      </c>
      <c r="T5" s="153">
        <f t="shared" si="2"/>
        <v>0</v>
      </c>
    </row>
    <row r="6" spans="1:20" ht="15" customHeight="1" x14ac:dyDescent="0.2">
      <c r="A6" s="879">
        <v>720186</v>
      </c>
      <c r="B6" s="879">
        <v>1</v>
      </c>
      <c r="C6" s="879" t="s">
        <v>210</v>
      </c>
      <c r="D6" s="879" t="s">
        <v>1443</v>
      </c>
      <c r="E6" s="879" t="s">
        <v>1496</v>
      </c>
      <c r="F6" s="879"/>
      <c r="G6" s="880">
        <v>37316</v>
      </c>
      <c r="H6" s="880">
        <v>37347</v>
      </c>
      <c r="I6" s="881">
        <v>0</v>
      </c>
      <c r="J6" s="881">
        <v>0</v>
      </c>
      <c r="K6" s="881">
        <v>1000</v>
      </c>
      <c r="L6" s="881">
        <v>0</v>
      </c>
      <c r="M6" s="881">
        <v>200204</v>
      </c>
      <c r="N6" s="881">
        <v>200203</v>
      </c>
      <c r="O6" s="879" t="s">
        <v>199</v>
      </c>
      <c r="P6" s="152"/>
      <c r="Q6" s="160" t="str">
        <f t="shared" ref="Q6:Q20" si="3">IF(ISNA(VLOOKUP(A6,InReg,1,FALSE)),"--", "Y")</f>
        <v>Y</v>
      </c>
      <c r="R6" s="160">
        <f t="shared" si="1"/>
        <v>0</v>
      </c>
      <c r="S6" s="4">
        <f t="shared" si="0"/>
        <v>0</v>
      </c>
      <c r="T6" s="153">
        <f t="shared" si="2"/>
        <v>0</v>
      </c>
    </row>
    <row r="7" spans="1:20" ht="15" customHeight="1" x14ac:dyDescent="0.2">
      <c r="A7" s="879">
        <v>722642</v>
      </c>
      <c r="B7" s="879">
        <v>1</v>
      </c>
      <c r="C7" s="879" t="s">
        <v>133</v>
      </c>
      <c r="D7" s="879" t="s">
        <v>1443</v>
      </c>
      <c r="E7" s="879" t="s">
        <v>1496</v>
      </c>
      <c r="F7" s="879"/>
      <c r="G7" s="880">
        <v>37316</v>
      </c>
      <c r="H7" s="880">
        <v>37351</v>
      </c>
      <c r="I7" s="881">
        <v>0</v>
      </c>
      <c r="J7" s="881">
        <v>0</v>
      </c>
      <c r="K7" s="881">
        <v>886</v>
      </c>
      <c r="L7" s="881">
        <v>0</v>
      </c>
      <c r="M7" s="881">
        <v>200204</v>
      </c>
      <c r="N7" s="881">
        <v>200203</v>
      </c>
      <c r="O7" s="879" t="s">
        <v>135</v>
      </c>
      <c r="P7" s="152"/>
      <c r="Q7" s="160" t="str">
        <f t="shared" si="3"/>
        <v>Y</v>
      </c>
      <c r="R7" s="160">
        <f t="shared" si="1"/>
        <v>0</v>
      </c>
      <c r="S7" s="4">
        <f t="shared" si="0"/>
        <v>0</v>
      </c>
      <c r="T7" s="153">
        <f t="shared" si="2"/>
        <v>0</v>
      </c>
    </row>
    <row r="8" spans="1:20" ht="15" customHeight="1" x14ac:dyDescent="0.2">
      <c r="A8" s="879">
        <v>722796</v>
      </c>
      <c r="B8" s="879">
        <v>1</v>
      </c>
      <c r="C8" s="879" t="s">
        <v>2185</v>
      </c>
      <c r="D8" s="879" t="s">
        <v>1444</v>
      </c>
      <c r="E8" s="879" t="s">
        <v>1496</v>
      </c>
      <c r="F8" s="879"/>
      <c r="G8" s="880">
        <v>37316</v>
      </c>
      <c r="H8" s="880">
        <v>37347</v>
      </c>
      <c r="I8" s="881">
        <v>0</v>
      </c>
      <c r="J8" s="881">
        <v>0</v>
      </c>
      <c r="K8" s="881">
        <v>1000</v>
      </c>
      <c r="L8" s="881">
        <v>0</v>
      </c>
      <c r="M8" s="881">
        <v>200204</v>
      </c>
      <c r="N8" s="881">
        <v>200203</v>
      </c>
      <c r="O8" s="879" t="s">
        <v>1513</v>
      </c>
      <c r="P8" s="152"/>
      <c r="Q8" s="160" t="str">
        <f t="shared" si="3"/>
        <v>Y</v>
      </c>
      <c r="R8" s="160">
        <f t="shared" si="1"/>
        <v>0</v>
      </c>
      <c r="S8" s="4">
        <f t="shared" ref="S8:S20" si="4">IF(Q8="Y",L8,0)</f>
        <v>0</v>
      </c>
      <c r="T8" s="153">
        <f t="shared" si="2"/>
        <v>0</v>
      </c>
    </row>
    <row r="9" spans="1:20" ht="15" customHeight="1" x14ac:dyDescent="0.2">
      <c r="A9" s="879">
        <v>722989</v>
      </c>
      <c r="B9" s="879">
        <v>1</v>
      </c>
      <c r="C9" s="879" t="s">
        <v>225</v>
      </c>
      <c r="D9" s="879" t="s">
        <v>1443</v>
      </c>
      <c r="E9" s="879" t="s">
        <v>1496</v>
      </c>
      <c r="F9" s="879"/>
      <c r="G9" s="880">
        <v>37316</v>
      </c>
      <c r="H9" s="880">
        <v>37347</v>
      </c>
      <c r="I9" s="881">
        <v>0</v>
      </c>
      <c r="J9" s="881">
        <v>0</v>
      </c>
      <c r="K9" s="881">
        <v>1000</v>
      </c>
      <c r="L9" s="881">
        <v>0</v>
      </c>
      <c r="M9" s="881">
        <v>200204</v>
      </c>
      <c r="N9" s="881">
        <v>200203</v>
      </c>
      <c r="O9" s="879" t="s">
        <v>1399</v>
      </c>
      <c r="P9" s="152"/>
      <c r="Q9" s="160" t="str">
        <f t="shared" si="3"/>
        <v>Y</v>
      </c>
      <c r="R9" s="160">
        <f t="shared" si="1"/>
        <v>0</v>
      </c>
      <c r="S9" s="4">
        <f t="shared" si="4"/>
        <v>0</v>
      </c>
      <c r="T9" s="153">
        <f t="shared" si="2"/>
        <v>0</v>
      </c>
    </row>
    <row r="10" spans="1:20" ht="15" customHeight="1" x14ac:dyDescent="0.2">
      <c r="A10" s="879">
        <v>723657</v>
      </c>
      <c r="B10" s="879">
        <v>1</v>
      </c>
      <c r="C10" s="879" t="s">
        <v>228</v>
      </c>
      <c r="D10" s="879" t="s">
        <v>1444</v>
      </c>
      <c r="E10" s="879" t="s">
        <v>1496</v>
      </c>
      <c r="F10" s="879"/>
      <c r="G10" s="880">
        <v>37316</v>
      </c>
      <c r="H10" s="880">
        <v>37347</v>
      </c>
      <c r="I10" s="881">
        <v>0</v>
      </c>
      <c r="J10" s="881">
        <v>0</v>
      </c>
      <c r="K10" s="881">
        <v>1000</v>
      </c>
      <c r="L10" s="881">
        <v>0</v>
      </c>
      <c r="M10" s="881">
        <v>200204</v>
      </c>
      <c r="N10" s="881">
        <v>200203</v>
      </c>
      <c r="O10" s="879" t="s">
        <v>229</v>
      </c>
      <c r="P10" s="152"/>
      <c r="Q10" s="160" t="str">
        <f t="shared" si="3"/>
        <v>Y</v>
      </c>
      <c r="R10" s="160">
        <f t="shared" si="1"/>
        <v>0</v>
      </c>
      <c r="S10" s="4">
        <f t="shared" si="4"/>
        <v>0</v>
      </c>
      <c r="T10" s="153">
        <f t="shared" si="2"/>
        <v>0</v>
      </c>
    </row>
    <row r="11" spans="1:20" ht="15" customHeight="1" x14ac:dyDescent="0.2">
      <c r="A11" s="879">
        <v>727158</v>
      </c>
      <c r="B11" s="879">
        <v>1</v>
      </c>
      <c r="C11" s="879" t="s">
        <v>231</v>
      </c>
      <c r="D11" s="879" t="s">
        <v>1443</v>
      </c>
      <c r="E11" s="879" t="s">
        <v>1496</v>
      </c>
      <c r="F11" s="879"/>
      <c r="G11" s="880">
        <v>37316</v>
      </c>
      <c r="H11" s="880">
        <v>37347</v>
      </c>
      <c r="I11" s="881">
        <v>0</v>
      </c>
      <c r="J11" s="881">
        <v>0</v>
      </c>
      <c r="K11" s="881">
        <v>1000</v>
      </c>
      <c r="L11" s="881">
        <v>0</v>
      </c>
      <c r="M11" s="881">
        <v>200204</v>
      </c>
      <c r="N11" s="881">
        <v>200203</v>
      </c>
      <c r="O11" s="879" t="s">
        <v>232</v>
      </c>
      <c r="P11" s="152"/>
      <c r="Q11" s="160" t="str">
        <f t="shared" si="3"/>
        <v>Y</v>
      </c>
      <c r="R11" s="160">
        <f t="shared" si="1"/>
        <v>0</v>
      </c>
      <c r="S11" s="4">
        <f t="shared" si="4"/>
        <v>0</v>
      </c>
      <c r="T11" s="153">
        <f t="shared" si="2"/>
        <v>0</v>
      </c>
    </row>
    <row r="12" spans="1:20" ht="15" customHeight="1" x14ac:dyDescent="0.2">
      <c r="A12" s="879">
        <v>727920</v>
      </c>
      <c r="B12" s="879">
        <v>1</v>
      </c>
      <c r="C12" s="879" t="s">
        <v>233</v>
      </c>
      <c r="D12" s="879" t="s">
        <v>1443</v>
      </c>
      <c r="E12" s="879" t="s">
        <v>1496</v>
      </c>
      <c r="F12" s="879"/>
      <c r="G12" s="880">
        <v>37320</v>
      </c>
      <c r="H12" s="880">
        <v>37351</v>
      </c>
      <c r="I12" s="881">
        <v>0</v>
      </c>
      <c r="J12" s="881">
        <v>0</v>
      </c>
      <c r="K12" s="881">
        <v>1032</v>
      </c>
      <c r="L12" s="881">
        <v>0</v>
      </c>
      <c r="M12" s="881">
        <v>200204</v>
      </c>
      <c r="N12" s="881">
        <v>200203</v>
      </c>
      <c r="O12" s="879" t="s">
        <v>234</v>
      </c>
      <c r="P12" s="152"/>
      <c r="Q12" s="160" t="str">
        <f t="shared" si="3"/>
        <v>Y</v>
      </c>
      <c r="R12" s="160">
        <f t="shared" si="1"/>
        <v>0</v>
      </c>
      <c r="S12" s="4">
        <f t="shared" si="4"/>
        <v>0</v>
      </c>
      <c r="T12" s="153">
        <f t="shared" si="2"/>
        <v>0</v>
      </c>
    </row>
    <row r="13" spans="1:20" ht="15" customHeight="1" x14ac:dyDescent="0.2">
      <c r="A13" s="879">
        <v>730163</v>
      </c>
      <c r="B13" s="879">
        <v>1</v>
      </c>
      <c r="C13" s="879" t="s">
        <v>1681</v>
      </c>
      <c r="D13" s="879" t="s">
        <v>1443</v>
      </c>
      <c r="E13" s="879" t="s">
        <v>1496</v>
      </c>
      <c r="F13" s="879"/>
      <c r="G13" s="880">
        <v>37316</v>
      </c>
      <c r="H13" s="880">
        <v>37347</v>
      </c>
      <c r="I13" s="881">
        <v>0</v>
      </c>
      <c r="J13" s="881">
        <v>0</v>
      </c>
      <c r="K13" s="881">
        <v>1000</v>
      </c>
      <c r="L13" s="881">
        <v>0</v>
      </c>
      <c r="M13" s="881">
        <v>200204</v>
      </c>
      <c r="N13" s="881">
        <v>200203</v>
      </c>
      <c r="O13" s="879" t="s">
        <v>1450</v>
      </c>
      <c r="P13" s="152"/>
      <c r="Q13" s="160" t="str">
        <f t="shared" si="3"/>
        <v>Y</v>
      </c>
      <c r="R13" s="160">
        <f t="shared" si="1"/>
        <v>0</v>
      </c>
      <c r="S13" s="4">
        <f t="shared" si="4"/>
        <v>0</v>
      </c>
      <c r="T13" s="153">
        <f t="shared" si="2"/>
        <v>0</v>
      </c>
    </row>
    <row r="14" spans="1:20" ht="15" customHeight="1" x14ac:dyDescent="0.2">
      <c r="A14" s="879">
        <v>730539</v>
      </c>
      <c r="B14" s="879">
        <v>1</v>
      </c>
      <c r="C14" s="879" t="s">
        <v>236</v>
      </c>
      <c r="D14" s="879" t="s">
        <v>1443</v>
      </c>
      <c r="E14" s="879" t="s">
        <v>1496</v>
      </c>
      <c r="F14" s="879"/>
      <c r="G14" s="880">
        <v>37316</v>
      </c>
      <c r="H14" s="880">
        <v>37347</v>
      </c>
      <c r="I14" s="881">
        <v>0</v>
      </c>
      <c r="J14" s="881">
        <v>0</v>
      </c>
      <c r="K14" s="881">
        <v>1000</v>
      </c>
      <c r="L14" s="881">
        <v>0</v>
      </c>
      <c r="M14" s="881">
        <v>200204</v>
      </c>
      <c r="N14" s="881">
        <v>200203</v>
      </c>
      <c r="O14" s="879" t="s">
        <v>221</v>
      </c>
      <c r="P14" s="152"/>
      <c r="Q14" s="160" t="str">
        <f t="shared" si="3"/>
        <v>Y</v>
      </c>
      <c r="R14" s="160">
        <f t="shared" si="1"/>
        <v>0</v>
      </c>
      <c r="S14" s="4">
        <f t="shared" si="4"/>
        <v>0</v>
      </c>
      <c r="T14" s="153">
        <f t="shared" si="2"/>
        <v>0</v>
      </c>
    </row>
    <row r="15" spans="1:20" ht="15" customHeight="1" x14ac:dyDescent="0.2">
      <c r="A15" s="879">
        <v>731230</v>
      </c>
      <c r="B15" s="879">
        <v>1</v>
      </c>
      <c r="C15" s="879" t="s">
        <v>131</v>
      </c>
      <c r="D15" s="879" t="s">
        <v>1443</v>
      </c>
      <c r="E15" s="879" t="s">
        <v>1496</v>
      </c>
      <c r="F15" s="879"/>
      <c r="G15" s="880">
        <v>37315</v>
      </c>
      <c r="H15" s="880">
        <v>37345</v>
      </c>
      <c r="I15" s="881">
        <v>33</v>
      </c>
      <c r="J15" s="881">
        <v>16</v>
      </c>
      <c r="K15" s="881">
        <v>1412</v>
      </c>
      <c r="L15" s="881">
        <v>22</v>
      </c>
      <c r="M15" s="881">
        <v>200204</v>
      </c>
      <c r="N15" s="881">
        <v>200203</v>
      </c>
      <c r="O15" s="879" t="s">
        <v>132</v>
      </c>
      <c r="P15" s="152"/>
      <c r="Q15" s="160" t="str">
        <f t="shared" si="3"/>
        <v>Y</v>
      </c>
      <c r="R15" s="160">
        <f t="shared" si="1"/>
        <v>22</v>
      </c>
      <c r="S15" s="4">
        <f t="shared" si="4"/>
        <v>22</v>
      </c>
      <c r="T15" s="153">
        <f t="shared" si="2"/>
        <v>0</v>
      </c>
    </row>
    <row r="16" spans="1:20" ht="15" customHeight="1" x14ac:dyDescent="0.2">
      <c r="A16" s="879">
        <v>731303</v>
      </c>
      <c r="B16" s="879">
        <v>1</v>
      </c>
      <c r="C16" s="879" t="s">
        <v>1693</v>
      </c>
      <c r="D16" s="879" t="s">
        <v>1443</v>
      </c>
      <c r="E16" s="879" t="s">
        <v>1496</v>
      </c>
      <c r="F16" s="879"/>
      <c r="G16" s="880">
        <v>37316</v>
      </c>
      <c r="H16" s="880">
        <v>37347</v>
      </c>
      <c r="I16" s="881">
        <v>0</v>
      </c>
      <c r="J16" s="881">
        <v>0</v>
      </c>
      <c r="K16" s="881">
        <v>1000</v>
      </c>
      <c r="L16" s="881">
        <v>0</v>
      </c>
      <c r="M16" s="881">
        <v>200204</v>
      </c>
      <c r="N16" s="881">
        <v>200203</v>
      </c>
      <c r="O16" s="879" t="s">
        <v>1657</v>
      </c>
      <c r="P16" s="152"/>
      <c r="Q16" s="160" t="str">
        <f t="shared" si="3"/>
        <v>Y</v>
      </c>
      <c r="R16" s="160">
        <f t="shared" si="1"/>
        <v>0</v>
      </c>
      <c r="S16" s="4">
        <f t="shared" si="4"/>
        <v>0</v>
      </c>
      <c r="T16" s="153">
        <f t="shared" si="2"/>
        <v>0</v>
      </c>
    </row>
    <row r="17" spans="1:20" ht="15" customHeight="1" x14ac:dyDescent="0.2">
      <c r="A17" s="879">
        <v>732211</v>
      </c>
      <c r="B17" s="879">
        <v>1</v>
      </c>
      <c r="C17" s="879" t="s">
        <v>240</v>
      </c>
      <c r="D17" s="879" t="s">
        <v>1444</v>
      </c>
      <c r="E17" s="879" t="s">
        <v>1496</v>
      </c>
      <c r="F17" s="879"/>
      <c r="G17" s="880">
        <v>37320</v>
      </c>
      <c r="H17" s="880">
        <v>37347</v>
      </c>
      <c r="I17" s="881">
        <v>0</v>
      </c>
      <c r="J17" s="881">
        <v>0</v>
      </c>
      <c r="K17" s="881">
        <v>1000</v>
      </c>
      <c r="L17" s="881">
        <v>0</v>
      </c>
      <c r="M17" s="881">
        <v>200204</v>
      </c>
      <c r="N17" s="881">
        <v>200203</v>
      </c>
      <c r="O17" s="879" t="s">
        <v>241</v>
      </c>
      <c r="P17" s="152"/>
      <c r="Q17" s="160" t="str">
        <f t="shared" si="3"/>
        <v>Y</v>
      </c>
      <c r="R17" s="160">
        <f t="shared" si="1"/>
        <v>0</v>
      </c>
      <c r="S17" s="4">
        <f t="shared" si="4"/>
        <v>0</v>
      </c>
      <c r="T17" s="153">
        <f t="shared" si="2"/>
        <v>0</v>
      </c>
    </row>
    <row r="18" spans="1:20" ht="15" customHeight="1" x14ac:dyDescent="0.2">
      <c r="A18" s="879">
        <v>733817</v>
      </c>
      <c r="B18" s="879">
        <v>1</v>
      </c>
      <c r="C18" s="879" t="s">
        <v>1014</v>
      </c>
      <c r="D18" s="879" t="s">
        <v>1443</v>
      </c>
      <c r="E18" s="879" t="s">
        <v>1496</v>
      </c>
      <c r="F18" s="879"/>
      <c r="G18" s="880">
        <v>37316</v>
      </c>
      <c r="H18" s="880">
        <v>37347</v>
      </c>
      <c r="I18" s="881">
        <v>0</v>
      </c>
      <c r="J18" s="881">
        <v>0</v>
      </c>
      <c r="K18" s="881">
        <v>1000</v>
      </c>
      <c r="L18" s="881">
        <v>0</v>
      </c>
      <c r="M18" s="881">
        <v>200204</v>
      </c>
      <c r="N18" s="881">
        <v>200203</v>
      </c>
      <c r="O18" s="879" t="s">
        <v>1704</v>
      </c>
      <c r="P18" s="152"/>
      <c r="Q18" s="160" t="str">
        <f t="shared" si="3"/>
        <v>Y</v>
      </c>
      <c r="R18" s="160">
        <f t="shared" si="1"/>
        <v>0</v>
      </c>
      <c r="S18" s="4">
        <f t="shared" si="4"/>
        <v>0</v>
      </c>
      <c r="T18" s="153">
        <f t="shared" si="2"/>
        <v>0</v>
      </c>
    </row>
    <row r="19" spans="1:20" ht="15" customHeight="1" x14ac:dyDescent="0.2">
      <c r="A19" s="879">
        <v>734237</v>
      </c>
      <c r="B19" s="879">
        <v>1</v>
      </c>
      <c r="C19" s="879" t="s">
        <v>1705</v>
      </c>
      <c r="D19" s="879" t="s">
        <v>1443</v>
      </c>
      <c r="E19" s="879" t="s">
        <v>1496</v>
      </c>
      <c r="F19" s="879"/>
      <c r="G19" s="880">
        <v>37316</v>
      </c>
      <c r="H19" s="880">
        <v>37347</v>
      </c>
      <c r="I19" s="881">
        <v>0</v>
      </c>
      <c r="J19" s="881">
        <v>0</v>
      </c>
      <c r="K19" s="881">
        <v>1000</v>
      </c>
      <c r="L19" s="881">
        <v>0</v>
      </c>
      <c r="M19" s="881">
        <v>200204</v>
      </c>
      <c r="N19" s="881">
        <v>200203</v>
      </c>
      <c r="O19" s="879" t="s">
        <v>1706</v>
      </c>
      <c r="P19" s="152"/>
      <c r="Q19" s="160" t="str">
        <f t="shared" si="3"/>
        <v>Y</v>
      </c>
      <c r="R19" s="160">
        <f t="shared" si="1"/>
        <v>0</v>
      </c>
      <c r="S19" s="4">
        <f t="shared" si="4"/>
        <v>0</v>
      </c>
      <c r="T19" s="153">
        <f t="shared" si="2"/>
        <v>0</v>
      </c>
    </row>
    <row r="20" spans="1:20" ht="15" customHeight="1" x14ac:dyDescent="0.2">
      <c r="A20" s="879">
        <v>736139</v>
      </c>
      <c r="B20" s="879">
        <v>1</v>
      </c>
      <c r="C20" s="879" t="s">
        <v>857</v>
      </c>
      <c r="D20" s="879" t="s">
        <v>1443</v>
      </c>
      <c r="E20" s="879" t="s">
        <v>1496</v>
      </c>
      <c r="F20" s="879"/>
      <c r="G20" s="880">
        <v>37316</v>
      </c>
      <c r="H20" s="880">
        <v>37347</v>
      </c>
      <c r="I20" s="881">
        <v>0</v>
      </c>
      <c r="J20" s="881">
        <v>0</v>
      </c>
      <c r="K20" s="881">
        <v>1000</v>
      </c>
      <c r="L20" s="881">
        <v>0</v>
      </c>
      <c r="M20" s="881">
        <v>200204</v>
      </c>
      <c r="N20" s="881">
        <v>200203</v>
      </c>
      <c r="O20" s="879" t="s">
        <v>1704</v>
      </c>
      <c r="P20" s="152"/>
      <c r="Q20" s="160" t="str">
        <f t="shared" si="3"/>
        <v>Y</v>
      </c>
      <c r="R20" s="160">
        <f t="shared" si="1"/>
        <v>0</v>
      </c>
      <c r="S20" s="4">
        <f t="shared" si="4"/>
        <v>0</v>
      </c>
      <c r="T20" s="153">
        <f t="shared" si="2"/>
        <v>0</v>
      </c>
    </row>
    <row r="21" spans="1:20" ht="15" customHeight="1" x14ac:dyDescent="0.2">
      <c r="A21" s="793"/>
      <c r="B21" s="793"/>
      <c r="C21" s="793"/>
      <c r="D21" s="793"/>
      <c r="E21" s="793"/>
      <c r="F21" s="793"/>
      <c r="G21" s="793"/>
      <c r="H21" s="793"/>
      <c r="I21" s="793"/>
      <c r="J21" s="793">
        <f>SUM(J2:J20)</f>
        <v>216</v>
      </c>
      <c r="K21" s="793"/>
      <c r="L21" s="792">
        <f>SUM(L2:L20)</f>
        <v>225</v>
      </c>
      <c r="M21" s="793"/>
      <c r="N21" s="793"/>
      <c r="O21" s="793"/>
      <c r="R21">
        <f>SUM(R2:R20)</f>
        <v>225</v>
      </c>
      <c r="S21">
        <f>SUM(S2:S20)</f>
        <v>225</v>
      </c>
      <c r="T21">
        <f>SUM(T2:T20)</f>
        <v>0</v>
      </c>
    </row>
    <row r="22" spans="1:20" ht="15" customHeight="1" x14ac:dyDescent="0.2">
      <c r="A22" s="793"/>
      <c r="B22" s="793"/>
      <c r="C22" s="793"/>
      <c r="D22" s="793"/>
      <c r="E22" s="793"/>
      <c r="F22" s="793"/>
      <c r="G22" s="793"/>
      <c r="H22" s="793"/>
      <c r="I22" s="793"/>
      <c r="J22" s="793"/>
      <c r="K22" s="793"/>
      <c r="L22" s="793"/>
      <c r="M22" s="793"/>
      <c r="N22" s="793"/>
      <c r="O22" s="793"/>
      <c r="R22" s="91"/>
    </row>
    <row r="23" spans="1:20" ht="15" customHeight="1" x14ac:dyDescent="0.2">
      <c r="A23" s="793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793"/>
      <c r="R23" s="91"/>
    </row>
    <row r="24" spans="1:20" s="550" customFormat="1" ht="15" customHeight="1" x14ac:dyDescent="0.2">
      <c r="A24" s="879"/>
      <c r="B24" s="879"/>
      <c r="C24" s="879"/>
      <c r="D24" s="879"/>
      <c r="E24" s="879"/>
      <c r="F24" s="879"/>
      <c r="G24" s="880"/>
      <c r="H24" s="880"/>
      <c r="I24" s="881"/>
      <c r="J24" s="881"/>
      <c r="K24" s="881"/>
      <c r="L24" s="881"/>
      <c r="M24" s="881"/>
      <c r="N24" s="881"/>
      <c r="O24" s="879"/>
    </row>
    <row r="25" spans="1:20" s="550" customFormat="1" ht="15" customHeight="1" x14ac:dyDescent="0.2">
      <c r="A25" s="879">
        <v>705940</v>
      </c>
      <c r="B25" s="879">
        <v>1</v>
      </c>
      <c r="C25" s="879" t="s">
        <v>1551</v>
      </c>
      <c r="D25" s="879" t="s">
        <v>1444</v>
      </c>
      <c r="E25" s="879" t="s">
        <v>1553</v>
      </c>
      <c r="F25" s="879"/>
      <c r="G25" s="880">
        <v>37287</v>
      </c>
      <c r="H25" s="880">
        <v>37315</v>
      </c>
      <c r="I25" s="881">
        <v>0</v>
      </c>
      <c r="J25" s="881">
        <v>6</v>
      </c>
      <c r="K25" s="881">
        <v>1018</v>
      </c>
      <c r="L25" s="881">
        <v>6</v>
      </c>
      <c r="M25" s="881">
        <v>200204</v>
      </c>
      <c r="N25" s="881">
        <v>200202</v>
      </c>
      <c r="O25" s="879" t="s">
        <v>1552</v>
      </c>
    </row>
    <row r="26" spans="1:20" s="550" customFormat="1" ht="15" customHeight="1" x14ac:dyDescent="0.2"/>
    <row r="27" spans="1:20" s="550" customFormat="1" ht="15" customHeight="1" x14ac:dyDescent="0.2">
      <c r="J27" s="550">
        <f>SUM(J25:J26)</f>
        <v>6</v>
      </c>
      <c r="L27" s="550">
        <f>SUM(L25:L26)</f>
        <v>6</v>
      </c>
    </row>
    <row r="28" spans="1:20" s="793" customFormat="1" ht="15" customHeight="1" x14ac:dyDescent="0.2">
      <c r="A28" s="879"/>
      <c r="B28" s="879"/>
      <c r="C28" s="879"/>
      <c r="D28" s="879"/>
      <c r="E28" s="879"/>
      <c r="F28" s="879"/>
      <c r="G28" s="880"/>
      <c r="H28" s="880"/>
      <c r="I28" s="881"/>
      <c r="J28" s="881"/>
      <c r="K28" s="881"/>
      <c r="L28" s="881"/>
      <c r="M28" s="881"/>
      <c r="N28" s="881"/>
      <c r="O28" s="879"/>
      <c r="Q28" s="794"/>
      <c r="R28" s="794"/>
    </row>
    <row r="29" spans="1:20" s="793" customFormat="1" ht="15" customHeight="1" x14ac:dyDescent="0.2">
      <c r="A29" s="879"/>
      <c r="B29" s="879"/>
      <c r="C29" s="879"/>
      <c r="D29" s="879"/>
      <c r="E29" s="879"/>
      <c r="F29" s="879"/>
      <c r="G29" s="880"/>
      <c r="H29" s="880"/>
      <c r="I29" s="881"/>
      <c r="J29" s="881"/>
      <c r="K29" s="881"/>
      <c r="L29" s="881"/>
      <c r="M29" s="881"/>
      <c r="N29" s="881"/>
      <c r="O29" s="879"/>
      <c r="Q29" s="794"/>
      <c r="R29" s="794"/>
    </row>
    <row r="30" spans="1:20" s="793" customFormat="1" ht="15" customHeight="1" x14ac:dyDescent="0.2">
      <c r="A30" s="879"/>
      <c r="B30" s="879"/>
      <c r="C30" s="879"/>
      <c r="D30" s="879"/>
      <c r="E30" s="879"/>
      <c r="F30" s="879"/>
      <c r="G30" s="880"/>
      <c r="H30" s="880"/>
      <c r="I30" s="881"/>
      <c r="J30" s="881"/>
      <c r="K30" s="881"/>
      <c r="L30" s="881"/>
      <c r="M30" s="881"/>
      <c r="N30" s="881"/>
      <c r="O30" s="879"/>
      <c r="Q30" s="794"/>
      <c r="R30" s="794"/>
    </row>
    <row r="31" spans="1:20" ht="15" customHeight="1" x14ac:dyDescent="0.2">
      <c r="A31" s="879"/>
      <c r="B31" s="879"/>
      <c r="C31" s="879"/>
      <c r="D31" s="879"/>
      <c r="E31" s="879"/>
      <c r="F31" s="879"/>
      <c r="G31" s="880"/>
      <c r="H31" s="880"/>
      <c r="I31" s="881"/>
      <c r="J31" s="881"/>
      <c r="K31" s="881"/>
      <c r="L31" s="881"/>
      <c r="M31" s="881"/>
      <c r="N31" s="881"/>
      <c r="O31" s="879"/>
    </row>
    <row r="32" spans="1:20" ht="15" customHeight="1" x14ac:dyDescent="0.2">
      <c r="A32" s="879"/>
      <c r="B32" s="879"/>
      <c r="C32" s="879"/>
      <c r="D32" s="879"/>
      <c r="E32" s="879"/>
      <c r="F32" s="879"/>
      <c r="G32" s="880"/>
      <c r="H32" s="880"/>
      <c r="I32" s="881"/>
      <c r="J32" s="881"/>
      <c r="K32" s="881"/>
      <c r="L32" s="881"/>
      <c r="M32" s="881"/>
      <c r="N32" s="881"/>
      <c r="O32" s="879"/>
    </row>
    <row r="33" spans="1:15" ht="15" customHeight="1" x14ac:dyDescent="0.2">
      <c r="A33" s="879"/>
      <c r="B33" s="879"/>
      <c r="C33" s="879"/>
      <c r="D33" s="879"/>
      <c r="E33" s="879"/>
      <c r="F33" s="879"/>
      <c r="G33" s="880"/>
      <c r="H33" s="880"/>
      <c r="I33" s="881"/>
      <c r="J33" s="881"/>
      <c r="K33" s="881"/>
      <c r="L33" s="881"/>
      <c r="M33" s="881"/>
      <c r="N33" s="881"/>
      <c r="O33" s="879"/>
    </row>
    <row r="34" spans="1:15" ht="15" customHeight="1" x14ac:dyDescent="0.2">
      <c r="A34" s="879"/>
      <c r="B34" s="879"/>
      <c r="C34" s="879"/>
      <c r="D34" s="879"/>
      <c r="E34" s="879"/>
      <c r="F34" s="879"/>
      <c r="G34" s="880"/>
      <c r="H34" s="880"/>
      <c r="I34" s="881"/>
      <c r="J34" s="881"/>
      <c r="K34" s="881"/>
      <c r="L34" s="881"/>
      <c r="M34" s="881"/>
      <c r="N34" s="881"/>
      <c r="O34" s="879"/>
    </row>
    <row r="35" spans="1:15" ht="15" customHeight="1" x14ac:dyDescent="0.2">
      <c r="A35" s="879"/>
      <c r="B35" s="879"/>
      <c r="C35" s="879"/>
      <c r="D35" s="879"/>
      <c r="E35" s="879"/>
      <c r="F35" s="879"/>
      <c r="G35" s="880"/>
      <c r="H35" s="880"/>
      <c r="I35" s="881"/>
      <c r="J35" s="881"/>
      <c r="K35" s="881"/>
      <c r="L35" s="881"/>
      <c r="M35" s="881"/>
      <c r="N35" s="881"/>
      <c r="O35" s="879"/>
    </row>
    <row r="36" spans="1:15" ht="15" customHeight="1" x14ac:dyDescent="0.2">
      <c r="A36" s="879"/>
      <c r="B36" s="879"/>
      <c r="C36" s="879"/>
      <c r="D36" s="879"/>
      <c r="E36" s="879"/>
      <c r="F36" s="879"/>
      <c r="G36" s="880"/>
      <c r="H36" s="880"/>
      <c r="I36" s="881"/>
      <c r="J36" s="881"/>
      <c r="K36" s="881"/>
      <c r="L36" s="881"/>
      <c r="M36" s="881"/>
      <c r="N36" s="881"/>
      <c r="O36" s="879"/>
    </row>
    <row r="37" spans="1:15" ht="15" customHeight="1" x14ac:dyDescent="0.2">
      <c r="A37" s="879"/>
      <c r="B37" s="879"/>
      <c r="C37" s="879"/>
      <c r="D37" s="879"/>
      <c r="E37" s="879"/>
      <c r="F37" s="879"/>
      <c r="G37" s="880"/>
      <c r="H37" s="880"/>
      <c r="I37" s="881"/>
      <c r="J37" s="881"/>
      <c r="K37" s="881"/>
      <c r="L37" s="881"/>
      <c r="M37" s="881"/>
      <c r="N37" s="881"/>
      <c r="O37" s="879"/>
    </row>
    <row r="38" spans="1:15" ht="15" customHeight="1" x14ac:dyDescent="0.2">
      <c r="A38" s="879"/>
      <c r="B38" s="879"/>
      <c r="C38" s="879"/>
      <c r="D38" s="879"/>
      <c r="E38" s="879"/>
      <c r="F38" s="879"/>
      <c r="G38" s="880"/>
      <c r="H38" s="880"/>
      <c r="I38" s="881"/>
      <c r="J38" s="881"/>
      <c r="K38" s="881"/>
      <c r="L38" s="881"/>
      <c r="M38" s="881"/>
      <c r="N38" s="881"/>
      <c r="O38" s="879"/>
    </row>
    <row r="39" spans="1:15" ht="15" customHeight="1" x14ac:dyDescent="0.2">
      <c r="A39" s="879"/>
      <c r="B39" s="879"/>
      <c r="C39" s="879"/>
      <c r="D39" s="879"/>
      <c r="E39" s="879"/>
      <c r="F39" s="879"/>
      <c r="G39" s="880"/>
      <c r="H39" s="880"/>
      <c r="I39" s="881"/>
      <c r="J39" s="881"/>
      <c r="K39" s="881"/>
      <c r="L39" s="881"/>
      <c r="M39" s="881"/>
      <c r="N39" s="881"/>
      <c r="O39" s="879"/>
    </row>
    <row r="40" spans="1:15" ht="15" customHeight="1" x14ac:dyDescent="0.2">
      <c r="A40" s="879"/>
      <c r="B40" s="879"/>
      <c r="C40" s="879"/>
      <c r="D40" s="879"/>
      <c r="E40" s="879"/>
      <c r="F40" s="879"/>
      <c r="G40" s="880"/>
      <c r="H40" s="880"/>
      <c r="I40" s="881"/>
      <c r="J40" s="881"/>
      <c r="K40" s="881"/>
      <c r="L40" s="881"/>
      <c r="M40" s="881"/>
      <c r="N40" s="881"/>
      <c r="O40" s="879"/>
    </row>
    <row r="41" spans="1:15" ht="15" customHeight="1" x14ac:dyDescent="0.2">
      <c r="A41" s="879"/>
      <c r="B41" s="879"/>
      <c r="C41" s="879"/>
      <c r="D41" s="879"/>
      <c r="E41" s="879"/>
      <c r="F41" s="879"/>
      <c r="G41" s="880"/>
      <c r="H41" s="880"/>
      <c r="I41" s="881"/>
      <c r="J41" s="881"/>
      <c r="K41" s="881"/>
      <c r="L41" s="881"/>
      <c r="M41" s="881"/>
      <c r="N41" s="881"/>
      <c r="O41" s="879"/>
    </row>
    <row r="42" spans="1:15" ht="15" customHeight="1" x14ac:dyDescent="0.2">
      <c r="A42" s="879"/>
      <c r="B42" s="879"/>
      <c r="C42" s="879"/>
      <c r="D42" s="879"/>
      <c r="E42" s="879"/>
      <c r="F42" s="879"/>
      <c r="G42" s="880"/>
      <c r="H42" s="880"/>
      <c r="I42" s="881"/>
      <c r="J42" s="881"/>
      <c r="K42" s="881"/>
      <c r="L42" s="881"/>
      <c r="M42" s="881"/>
      <c r="N42" s="881"/>
      <c r="O42" s="879"/>
    </row>
    <row r="43" spans="1:15" ht="15" customHeight="1" x14ac:dyDescent="0.2">
      <c r="A43" s="879"/>
      <c r="B43" s="879"/>
      <c r="C43" s="879"/>
      <c r="D43" s="879"/>
      <c r="E43" s="879"/>
      <c r="F43" s="879"/>
      <c r="G43" s="880"/>
      <c r="H43" s="880"/>
      <c r="I43" s="881"/>
      <c r="J43" s="881"/>
      <c r="K43" s="881"/>
      <c r="L43" s="881"/>
      <c r="M43" s="881"/>
      <c r="N43" s="881"/>
      <c r="O43" s="879"/>
    </row>
    <row r="44" spans="1:15" ht="15" customHeight="1" x14ac:dyDescent="0.2">
      <c r="A44" s="879"/>
      <c r="B44" s="879"/>
      <c r="C44" s="879"/>
      <c r="D44" s="879"/>
      <c r="E44" s="879"/>
      <c r="F44" s="879"/>
      <c r="G44" s="880"/>
      <c r="H44" s="880"/>
      <c r="I44" s="881"/>
      <c r="J44" s="881"/>
      <c r="K44" s="881"/>
      <c r="L44" s="881"/>
      <c r="M44" s="881"/>
      <c r="N44" s="881"/>
      <c r="O44" s="879"/>
    </row>
    <row r="45" spans="1:15" ht="15" customHeight="1" x14ac:dyDescent="0.2">
      <c r="A45" s="879"/>
      <c r="B45" s="879"/>
      <c r="C45" s="879"/>
      <c r="D45" s="879"/>
      <c r="E45" s="879"/>
      <c r="F45" s="879"/>
      <c r="G45" s="880"/>
      <c r="H45" s="880"/>
      <c r="I45" s="881"/>
      <c r="J45" s="881"/>
      <c r="K45" s="881"/>
      <c r="L45" s="881"/>
      <c r="M45" s="881"/>
      <c r="N45" s="881"/>
      <c r="O45" s="879"/>
    </row>
    <row r="46" spans="1:15" ht="15" customHeight="1" x14ac:dyDescent="0.2">
      <c r="A46" s="879"/>
      <c r="B46" s="879"/>
      <c r="C46" s="879"/>
      <c r="D46" s="879"/>
      <c r="E46" s="879"/>
      <c r="F46" s="879"/>
      <c r="G46" s="880"/>
      <c r="H46" s="880"/>
      <c r="I46" s="881"/>
      <c r="J46" s="881"/>
      <c r="K46" s="881"/>
      <c r="L46" s="881"/>
      <c r="M46" s="881"/>
      <c r="N46" s="881"/>
      <c r="O46" s="879"/>
    </row>
    <row r="47" spans="1:15" ht="15" customHeight="1" x14ac:dyDescent="0.2">
      <c r="A47" s="879"/>
      <c r="B47" s="879"/>
      <c r="C47" s="879"/>
      <c r="D47" s="879"/>
      <c r="E47" s="879"/>
      <c r="F47" s="879"/>
      <c r="G47" s="880"/>
      <c r="H47" s="880"/>
      <c r="I47" s="881"/>
      <c r="J47" s="881"/>
      <c r="K47" s="881"/>
      <c r="L47" s="881"/>
      <c r="M47" s="881"/>
      <c r="N47" s="881"/>
      <c r="O47" s="879"/>
    </row>
    <row r="48" spans="1:15" ht="15" customHeight="1" x14ac:dyDescent="0.2">
      <c r="A48" s="879"/>
      <c r="B48" s="879"/>
      <c r="C48" s="879"/>
      <c r="D48" s="879"/>
      <c r="E48" s="879"/>
      <c r="F48" s="879"/>
      <c r="G48" s="880"/>
      <c r="H48" s="880"/>
      <c r="I48" s="881"/>
      <c r="J48" s="881"/>
      <c r="K48" s="881"/>
      <c r="L48" s="881"/>
      <c r="M48" s="881"/>
      <c r="N48" s="881"/>
      <c r="O48" s="879"/>
    </row>
    <row r="49" spans="1:15" ht="15" customHeight="1" x14ac:dyDescent="0.2">
      <c r="A49" s="879"/>
      <c r="B49" s="879"/>
      <c r="C49" s="879"/>
      <c r="D49" s="879"/>
      <c r="E49" s="879"/>
      <c r="F49" s="879"/>
      <c r="G49" s="880"/>
      <c r="H49" s="880"/>
      <c r="I49" s="881"/>
      <c r="J49" s="881"/>
      <c r="K49" s="881"/>
      <c r="L49" s="881"/>
      <c r="M49" s="881"/>
      <c r="N49" s="881"/>
      <c r="O49" s="879"/>
    </row>
    <row r="50" spans="1:15" ht="15" customHeight="1" x14ac:dyDescent="0.2">
      <c r="A50" s="879"/>
      <c r="B50" s="879"/>
      <c r="C50" s="879"/>
      <c r="D50" s="879"/>
      <c r="E50" s="879"/>
      <c r="F50" s="879"/>
      <c r="G50" s="880"/>
      <c r="H50" s="880"/>
      <c r="I50" s="881"/>
      <c r="J50" s="881"/>
      <c r="K50" s="881"/>
      <c r="L50" s="881"/>
      <c r="M50" s="881"/>
      <c r="N50" s="881"/>
      <c r="O50" s="879"/>
    </row>
    <row r="51" spans="1:15" ht="15" customHeight="1" x14ac:dyDescent="0.2">
      <c r="A51" s="879"/>
      <c r="B51" s="879"/>
      <c r="C51" s="879"/>
      <c r="D51" s="879"/>
      <c r="E51" s="879"/>
      <c r="F51" s="879"/>
      <c r="G51" s="880"/>
      <c r="H51" s="880"/>
      <c r="I51" s="881"/>
      <c r="J51" s="881"/>
      <c r="K51" s="881"/>
      <c r="L51" s="881"/>
      <c r="M51" s="881"/>
      <c r="N51" s="881"/>
      <c r="O51" s="879"/>
    </row>
    <row r="52" spans="1:15" ht="15" customHeight="1" x14ac:dyDescent="0.2">
      <c r="A52" s="879"/>
      <c r="B52" s="879"/>
      <c r="C52" s="879"/>
      <c r="D52" s="879"/>
      <c r="E52" s="879"/>
      <c r="F52" s="879"/>
      <c r="G52" s="880"/>
      <c r="H52" s="880"/>
      <c r="I52" s="881"/>
      <c r="J52" s="881"/>
      <c r="K52" s="881"/>
      <c r="L52" s="881"/>
      <c r="M52" s="881"/>
      <c r="N52" s="881"/>
      <c r="O52" s="879"/>
    </row>
    <row r="53" spans="1:15" ht="15" customHeight="1" x14ac:dyDescent="0.2">
      <c r="A53" s="879"/>
      <c r="B53" s="879"/>
      <c r="C53" s="879"/>
      <c r="D53" s="879"/>
      <c r="E53" s="879"/>
      <c r="F53" s="879"/>
      <c r="G53" s="880"/>
      <c r="H53" s="880"/>
      <c r="I53" s="881"/>
      <c r="J53" s="881"/>
      <c r="K53" s="881"/>
      <c r="L53" s="881"/>
      <c r="M53" s="881"/>
      <c r="N53" s="881"/>
      <c r="O53" s="879"/>
    </row>
    <row r="54" spans="1:15" ht="15" customHeight="1" x14ac:dyDescent="0.2">
      <c r="A54" s="879"/>
      <c r="B54" s="879"/>
      <c r="C54" s="879"/>
      <c r="D54" s="879"/>
      <c r="E54" s="879"/>
      <c r="F54" s="879"/>
      <c r="G54" s="880"/>
      <c r="H54" s="880"/>
      <c r="I54" s="881"/>
      <c r="J54" s="881"/>
      <c r="K54" s="881"/>
      <c r="L54" s="881"/>
      <c r="M54" s="881"/>
      <c r="N54" s="881"/>
      <c r="O54" s="879"/>
    </row>
    <row r="55" spans="1:15" ht="15" customHeight="1" x14ac:dyDescent="0.2">
      <c r="A55" s="879"/>
      <c r="B55" s="879"/>
      <c r="C55" s="879"/>
      <c r="D55" s="879"/>
      <c r="E55" s="879"/>
      <c r="F55" s="879"/>
      <c r="G55" s="880"/>
      <c r="H55" s="880"/>
      <c r="I55" s="881"/>
      <c r="J55" s="881"/>
      <c r="K55" s="881"/>
      <c r="L55" s="881"/>
      <c r="M55" s="881"/>
      <c r="N55" s="881"/>
      <c r="O55" s="879"/>
    </row>
    <row r="56" spans="1:15" ht="15" customHeight="1" x14ac:dyDescent="0.2">
      <c r="A56" s="879"/>
      <c r="B56" s="879"/>
      <c r="C56" s="879"/>
      <c r="D56" s="879"/>
      <c r="E56" s="879"/>
      <c r="F56" s="879"/>
      <c r="G56" s="880"/>
      <c r="H56" s="880"/>
      <c r="I56" s="881"/>
      <c r="J56" s="881"/>
      <c r="K56" s="881"/>
      <c r="L56" s="881"/>
      <c r="M56" s="881"/>
      <c r="N56" s="881"/>
      <c r="O56" s="879"/>
    </row>
    <row r="57" spans="1:15" ht="15" customHeight="1" x14ac:dyDescent="0.2">
      <c r="A57" s="879"/>
      <c r="B57" s="879"/>
      <c r="C57" s="879"/>
      <c r="D57" s="879"/>
      <c r="E57" s="879"/>
      <c r="F57" s="879"/>
      <c r="G57" s="880"/>
      <c r="H57" s="880"/>
      <c r="I57" s="881"/>
      <c r="J57" s="881"/>
      <c r="K57" s="881"/>
      <c r="L57" s="881"/>
      <c r="M57" s="881"/>
      <c r="N57" s="881"/>
      <c r="O57" s="879"/>
    </row>
    <row r="58" spans="1:15" ht="15" customHeight="1" x14ac:dyDescent="0.2">
      <c r="A58" s="879"/>
      <c r="B58" s="879"/>
      <c r="C58" s="879"/>
      <c r="D58" s="879"/>
      <c r="E58" s="879"/>
      <c r="F58" s="879"/>
      <c r="G58" s="880"/>
      <c r="H58" s="880"/>
      <c r="I58" s="881"/>
      <c r="J58" s="881"/>
      <c r="K58" s="881"/>
      <c r="L58" s="881"/>
      <c r="M58" s="881"/>
      <c r="N58" s="881"/>
      <c r="O58" s="879"/>
    </row>
    <row r="59" spans="1:15" ht="15" customHeight="1" x14ac:dyDescent="0.2">
      <c r="A59" s="879"/>
      <c r="B59" s="879"/>
      <c r="C59" s="879"/>
      <c r="D59" s="879"/>
      <c r="E59" s="879"/>
      <c r="F59" s="879"/>
      <c r="G59" s="880"/>
      <c r="H59" s="880"/>
      <c r="I59" s="881"/>
      <c r="J59" s="881"/>
      <c r="K59" s="881"/>
      <c r="L59" s="881"/>
      <c r="M59" s="881"/>
      <c r="N59" s="881"/>
      <c r="O59" s="879"/>
    </row>
    <row r="60" spans="1:15" ht="15" customHeight="1" x14ac:dyDescent="0.2">
      <c r="A60" s="879"/>
      <c r="B60" s="879"/>
      <c r="C60" s="879"/>
      <c r="D60" s="879"/>
      <c r="E60" s="879"/>
      <c r="F60" s="879"/>
      <c r="G60" s="880"/>
      <c r="H60" s="880"/>
      <c r="I60" s="881"/>
      <c r="J60" s="881"/>
      <c r="K60" s="881"/>
      <c r="L60" s="881"/>
      <c r="M60" s="881"/>
      <c r="N60" s="881"/>
      <c r="O60" s="879"/>
    </row>
    <row r="61" spans="1:15" ht="15" customHeight="1" x14ac:dyDescent="0.2">
      <c r="A61" s="879"/>
      <c r="B61" s="879"/>
      <c r="C61" s="879"/>
      <c r="D61" s="879"/>
      <c r="E61" s="879"/>
      <c r="F61" s="879"/>
      <c r="G61" s="880"/>
      <c r="H61" s="880"/>
      <c r="I61" s="881"/>
      <c r="J61" s="881"/>
      <c r="K61" s="881"/>
      <c r="L61" s="881"/>
      <c r="M61" s="881"/>
      <c r="N61" s="881"/>
      <c r="O61" s="879"/>
    </row>
    <row r="62" spans="1:15" ht="15" customHeight="1" x14ac:dyDescent="0.2">
      <c r="A62" s="879"/>
      <c r="B62" s="879"/>
      <c r="C62" s="879"/>
      <c r="D62" s="879"/>
      <c r="E62" s="879"/>
      <c r="F62" s="879"/>
      <c r="G62" s="880"/>
      <c r="H62" s="880"/>
      <c r="I62" s="881"/>
      <c r="J62" s="881"/>
      <c r="K62" s="881"/>
      <c r="L62" s="881"/>
      <c r="M62" s="881"/>
      <c r="N62" s="881"/>
      <c r="O62" s="879"/>
    </row>
    <row r="63" spans="1:15" ht="15" customHeight="1" x14ac:dyDescent="0.2">
      <c r="A63" s="879"/>
      <c r="B63" s="879"/>
      <c r="C63" s="879"/>
      <c r="D63" s="879"/>
      <c r="E63" s="879"/>
      <c r="F63" s="879"/>
      <c r="G63" s="880"/>
      <c r="H63" s="880"/>
      <c r="I63" s="881"/>
      <c r="J63" s="881"/>
      <c r="K63" s="881"/>
      <c r="L63" s="881"/>
      <c r="M63" s="881"/>
      <c r="N63" s="881"/>
      <c r="O63" s="879"/>
    </row>
    <row r="64" spans="1:15" ht="15" customHeight="1" x14ac:dyDescent="0.2">
      <c r="A64" s="879"/>
      <c r="B64" s="879"/>
      <c r="C64" s="879"/>
      <c r="D64" s="879"/>
      <c r="E64" s="879"/>
      <c r="F64" s="879"/>
      <c r="G64" s="880"/>
      <c r="H64" s="880"/>
      <c r="I64" s="881"/>
      <c r="J64" s="881"/>
      <c r="K64" s="881"/>
      <c r="L64" s="881"/>
      <c r="M64" s="881"/>
      <c r="N64" s="881"/>
      <c r="O64" s="879"/>
    </row>
    <row r="65" spans="1:15" ht="15" customHeight="1" x14ac:dyDescent="0.2">
      <c r="A65" s="879"/>
      <c r="B65" s="879"/>
      <c r="C65" s="879"/>
      <c r="D65" s="879"/>
      <c r="E65" s="879"/>
      <c r="F65" s="879"/>
      <c r="G65" s="880"/>
      <c r="H65" s="880"/>
      <c r="I65" s="881"/>
      <c r="J65" s="881"/>
      <c r="K65" s="881"/>
      <c r="L65" s="881"/>
      <c r="M65" s="881"/>
      <c r="N65" s="881"/>
      <c r="O65" s="879"/>
    </row>
    <row r="66" spans="1:15" ht="15" customHeight="1" x14ac:dyDescent="0.2">
      <c r="A66" s="879"/>
      <c r="B66" s="879"/>
      <c r="C66" s="879"/>
      <c r="D66" s="879"/>
      <c r="E66" s="879"/>
      <c r="F66" s="879"/>
      <c r="G66" s="880"/>
      <c r="H66" s="880"/>
      <c r="I66" s="881"/>
      <c r="J66" s="881"/>
      <c r="K66" s="881"/>
      <c r="L66" s="881"/>
      <c r="M66" s="881"/>
      <c r="N66" s="881"/>
      <c r="O66" s="879"/>
    </row>
    <row r="67" spans="1:15" ht="15" customHeight="1" x14ac:dyDescent="0.2">
      <c r="A67" s="879"/>
      <c r="B67" s="879"/>
      <c r="C67" s="879"/>
      <c r="D67" s="879"/>
      <c r="E67" s="879"/>
      <c r="F67" s="879"/>
      <c r="G67" s="880"/>
      <c r="H67" s="880"/>
      <c r="I67" s="881"/>
      <c r="J67" s="881"/>
      <c r="K67" s="881"/>
      <c r="L67" s="881"/>
      <c r="M67" s="881"/>
      <c r="N67" s="881"/>
      <c r="O67" s="879"/>
    </row>
    <row r="68" spans="1:15" ht="15" customHeight="1" x14ac:dyDescent="0.2">
      <c r="A68" s="879"/>
      <c r="B68" s="879"/>
      <c r="C68" s="879"/>
      <c r="D68" s="879"/>
      <c r="E68" s="879"/>
      <c r="F68" s="879"/>
      <c r="G68" s="880"/>
      <c r="H68" s="880"/>
      <c r="I68" s="881"/>
      <c r="J68" s="881"/>
      <c r="K68" s="881"/>
      <c r="L68" s="881"/>
      <c r="M68" s="881"/>
      <c r="N68" s="881"/>
      <c r="O68" s="879"/>
    </row>
    <row r="69" spans="1:15" ht="15" customHeight="1" x14ac:dyDescent="0.2">
      <c r="A69" s="879"/>
      <c r="B69" s="879"/>
      <c r="C69" s="879"/>
      <c r="D69" s="879"/>
      <c r="E69" s="879"/>
      <c r="F69" s="879"/>
      <c r="G69" s="880"/>
      <c r="H69" s="880"/>
      <c r="I69" s="881"/>
      <c r="J69" s="881"/>
      <c r="K69" s="881"/>
      <c r="L69" s="881"/>
      <c r="M69" s="881"/>
      <c r="N69" s="881"/>
      <c r="O69" s="879"/>
    </row>
    <row r="70" spans="1:15" ht="15" customHeight="1" x14ac:dyDescent="0.2">
      <c r="A70" s="879"/>
      <c r="B70" s="879"/>
      <c r="C70" s="879"/>
      <c r="D70" s="879"/>
      <c r="E70" s="879"/>
      <c r="F70" s="879"/>
      <c r="G70" s="880"/>
      <c r="H70" s="880"/>
      <c r="I70" s="881"/>
      <c r="J70" s="881"/>
      <c r="K70" s="881"/>
      <c r="L70" s="881"/>
      <c r="M70" s="881"/>
      <c r="N70" s="881"/>
      <c r="O70" s="879"/>
    </row>
  </sheetData>
  <phoneticPr fontId="0" type="noConversion"/>
  <pageMargins left="0.5" right="0.5" top="0.5" bottom="0.5" header="0.25" footer="0.25"/>
  <pageSetup scale="65" fitToHeight="6" orientation="landscape" r:id="rId1"/>
  <headerFooter alignWithMargins="0">
    <oddHeader>&amp;L&amp;"Arial,Bold"&amp;12&amp;F &amp;A &amp;"Arial,Regular"&amp;10&amp;D 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T502"/>
  <sheetViews>
    <sheetView zoomScale="90" workbookViewId="0">
      <pane ySplit="4" topLeftCell="A449" activePane="bottomLeft" state="frozen"/>
      <selection pane="bottomLeft" activeCell="C20" sqref="C20"/>
    </sheetView>
  </sheetViews>
  <sheetFormatPr defaultRowHeight="15" customHeight="1" x14ac:dyDescent="0.2"/>
  <cols>
    <col min="1" max="1" width="6.85546875" style="90" customWidth="1"/>
    <col min="2" max="2" width="8.42578125" style="91" customWidth="1"/>
    <col min="3" max="3" width="8.140625" style="96" customWidth="1"/>
    <col min="4" max="4" width="20.5703125" style="484" customWidth="1"/>
    <col min="5" max="5" width="9.85546875" style="91" customWidth="1"/>
    <col min="6" max="6" width="4.28515625" style="90" customWidth="1"/>
    <col min="7" max="7" width="16.85546875" style="91" customWidth="1"/>
    <col min="8" max="8" width="8.85546875" style="929" customWidth="1"/>
    <col min="9" max="9" width="9.140625" style="91"/>
    <col min="10" max="10" width="9.5703125" style="90" bestFit="1" customWidth="1"/>
    <col min="11" max="11" width="6.140625" style="90" bestFit="1" customWidth="1"/>
    <col min="12" max="12" width="8" style="92" customWidth="1"/>
    <col min="13" max="13" width="8.5703125" style="326" customWidth="1"/>
    <col min="14" max="14" width="9.7109375" style="93" hidden="1" customWidth="1"/>
    <col min="15" max="15" width="11.28515625" style="93" bestFit="1" customWidth="1"/>
    <col min="16" max="16384" width="9.140625" style="90"/>
  </cols>
  <sheetData>
    <row r="1" spans="1:20" s="84" customFormat="1" ht="15" customHeight="1" x14ac:dyDescent="0.2">
      <c r="A1" s="76">
        <f>cgas!J6</f>
        <v>37258</v>
      </c>
      <c r="B1" s="77"/>
      <c r="C1" s="94"/>
      <c r="D1" s="467"/>
      <c r="E1" s="78"/>
      <c r="F1" s="79"/>
      <c r="G1" s="78"/>
      <c r="H1" s="921"/>
      <c r="I1" s="80"/>
      <c r="J1" s="81">
        <f>A1</f>
        <v>37258</v>
      </c>
      <c r="K1" s="82"/>
      <c r="L1" s="83"/>
      <c r="M1" s="323"/>
      <c r="N1" s="82"/>
      <c r="O1" s="82"/>
    </row>
    <row r="2" spans="1:20" s="84" customFormat="1" ht="15" customHeight="1" x14ac:dyDescent="0.2">
      <c r="A2" s="115" t="s">
        <v>1667</v>
      </c>
      <c r="B2" s="114"/>
      <c r="C2" s="116"/>
      <c r="D2" s="468"/>
      <c r="E2" s="116"/>
      <c r="F2" s="115"/>
      <c r="G2" s="116"/>
      <c r="H2" s="922"/>
      <c r="I2" s="176" t="s">
        <v>1404</v>
      </c>
      <c r="J2" s="177">
        <f>+cgas!J4</f>
        <v>2.11</v>
      </c>
      <c r="K2" s="82"/>
      <c r="L2" s="83"/>
      <c r="M2" s="323"/>
      <c r="N2" s="82"/>
      <c r="O2" s="82"/>
    </row>
    <row r="3" spans="1:20" s="84" customFormat="1" ht="15" customHeight="1" x14ac:dyDescent="0.2">
      <c r="A3" s="79"/>
      <c r="B3" s="78"/>
      <c r="C3" s="94"/>
      <c r="D3" s="467"/>
      <c r="E3" s="78"/>
      <c r="F3" s="79"/>
      <c r="G3" s="78"/>
      <c r="H3" s="921"/>
      <c r="I3" s="176" t="s">
        <v>1428</v>
      </c>
      <c r="J3" s="177">
        <f>+cgas!J5</f>
        <v>2.14</v>
      </c>
      <c r="K3" s="82"/>
      <c r="L3" s="83"/>
      <c r="M3" s="323"/>
      <c r="N3" s="82"/>
      <c r="O3" s="82"/>
    </row>
    <row r="4" spans="1:20" s="21" customFormat="1" ht="15" customHeight="1" x14ac:dyDescent="0.2">
      <c r="A4" s="85" t="s">
        <v>1429</v>
      </c>
      <c r="B4" s="80" t="s">
        <v>1430</v>
      </c>
      <c r="C4" s="95" t="s">
        <v>1431</v>
      </c>
      <c r="D4" s="469" t="s">
        <v>1432</v>
      </c>
      <c r="E4" s="80" t="s">
        <v>1414</v>
      </c>
      <c r="F4" s="80" t="s">
        <v>1433</v>
      </c>
      <c r="G4" s="80" t="s">
        <v>1438</v>
      </c>
      <c r="H4" s="923" t="s">
        <v>1416</v>
      </c>
      <c r="I4" s="80" t="s">
        <v>1439</v>
      </c>
      <c r="J4" s="85"/>
      <c r="K4" s="86" t="s">
        <v>1440</v>
      </c>
      <c r="L4" s="87" t="s">
        <v>1441</v>
      </c>
      <c r="M4" s="324" t="s">
        <v>1410</v>
      </c>
      <c r="N4" s="86" t="s">
        <v>1442</v>
      </c>
      <c r="O4" s="86" t="s">
        <v>625</v>
      </c>
    </row>
    <row r="5" spans="1:20" s="21" customFormat="1" ht="15" customHeight="1" x14ac:dyDescent="0.2">
      <c r="A5" s="179" t="s">
        <v>1443</v>
      </c>
      <c r="B5" s="134"/>
      <c r="C5" s="754">
        <v>733019</v>
      </c>
      <c r="D5" s="755" t="s">
        <v>1503</v>
      </c>
      <c r="E5" s="71">
        <v>35477</v>
      </c>
      <c r="F5" s="72"/>
      <c r="G5" s="71" t="s">
        <v>1427</v>
      </c>
      <c r="H5" s="924" t="str">
        <f t="shared" ref="H5:H54" si="0">IF(ISNA(VLOOKUP(C5,gath9909,10,FALSE)),"na",VLOOKUP(C5,gath9909,10,FALSE))</f>
        <v>na</v>
      </c>
      <c r="I5" s="71">
        <f t="shared" ref="I5:I54" si="1">IF(ISNA(VLOOKUP(C5,gath9909,12,FALSE)),0,(VLOOKUP(C5,gath9909,12,FALSE)))</f>
        <v>0</v>
      </c>
      <c r="J5" s="756">
        <f>+$J$3*0.98</f>
        <v>2.0972</v>
      </c>
      <c r="K5" s="325">
        <v>0.25</v>
      </c>
      <c r="L5" s="758">
        <f t="shared" ref="L5:L54" si="2">+J5-K5</f>
        <v>1.8472</v>
      </c>
      <c r="M5" s="757">
        <f>IF(H5&gt;=0,I5*0.001,0)</f>
        <v>0</v>
      </c>
      <c r="N5" s="348">
        <f t="shared" ref="N5:N54" si="3">+L5*I5</f>
        <v>0</v>
      </c>
      <c r="O5" s="348">
        <f>(+L5*I5)-M5</f>
        <v>0</v>
      </c>
      <c r="P5" s="84"/>
      <c r="Q5" s="84"/>
      <c r="S5" s="365">
        <v>701212</v>
      </c>
      <c r="T5" s="466" t="s">
        <v>1540</v>
      </c>
    </row>
    <row r="6" spans="1:20" s="21" customFormat="1" ht="15" customHeight="1" x14ac:dyDescent="0.2">
      <c r="A6" s="315" t="s">
        <v>1443</v>
      </c>
      <c r="B6" s="17">
        <v>109791</v>
      </c>
      <c r="C6" s="318">
        <v>729406</v>
      </c>
      <c r="D6" s="470" t="s">
        <v>465</v>
      </c>
      <c r="E6" s="17"/>
      <c r="F6" s="17">
        <v>2462</v>
      </c>
      <c r="G6" s="17" t="s">
        <v>273</v>
      </c>
      <c r="H6" s="183" t="str">
        <f t="shared" si="0"/>
        <v>na</v>
      </c>
      <c r="I6" s="17">
        <f t="shared" si="1"/>
        <v>0</v>
      </c>
      <c r="J6" s="113">
        <f>+$J$2*0.95</f>
        <v>2.0044999999999997</v>
      </c>
      <c r="K6" s="325">
        <v>0.25</v>
      </c>
      <c r="L6" s="19">
        <f t="shared" si="2"/>
        <v>1.7544999999999997</v>
      </c>
      <c r="M6" s="325">
        <f t="shared" ref="M6:M90" si="4">IF(H6&gt;=0,I6*0.001,0)</f>
        <v>0</v>
      </c>
      <c r="N6" s="112">
        <f t="shared" si="3"/>
        <v>0</v>
      </c>
      <c r="O6" s="112">
        <f>(+L6*I6)-M6</f>
        <v>0</v>
      </c>
      <c r="P6" s="90"/>
      <c r="Q6" s="90"/>
      <c r="S6" s="365">
        <v>701263</v>
      </c>
      <c r="T6" s="466" t="s">
        <v>1542</v>
      </c>
    </row>
    <row r="7" spans="1:20" s="21" customFormat="1" ht="15" customHeight="1" x14ac:dyDescent="0.2">
      <c r="A7" s="179" t="s">
        <v>1443</v>
      </c>
      <c r="B7" s="17">
        <v>113790</v>
      </c>
      <c r="C7" s="365">
        <v>712005</v>
      </c>
      <c r="D7" s="466" t="s">
        <v>1599</v>
      </c>
      <c r="E7" s="17"/>
      <c r="F7" s="16"/>
      <c r="G7" s="17" t="s">
        <v>1427</v>
      </c>
      <c r="H7" s="183" t="str">
        <f t="shared" si="0"/>
        <v>na</v>
      </c>
      <c r="I7" s="17">
        <f t="shared" si="1"/>
        <v>0</v>
      </c>
      <c r="J7" s="113">
        <f>+$J$3*0.98</f>
        <v>2.0972</v>
      </c>
      <c r="K7" s="325">
        <v>0.25</v>
      </c>
      <c r="L7" s="19">
        <f t="shared" si="2"/>
        <v>1.8472</v>
      </c>
      <c r="M7" s="325">
        <f t="shared" si="4"/>
        <v>0</v>
      </c>
      <c r="N7" s="112">
        <f t="shared" si="3"/>
        <v>0</v>
      </c>
      <c r="O7" s="112">
        <f t="shared" ref="O7:O57" si="5">(+L7*I7)-M7</f>
        <v>0</v>
      </c>
      <c r="S7" s="318">
        <v>701366</v>
      </c>
      <c r="T7" s="470" t="s">
        <v>526</v>
      </c>
    </row>
    <row r="8" spans="1:20" s="21" customFormat="1" ht="15" customHeight="1" x14ac:dyDescent="0.2">
      <c r="A8" s="315" t="s">
        <v>1443</v>
      </c>
      <c r="B8" s="17"/>
      <c r="C8" s="318" t="s">
        <v>1289</v>
      </c>
      <c r="D8" s="470" t="s">
        <v>466</v>
      </c>
      <c r="E8" s="17"/>
      <c r="F8" s="17">
        <v>3637</v>
      </c>
      <c r="G8" s="17" t="s">
        <v>467</v>
      </c>
      <c r="H8" s="183" t="str">
        <f t="shared" si="0"/>
        <v>na</v>
      </c>
      <c r="I8" s="17">
        <f t="shared" si="1"/>
        <v>0</v>
      </c>
      <c r="J8" s="113">
        <f>+$J$3*0.99</f>
        <v>2.1186000000000003</v>
      </c>
      <c r="K8" s="325">
        <v>0.25</v>
      </c>
      <c r="L8" s="19">
        <f t="shared" si="2"/>
        <v>1.8686000000000003</v>
      </c>
      <c r="M8" s="325">
        <f t="shared" si="4"/>
        <v>0</v>
      </c>
      <c r="N8" s="112">
        <f t="shared" si="3"/>
        <v>0</v>
      </c>
      <c r="O8" s="112">
        <f t="shared" si="5"/>
        <v>0</v>
      </c>
      <c r="P8" s="90"/>
      <c r="Q8" s="90"/>
      <c r="S8" s="318">
        <v>702123</v>
      </c>
      <c r="T8" s="470" t="s">
        <v>1450</v>
      </c>
    </row>
    <row r="9" spans="1:20" s="21" customFormat="1" ht="15" customHeight="1" x14ac:dyDescent="0.2">
      <c r="A9" s="315" t="s">
        <v>468</v>
      </c>
      <c r="B9" s="17">
        <v>119544</v>
      </c>
      <c r="C9" s="318">
        <v>719658</v>
      </c>
      <c r="D9" s="369" t="s">
        <v>469</v>
      </c>
      <c r="E9" s="328" t="s">
        <v>620</v>
      </c>
      <c r="F9" s="18" t="s">
        <v>267</v>
      </c>
      <c r="G9" s="10" t="s">
        <v>470</v>
      </c>
      <c r="H9" s="183" t="str">
        <f t="shared" si="0"/>
        <v>na</v>
      </c>
      <c r="I9" s="17">
        <f t="shared" si="1"/>
        <v>0</v>
      </c>
      <c r="J9" s="113">
        <f>+$J$3-0.03</f>
        <v>2.1100000000000003</v>
      </c>
      <c r="K9" s="325">
        <v>0.25</v>
      </c>
      <c r="L9" s="19">
        <f t="shared" si="2"/>
        <v>1.8600000000000003</v>
      </c>
      <c r="M9" s="325">
        <f t="shared" si="4"/>
        <v>0</v>
      </c>
      <c r="N9" s="112">
        <f t="shared" si="3"/>
        <v>0</v>
      </c>
      <c r="O9" s="112">
        <f t="shared" si="5"/>
        <v>0</v>
      </c>
      <c r="P9" s="90"/>
      <c r="Q9" s="90"/>
      <c r="S9" s="497">
        <v>702431</v>
      </c>
      <c r="T9" s="501" t="s">
        <v>619</v>
      </c>
    </row>
    <row r="10" spans="1:20" s="21" customFormat="1" ht="15" customHeight="1" x14ac:dyDescent="0.2">
      <c r="A10" s="179" t="s">
        <v>1443</v>
      </c>
      <c r="B10" s="134"/>
      <c r="C10" s="365">
        <v>730506</v>
      </c>
      <c r="D10" s="466" t="s">
        <v>1685</v>
      </c>
      <c r="E10" s="17"/>
      <c r="F10" s="16"/>
      <c r="G10" s="267" t="s">
        <v>1423</v>
      </c>
      <c r="H10" s="183" t="str">
        <f t="shared" si="0"/>
        <v>na</v>
      </c>
      <c r="I10" s="17">
        <f t="shared" si="1"/>
        <v>0</v>
      </c>
      <c r="J10" s="113">
        <f>+$J$3*0.99</f>
        <v>2.1186000000000003</v>
      </c>
      <c r="K10" s="325">
        <v>0.25</v>
      </c>
      <c r="L10" s="19">
        <f t="shared" si="2"/>
        <v>1.8686000000000003</v>
      </c>
      <c r="M10" s="325">
        <f t="shared" si="4"/>
        <v>0</v>
      </c>
      <c r="N10" s="112">
        <f t="shared" si="3"/>
        <v>0</v>
      </c>
      <c r="O10" s="112">
        <f t="shared" si="5"/>
        <v>0</v>
      </c>
      <c r="S10" s="497">
        <v>702465</v>
      </c>
      <c r="T10" s="501" t="s">
        <v>619</v>
      </c>
    </row>
    <row r="11" spans="1:20" s="21" customFormat="1" ht="15" customHeight="1" x14ac:dyDescent="0.2">
      <c r="A11" s="179" t="s">
        <v>1443</v>
      </c>
      <c r="B11" s="17">
        <v>113798</v>
      </c>
      <c r="C11" s="365">
        <v>722244</v>
      </c>
      <c r="D11" s="466" t="s">
        <v>1671</v>
      </c>
      <c r="E11" s="18"/>
      <c r="F11" s="10"/>
      <c r="G11" s="267" t="s">
        <v>1420</v>
      </c>
      <c r="H11" s="183" t="str">
        <f t="shared" si="0"/>
        <v>na</v>
      </c>
      <c r="I11" s="17">
        <f t="shared" si="1"/>
        <v>0</v>
      </c>
      <c r="J11" s="113">
        <f>+$J$3-0.02</f>
        <v>2.12</v>
      </c>
      <c r="K11" s="325">
        <v>0.25</v>
      </c>
      <c r="L11" s="19">
        <f t="shared" si="2"/>
        <v>1.87</v>
      </c>
      <c r="M11" s="325">
        <f t="shared" si="4"/>
        <v>0</v>
      </c>
      <c r="N11" s="112">
        <f t="shared" si="3"/>
        <v>0</v>
      </c>
      <c r="O11" s="112">
        <f t="shared" si="5"/>
        <v>0</v>
      </c>
      <c r="S11" s="497">
        <v>702478</v>
      </c>
      <c r="T11" s="501" t="s">
        <v>619</v>
      </c>
    </row>
    <row r="12" spans="1:20" s="21" customFormat="1" ht="15" customHeight="1" x14ac:dyDescent="0.2">
      <c r="A12" s="315" t="s">
        <v>1443</v>
      </c>
      <c r="B12" s="17">
        <v>133260</v>
      </c>
      <c r="C12" s="318">
        <v>730094</v>
      </c>
      <c r="D12" s="470" t="s">
        <v>471</v>
      </c>
      <c r="E12" s="17"/>
      <c r="F12" s="17">
        <v>4582</v>
      </c>
      <c r="G12" s="17" t="s">
        <v>273</v>
      </c>
      <c r="H12" s="183" t="str">
        <f t="shared" si="0"/>
        <v>na</v>
      </c>
      <c r="I12" s="17">
        <f t="shared" si="1"/>
        <v>0</v>
      </c>
      <c r="J12" s="113">
        <f>+$J$2*0.95</f>
        <v>2.0044999999999997</v>
      </c>
      <c r="K12" s="325">
        <v>0.25</v>
      </c>
      <c r="L12" s="19">
        <f t="shared" si="2"/>
        <v>1.7544999999999997</v>
      </c>
      <c r="M12" s="325">
        <f t="shared" si="4"/>
        <v>0</v>
      </c>
      <c r="N12" s="112">
        <f t="shared" si="3"/>
        <v>0</v>
      </c>
      <c r="O12" s="112">
        <f t="shared" si="5"/>
        <v>0</v>
      </c>
      <c r="P12" s="90"/>
      <c r="Q12" s="90"/>
      <c r="S12" s="318">
        <v>702517</v>
      </c>
      <c r="T12" s="470" t="s">
        <v>526</v>
      </c>
    </row>
    <row r="13" spans="1:20" s="21" customFormat="1" ht="15" customHeight="1" x14ac:dyDescent="0.2">
      <c r="A13" s="315" t="s">
        <v>1443</v>
      </c>
      <c r="B13" s="17"/>
      <c r="C13" s="318">
        <v>730824</v>
      </c>
      <c r="D13" s="470" t="s">
        <v>471</v>
      </c>
      <c r="E13" s="17"/>
      <c r="F13" s="17">
        <v>4582</v>
      </c>
      <c r="G13" s="17" t="s">
        <v>273</v>
      </c>
      <c r="H13" s="183" t="str">
        <f t="shared" si="0"/>
        <v>na</v>
      </c>
      <c r="I13" s="17">
        <f t="shared" si="1"/>
        <v>0</v>
      </c>
      <c r="J13" s="113">
        <f>+$J$2*0.95</f>
        <v>2.0044999999999997</v>
      </c>
      <c r="K13" s="325">
        <v>0.25</v>
      </c>
      <c r="L13" s="19">
        <f t="shared" si="2"/>
        <v>1.7544999999999997</v>
      </c>
      <c r="M13" s="325">
        <f t="shared" si="4"/>
        <v>0</v>
      </c>
      <c r="N13" s="112">
        <f t="shared" si="3"/>
        <v>0</v>
      </c>
      <c r="O13" s="112">
        <f t="shared" si="5"/>
        <v>0</v>
      </c>
      <c r="P13" s="90"/>
      <c r="Q13" s="90"/>
      <c r="S13" s="497">
        <v>702556</v>
      </c>
      <c r="T13" s="501" t="s">
        <v>619</v>
      </c>
    </row>
    <row r="14" spans="1:20" s="21" customFormat="1" ht="15" customHeight="1" x14ac:dyDescent="0.2">
      <c r="A14" s="315" t="s">
        <v>1443</v>
      </c>
      <c r="B14" s="17">
        <v>110375</v>
      </c>
      <c r="C14" s="318">
        <v>732731</v>
      </c>
      <c r="D14" s="470" t="s">
        <v>471</v>
      </c>
      <c r="E14" s="17"/>
      <c r="F14" s="17">
        <v>4582</v>
      </c>
      <c r="G14" s="17" t="s">
        <v>273</v>
      </c>
      <c r="H14" s="183" t="str">
        <f t="shared" si="0"/>
        <v>na</v>
      </c>
      <c r="I14" s="17">
        <f t="shared" si="1"/>
        <v>0</v>
      </c>
      <c r="J14" s="113">
        <f>+$J$2*0.95</f>
        <v>2.0044999999999997</v>
      </c>
      <c r="K14" s="325">
        <v>0.25</v>
      </c>
      <c r="L14" s="19">
        <f t="shared" si="2"/>
        <v>1.7544999999999997</v>
      </c>
      <c r="M14" s="325">
        <f t="shared" si="4"/>
        <v>0</v>
      </c>
      <c r="N14" s="112">
        <f t="shared" si="3"/>
        <v>0</v>
      </c>
      <c r="O14" s="112">
        <f t="shared" si="5"/>
        <v>0</v>
      </c>
      <c r="P14" s="90"/>
      <c r="Q14" s="90"/>
      <c r="S14" s="497">
        <v>702557</v>
      </c>
      <c r="T14" s="501" t="s">
        <v>619</v>
      </c>
    </row>
    <row r="15" spans="1:20" s="21" customFormat="1" ht="15" customHeight="1" x14ac:dyDescent="0.2">
      <c r="A15" s="315" t="s">
        <v>1443</v>
      </c>
      <c r="B15" s="17">
        <v>109758</v>
      </c>
      <c r="C15" s="318">
        <v>718778</v>
      </c>
      <c r="D15" s="470" t="s">
        <v>472</v>
      </c>
      <c r="E15" s="17"/>
      <c r="F15" s="17">
        <v>4674</v>
      </c>
      <c r="G15" s="17" t="s">
        <v>473</v>
      </c>
      <c r="H15" s="183" t="str">
        <f t="shared" si="0"/>
        <v>na</v>
      </c>
      <c r="I15" s="17">
        <f t="shared" si="1"/>
        <v>0</v>
      </c>
      <c r="J15" s="113">
        <f>+$J$3-0.08</f>
        <v>2.06</v>
      </c>
      <c r="K15" s="325">
        <v>0.25</v>
      </c>
      <c r="L15" s="19">
        <f t="shared" si="2"/>
        <v>1.81</v>
      </c>
      <c r="M15" s="325">
        <f t="shared" si="4"/>
        <v>0</v>
      </c>
      <c r="N15" s="112">
        <f t="shared" si="3"/>
        <v>0</v>
      </c>
      <c r="O15" s="112">
        <f t="shared" si="5"/>
        <v>0</v>
      </c>
      <c r="P15" s="90"/>
      <c r="Q15" s="90"/>
      <c r="S15" s="497">
        <v>702592</v>
      </c>
      <c r="T15" s="501" t="s">
        <v>619</v>
      </c>
    </row>
    <row r="16" spans="1:20" s="21" customFormat="1" ht="15" customHeight="1" x14ac:dyDescent="0.2">
      <c r="A16" s="315" t="s">
        <v>1443</v>
      </c>
      <c r="B16" s="17">
        <v>113629</v>
      </c>
      <c r="C16" s="318">
        <v>720186</v>
      </c>
      <c r="D16" s="470" t="s">
        <v>472</v>
      </c>
      <c r="E16" s="17"/>
      <c r="F16" s="17">
        <v>4674</v>
      </c>
      <c r="G16" s="17" t="s">
        <v>473</v>
      </c>
      <c r="H16" s="183">
        <f t="shared" si="0"/>
        <v>0</v>
      </c>
      <c r="I16" s="17">
        <f t="shared" si="1"/>
        <v>0</v>
      </c>
      <c r="J16" s="113">
        <f>+$J$3-0.08</f>
        <v>2.06</v>
      </c>
      <c r="K16" s="325">
        <v>0.25</v>
      </c>
      <c r="L16" s="19">
        <f t="shared" si="2"/>
        <v>1.81</v>
      </c>
      <c r="M16" s="325">
        <f t="shared" si="4"/>
        <v>0</v>
      </c>
      <c r="N16" s="112">
        <f t="shared" si="3"/>
        <v>0</v>
      </c>
      <c r="O16" s="112">
        <f t="shared" si="5"/>
        <v>0</v>
      </c>
      <c r="P16" s="90"/>
      <c r="Q16" s="90"/>
      <c r="S16" s="318">
        <v>703314</v>
      </c>
      <c r="T16" s="470" t="s">
        <v>526</v>
      </c>
    </row>
    <row r="17" spans="1:20" s="21" customFormat="1" ht="15" customHeight="1" x14ac:dyDescent="0.2">
      <c r="A17" s="315" t="s">
        <v>1444</v>
      </c>
      <c r="B17" s="17">
        <v>109754</v>
      </c>
      <c r="C17" s="318">
        <v>720660</v>
      </c>
      <c r="D17" s="470" t="s">
        <v>474</v>
      </c>
      <c r="E17" s="321"/>
      <c r="F17" s="17">
        <v>5360</v>
      </c>
      <c r="G17" s="17" t="s">
        <v>1427</v>
      </c>
      <c r="H17" s="183" t="str">
        <f t="shared" si="0"/>
        <v>na</v>
      </c>
      <c r="I17" s="17">
        <f t="shared" si="1"/>
        <v>0</v>
      </c>
      <c r="J17" s="113">
        <f>+$J$3*0.98</f>
        <v>2.0972</v>
      </c>
      <c r="K17" s="325">
        <v>0.25</v>
      </c>
      <c r="L17" s="19">
        <f t="shared" si="2"/>
        <v>1.8472</v>
      </c>
      <c r="M17" s="325">
        <f t="shared" si="4"/>
        <v>0</v>
      </c>
      <c r="N17" s="112">
        <f t="shared" si="3"/>
        <v>0</v>
      </c>
      <c r="O17" s="112">
        <f t="shared" si="5"/>
        <v>0</v>
      </c>
      <c r="P17" s="90"/>
      <c r="Q17" s="90"/>
      <c r="S17" s="318">
        <v>703528</v>
      </c>
      <c r="T17" s="470" t="s">
        <v>526</v>
      </c>
    </row>
    <row r="18" spans="1:20" s="97" customFormat="1" ht="15" customHeight="1" x14ac:dyDescent="0.2">
      <c r="A18" s="315" t="s">
        <v>1444</v>
      </c>
      <c r="B18" s="17">
        <v>113630</v>
      </c>
      <c r="C18" s="318">
        <v>721338</v>
      </c>
      <c r="D18" s="470" t="s">
        <v>474</v>
      </c>
      <c r="E18" s="17"/>
      <c r="F18" s="17">
        <v>5360</v>
      </c>
      <c r="G18" s="17" t="s">
        <v>1427</v>
      </c>
      <c r="H18" s="183" t="str">
        <f t="shared" si="0"/>
        <v>na</v>
      </c>
      <c r="I18" s="17">
        <f t="shared" si="1"/>
        <v>0</v>
      </c>
      <c r="J18" s="113">
        <f>+$J$3*0.98</f>
        <v>2.0972</v>
      </c>
      <c r="K18" s="325">
        <v>0.25</v>
      </c>
      <c r="L18" s="19">
        <f t="shared" si="2"/>
        <v>1.8472</v>
      </c>
      <c r="M18" s="325">
        <f t="shared" si="4"/>
        <v>0</v>
      </c>
      <c r="N18" s="112">
        <f t="shared" si="3"/>
        <v>0</v>
      </c>
      <c r="O18" s="112">
        <f t="shared" si="5"/>
        <v>0</v>
      </c>
      <c r="P18" s="90"/>
      <c r="Q18" s="90"/>
      <c r="S18" s="365">
        <v>703738</v>
      </c>
      <c r="T18" s="466" t="s">
        <v>1544</v>
      </c>
    </row>
    <row r="19" spans="1:20" s="21" customFormat="1" ht="15" customHeight="1" x14ac:dyDescent="0.2">
      <c r="A19" s="179" t="s">
        <v>1443</v>
      </c>
      <c r="B19" s="17">
        <v>113904</v>
      </c>
      <c r="C19" s="365">
        <v>721076</v>
      </c>
      <c r="D19" s="466" t="s">
        <v>1631</v>
      </c>
      <c r="E19" s="17"/>
      <c r="F19" s="16"/>
      <c r="G19" s="17" t="s">
        <v>1421</v>
      </c>
      <c r="H19" s="183" t="str">
        <f t="shared" si="0"/>
        <v>na</v>
      </c>
      <c r="I19" s="17">
        <f t="shared" si="1"/>
        <v>0</v>
      </c>
      <c r="J19" s="113">
        <f>+$J$3*0.98</f>
        <v>2.0972</v>
      </c>
      <c r="K19" s="325">
        <v>0.25</v>
      </c>
      <c r="L19" s="19">
        <f t="shared" si="2"/>
        <v>1.8472</v>
      </c>
      <c r="M19" s="325">
        <f t="shared" si="4"/>
        <v>0</v>
      </c>
      <c r="N19" s="112">
        <f t="shared" si="3"/>
        <v>0</v>
      </c>
      <c r="O19" s="112">
        <f t="shared" si="5"/>
        <v>0</v>
      </c>
      <c r="P19" s="20"/>
      <c r="Q19" s="20"/>
      <c r="S19" s="365">
        <v>704154</v>
      </c>
      <c r="T19" s="466" t="s">
        <v>1714</v>
      </c>
    </row>
    <row r="20" spans="1:20" s="21" customFormat="1" ht="15" customHeight="1" x14ac:dyDescent="0.2">
      <c r="A20" s="315" t="s">
        <v>1443</v>
      </c>
      <c r="B20" s="17">
        <v>122591</v>
      </c>
      <c r="C20" s="318">
        <v>722104</v>
      </c>
      <c r="D20" s="470" t="s">
        <v>475</v>
      </c>
      <c r="E20" s="17"/>
      <c r="F20" s="17">
        <v>6766</v>
      </c>
      <c r="G20" s="17" t="s">
        <v>473</v>
      </c>
      <c r="H20" s="183" t="str">
        <f t="shared" si="0"/>
        <v>na</v>
      </c>
      <c r="I20" s="17">
        <f t="shared" si="1"/>
        <v>0</v>
      </c>
      <c r="J20" s="113">
        <f>+$J$3-0.08</f>
        <v>2.06</v>
      </c>
      <c r="K20" s="325">
        <v>0.25</v>
      </c>
      <c r="L20" s="19">
        <f t="shared" si="2"/>
        <v>1.81</v>
      </c>
      <c r="M20" s="325">
        <f t="shared" si="4"/>
        <v>0</v>
      </c>
      <c r="N20" s="112">
        <f t="shared" si="3"/>
        <v>0</v>
      </c>
      <c r="O20" s="112">
        <f t="shared" si="5"/>
        <v>0</v>
      </c>
      <c r="P20" s="90"/>
      <c r="Q20" s="90"/>
      <c r="S20" s="365">
        <v>704162</v>
      </c>
      <c r="T20" s="466" t="s">
        <v>1547</v>
      </c>
    </row>
    <row r="21" spans="1:20" s="21" customFormat="1" ht="15" customHeight="1" x14ac:dyDescent="0.2">
      <c r="A21" s="315" t="s">
        <v>1443</v>
      </c>
      <c r="B21" s="75">
        <v>113632</v>
      </c>
      <c r="C21" s="318">
        <v>730539</v>
      </c>
      <c r="D21" s="470" t="s">
        <v>475</v>
      </c>
      <c r="E21" s="17"/>
      <c r="F21" s="17">
        <v>6766</v>
      </c>
      <c r="G21" s="17" t="s">
        <v>473</v>
      </c>
      <c r="H21" s="183">
        <f t="shared" si="0"/>
        <v>0</v>
      </c>
      <c r="I21" s="17">
        <f t="shared" si="1"/>
        <v>0</v>
      </c>
      <c r="J21" s="113">
        <f>+$J$3-0.08</f>
        <v>2.06</v>
      </c>
      <c r="K21" s="325">
        <v>0.25</v>
      </c>
      <c r="L21" s="19">
        <f t="shared" si="2"/>
        <v>1.81</v>
      </c>
      <c r="M21" s="325">
        <f t="shared" si="4"/>
        <v>0</v>
      </c>
      <c r="N21" s="112">
        <f t="shared" si="3"/>
        <v>0</v>
      </c>
      <c r="O21" s="112">
        <f t="shared" si="5"/>
        <v>0</v>
      </c>
      <c r="P21" s="90"/>
      <c r="Q21" s="90"/>
      <c r="S21" s="318">
        <v>704390</v>
      </c>
      <c r="T21" s="470" t="s">
        <v>519</v>
      </c>
    </row>
    <row r="22" spans="1:20" s="21" customFormat="1" ht="15" customHeight="1" x14ac:dyDescent="0.2">
      <c r="A22" s="179" t="s">
        <v>1443</v>
      </c>
      <c r="B22" s="134"/>
      <c r="C22" s="365">
        <v>730646</v>
      </c>
      <c r="D22" s="466" t="s">
        <v>1690</v>
      </c>
      <c r="E22" s="17"/>
      <c r="F22" s="16"/>
      <c r="G22" s="267" t="s">
        <v>1427</v>
      </c>
      <c r="H22" s="183" t="str">
        <f t="shared" si="0"/>
        <v>na</v>
      </c>
      <c r="I22" s="17">
        <f t="shared" si="1"/>
        <v>0</v>
      </c>
      <c r="J22" s="113">
        <f>+$J$3*0.98</f>
        <v>2.0972</v>
      </c>
      <c r="K22" s="325">
        <v>0.25</v>
      </c>
      <c r="L22" s="19">
        <f t="shared" si="2"/>
        <v>1.8472</v>
      </c>
      <c r="M22" s="325">
        <f t="shared" si="4"/>
        <v>0</v>
      </c>
      <c r="N22" s="112">
        <f t="shared" si="3"/>
        <v>0</v>
      </c>
      <c r="O22" s="112">
        <f t="shared" si="5"/>
        <v>0</v>
      </c>
      <c r="S22" s="366">
        <v>704579</v>
      </c>
      <c r="T22" s="466" t="s">
        <v>1501</v>
      </c>
    </row>
    <row r="23" spans="1:20" s="21" customFormat="1" ht="15" customHeight="1" x14ac:dyDescent="0.2">
      <c r="A23" s="361" t="s">
        <v>1443</v>
      </c>
      <c r="B23" s="17"/>
      <c r="C23" s="318">
        <v>720240</v>
      </c>
      <c r="D23" s="470" t="s">
        <v>1669</v>
      </c>
      <c r="E23" s="17"/>
      <c r="F23" s="17">
        <v>7255</v>
      </c>
      <c r="G23" s="17" t="s">
        <v>1670</v>
      </c>
      <c r="H23" s="183" t="str">
        <f t="shared" si="0"/>
        <v>na</v>
      </c>
      <c r="I23" s="17">
        <f t="shared" si="1"/>
        <v>0</v>
      </c>
      <c r="J23" s="287" t="e">
        <f>+'Special Pricing'!$G$122</f>
        <v>#DIV/0!</v>
      </c>
      <c r="K23" s="325">
        <v>0.25</v>
      </c>
      <c r="L23" s="19" t="e">
        <f t="shared" si="2"/>
        <v>#DIV/0!</v>
      </c>
      <c r="M23" s="325">
        <f t="shared" si="4"/>
        <v>0</v>
      </c>
      <c r="N23" s="112" t="e">
        <f t="shared" si="3"/>
        <v>#DIV/0!</v>
      </c>
      <c r="O23" s="112" t="e">
        <f t="shared" si="5"/>
        <v>#DIV/0!</v>
      </c>
      <c r="S23" s="318">
        <v>704759</v>
      </c>
      <c r="T23" s="470" t="s">
        <v>532</v>
      </c>
    </row>
    <row r="24" spans="1:20" s="21" customFormat="1" ht="15" customHeight="1" x14ac:dyDescent="0.2">
      <c r="A24" s="361" t="s">
        <v>1443</v>
      </c>
      <c r="B24" s="17"/>
      <c r="C24" s="318">
        <v>729955</v>
      </c>
      <c r="D24" s="470" t="s">
        <v>1669</v>
      </c>
      <c r="E24" s="17"/>
      <c r="F24" s="17">
        <v>7255</v>
      </c>
      <c r="G24" s="17" t="s">
        <v>1670</v>
      </c>
      <c r="H24" s="183" t="str">
        <f t="shared" si="0"/>
        <v>na</v>
      </c>
      <c r="I24" s="17">
        <f t="shared" si="1"/>
        <v>0</v>
      </c>
      <c r="J24" s="287" t="e">
        <f>+'Special Pricing'!$G$122</f>
        <v>#DIV/0!</v>
      </c>
      <c r="K24" s="325">
        <v>0.25</v>
      </c>
      <c r="L24" s="19" t="e">
        <f t="shared" si="2"/>
        <v>#DIV/0!</v>
      </c>
      <c r="M24" s="325">
        <f t="shared" si="4"/>
        <v>0</v>
      </c>
      <c r="N24" s="112" t="e">
        <f t="shared" si="3"/>
        <v>#DIV/0!</v>
      </c>
      <c r="O24" s="112" t="e">
        <f t="shared" si="5"/>
        <v>#DIV/0!</v>
      </c>
      <c r="P24" s="90"/>
      <c r="Q24" s="90"/>
      <c r="S24" s="365">
        <v>704761</v>
      </c>
      <c r="T24" s="466" t="s">
        <v>1426</v>
      </c>
    </row>
    <row r="25" spans="1:20" s="73" customFormat="1" ht="15" customHeight="1" x14ac:dyDescent="0.2">
      <c r="A25" s="361" t="s">
        <v>1443</v>
      </c>
      <c r="B25" s="17"/>
      <c r="C25" s="318">
        <v>734512</v>
      </c>
      <c r="D25" s="470" t="s">
        <v>1669</v>
      </c>
      <c r="E25" s="17"/>
      <c r="F25" s="17">
        <v>7255</v>
      </c>
      <c r="G25" s="17" t="s">
        <v>1670</v>
      </c>
      <c r="H25" s="183" t="str">
        <f t="shared" si="0"/>
        <v>na</v>
      </c>
      <c r="I25" s="17">
        <f t="shared" si="1"/>
        <v>0</v>
      </c>
      <c r="J25" s="287" t="e">
        <f>+'Special Pricing'!$G$122</f>
        <v>#DIV/0!</v>
      </c>
      <c r="K25" s="325">
        <v>0.25</v>
      </c>
      <c r="L25" s="19" t="e">
        <f t="shared" si="2"/>
        <v>#DIV/0!</v>
      </c>
      <c r="M25" s="325">
        <f t="shared" si="4"/>
        <v>0</v>
      </c>
      <c r="N25" s="112" t="e">
        <f t="shared" si="3"/>
        <v>#DIV/0!</v>
      </c>
      <c r="O25" s="112" t="e">
        <f t="shared" si="5"/>
        <v>#DIV/0!</v>
      </c>
      <c r="P25" s="90"/>
      <c r="Q25" s="90"/>
      <c r="S25" s="497">
        <v>705511</v>
      </c>
      <c r="T25" s="501" t="s">
        <v>619</v>
      </c>
    </row>
    <row r="26" spans="1:20" s="73" customFormat="1" ht="15" customHeight="1" x14ac:dyDescent="0.2">
      <c r="A26" s="361" t="s">
        <v>1443</v>
      </c>
      <c r="B26" s="17"/>
      <c r="C26" s="318">
        <v>736003</v>
      </c>
      <c r="D26" s="470" t="s">
        <v>1669</v>
      </c>
      <c r="E26" s="17"/>
      <c r="F26" s="17">
        <v>7255</v>
      </c>
      <c r="G26" s="17" t="s">
        <v>1670</v>
      </c>
      <c r="H26" s="183" t="str">
        <f t="shared" si="0"/>
        <v>na</v>
      </c>
      <c r="I26" s="17">
        <f t="shared" si="1"/>
        <v>0</v>
      </c>
      <c r="J26" s="287" t="e">
        <f>+'Special Pricing'!$G$122</f>
        <v>#DIV/0!</v>
      </c>
      <c r="K26" s="325">
        <v>0.25</v>
      </c>
      <c r="L26" s="19" t="e">
        <f t="shared" si="2"/>
        <v>#DIV/0!</v>
      </c>
      <c r="M26" s="325">
        <f t="shared" si="4"/>
        <v>0</v>
      </c>
      <c r="N26" s="112" t="e">
        <f t="shared" si="3"/>
        <v>#DIV/0!</v>
      </c>
      <c r="O26" s="112" t="e">
        <f t="shared" si="5"/>
        <v>#DIV/0!</v>
      </c>
      <c r="P26" s="21"/>
      <c r="Q26" s="21"/>
      <c r="S26" s="365">
        <v>705822</v>
      </c>
      <c r="T26" s="466" t="s">
        <v>1550</v>
      </c>
    </row>
    <row r="27" spans="1:20" s="21" customFormat="1" ht="15" customHeight="1" x14ac:dyDescent="0.2">
      <c r="A27" s="361" t="s">
        <v>1443</v>
      </c>
      <c r="B27" s="17"/>
      <c r="C27" s="318">
        <v>736005</v>
      </c>
      <c r="D27" s="470" t="s">
        <v>1669</v>
      </c>
      <c r="E27" s="17"/>
      <c r="F27" s="17">
        <v>7255</v>
      </c>
      <c r="G27" s="17" t="s">
        <v>1670</v>
      </c>
      <c r="H27" s="183" t="str">
        <f t="shared" si="0"/>
        <v>na</v>
      </c>
      <c r="I27" s="17">
        <f t="shared" si="1"/>
        <v>0</v>
      </c>
      <c r="J27" s="287" t="e">
        <f>+'Special Pricing'!$G$122</f>
        <v>#DIV/0!</v>
      </c>
      <c r="K27" s="325">
        <v>0.25</v>
      </c>
      <c r="L27" s="19" t="e">
        <f t="shared" si="2"/>
        <v>#DIV/0!</v>
      </c>
      <c r="M27" s="325">
        <f t="shared" si="4"/>
        <v>0</v>
      </c>
      <c r="N27" s="112" t="e">
        <f t="shared" si="3"/>
        <v>#DIV/0!</v>
      </c>
      <c r="O27" s="112" t="e">
        <f t="shared" si="5"/>
        <v>#DIV/0!</v>
      </c>
      <c r="S27" s="365">
        <v>705940</v>
      </c>
      <c r="T27" s="466" t="s">
        <v>806</v>
      </c>
    </row>
    <row r="28" spans="1:20" s="21" customFormat="1" ht="15" customHeight="1" x14ac:dyDescent="0.2">
      <c r="A28" s="361" t="s">
        <v>1443</v>
      </c>
      <c r="B28" s="17"/>
      <c r="C28" s="318">
        <v>736048</v>
      </c>
      <c r="D28" s="470" t="s">
        <v>1669</v>
      </c>
      <c r="E28" s="17"/>
      <c r="F28" s="17">
        <v>7255</v>
      </c>
      <c r="G28" s="17" t="s">
        <v>1670</v>
      </c>
      <c r="H28" s="183" t="str">
        <f t="shared" si="0"/>
        <v>na</v>
      </c>
      <c r="I28" s="17">
        <f t="shared" si="1"/>
        <v>0</v>
      </c>
      <c r="J28" s="287" t="e">
        <f>+'Special Pricing'!$G$122</f>
        <v>#DIV/0!</v>
      </c>
      <c r="K28" s="325">
        <v>0.25</v>
      </c>
      <c r="L28" s="19" t="e">
        <f t="shared" si="2"/>
        <v>#DIV/0!</v>
      </c>
      <c r="M28" s="325">
        <f t="shared" si="4"/>
        <v>0</v>
      </c>
      <c r="N28" s="112" t="e">
        <f t="shared" si="3"/>
        <v>#DIV/0!</v>
      </c>
      <c r="O28" s="112" t="e">
        <f t="shared" si="5"/>
        <v>#DIV/0!</v>
      </c>
      <c r="S28" s="365">
        <v>706202</v>
      </c>
      <c r="T28" s="485" t="s">
        <v>1555</v>
      </c>
    </row>
    <row r="29" spans="1:20" s="21" customFormat="1" ht="15" customHeight="1" x14ac:dyDescent="0.2">
      <c r="A29" s="361" t="s">
        <v>1443</v>
      </c>
      <c r="B29" s="17"/>
      <c r="C29" s="318">
        <v>736067</v>
      </c>
      <c r="D29" s="470" t="s">
        <v>1669</v>
      </c>
      <c r="E29" s="17"/>
      <c r="F29" s="17">
        <v>7255</v>
      </c>
      <c r="G29" s="17" t="s">
        <v>1670</v>
      </c>
      <c r="H29" s="183" t="str">
        <f>IF(ISNA(VLOOKUP(C29,gath9909,10,FALSE)),"na",VLOOKUP(C29,gath9909,10,FALSE))</f>
        <v>na</v>
      </c>
      <c r="I29" s="17">
        <f>IF(ISNA(VLOOKUP(C29,gath9909,12,FALSE)),0,(VLOOKUP(C29,gath9909,12,FALSE)))</f>
        <v>0</v>
      </c>
      <c r="J29" s="287" t="e">
        <f>+'Special Pricing'!$G$122</f>
        <v>#DIV/0!</v>
      </c>
      <c r="K29" s="325">
        <v>0.25</v>
      </c>
      <c r="L29" s="19" t="e">
        <f>+J29-K29</f>
        <v>#DIV/0!</v>
      </c>
      <c r="M29" s="325">
        <f>IF(H29&gt;=0,I29*0.001,0)</f>
        <v>0</v>
      </c>
      <c r="N29" s="112" t="e">
        <f>+L29*I29</f>
        <v>#DIV/0!</v>
      </c>
      <c r="O29" s="112" t="e">
        <f>(+L29*I29)-M29</f>
        <v>#DIV/0!</v>
      </c>
      <c r="P29" s="90"/>
      <c r="Q29" s="90"/>
      <c r="S29" s="365">
        <v>706264</v>
      </c>
      <c r="T29" s="466" t="s">
        <v>1556</v>
      </c>
    </row>
    <row r="30" spans="1:20" s="21" customFormat="1" ht="15" customHeight="1" x14ac:dyDescent="0.2">
      <c r="A30" s="361" t="s">
        <v>1443</v>
      </c>
      <c r="B30" s="17"/>
      <c r="C30" s="318">
        <v>736116</v>
      </c>
      <c r="D30" s="470" t="s">
        <v>1669</v>
      </c>
      <c r="E30" s="17"/>
      <c r="F30" s="17">
        <v>7255</v>
      </c>
      <c r="G30" s="17" t="s">
        <v>1670</v>
      </c>
      <c r="H30" s="183" t="str">
        <f t="shared" si="0"/>
        <v>na</v>
      </c>
      <c r="I30" s="17">
        <f t="shared" si="1"/>
        <v>0</v>
      </c>
      <c r="J30" s="287" t="e">
        <f>+'Special Pricing'!$G$122</f>
        <v>#DIV/0!</v>
      </c>
      <c r="K30" s="325">
        <v>0.25</v>
      </c>
      <c r="L30" s="19" t="e">
        <f t="shared" si="2"/>
        <v>#DIV/0!</v>
      </c>
      <c r="M30" s="325">
        <f t="shared" si="4"/>
        <v>0</v>
      </c>
      <c r="N30" s="112" t="e">
        <f t="shared" si="3"/>
        <v>#DIV/0!</v>
      </c>
      <c r="O30" s="112" t="e">
        <f t="shared" si="5"/>
        <v>#DIV/0!</v>
      </c>
      <c r="P30" s="90"/>
      <c r="Q30" s="90"/>
      <c r="S30" s="365">
        <v>706264</v>
      </c>
      <c r="T30" s="466" t="s">
        <v>1556</v>
      </c>
    </row>
    <row r="31" spans="1:20" s="21" customFormat="1" ht="15" customHeight="1" x14ac:dyDescent="0.2">
      <c r="A31" s="179" t="s">
        <v>1443</v>
      </c>
      <c r="B31" s="17">
        <v>109791</v>
      </c>
      <c r="C31" s="365">
        <v>701263</v>
      </c>
      <c r="D31" s="466" t="s">
        <v>1542</v>
      </c>
      <c r="E31" s="17"/>
      <c r="F31" s="16"/>
      <c r="G31" s="267" t="s">
        <v>1456</v>
      </c>
      <c r="H31" s="183" t="str">
        <f t="shared" si="0"/>
        <v>na</v>
      </c>
      <c r="I31" s="17">
        <f t="shared" si="1"/>
        <v>0</v>
      </c>
      <c r="J31" s="113">
        <f>+$J$3*0.95</f>
        <v>2.0329999999999999</v>
      </c>
      <c r="K31" s="325">
        <v>0.25</v>
      </c>
      <c r="L31" s="19">
        <f t="shared" si="2"/>
        <v>1.7829999999999999</v>
      </c>
      <c r="M31" s="325">
        <f t="shared" si="4"/>
        <v>0</v>
      </c>
      <c r="N31" s="112">
        <f t="shared" si="3"/>
        <v>0</v>
      </c>
      <c r="O31" s="112">
        <f t="shared" si="5"/>
        <v>0</v>
      </c>
      <c r="S31" s="365">
        <v>706283</v>
      </c>
      <c r="T31" s="485" t="s">
        <v>1555</v>
      </c>
    </row>
    <row r="32" spans="1:20" s="21" customFormat="1" ht="15" customHeight="1" x14ac:dyDescent="0.2">
      <c r="A32" s="315" t="s">
        <v>1443</v>
      </c>
      <c r="B32" s="17">
        <v>109744</v>
      </c>
      <c r="C32" s="318">
        <v>718274</v>
      </c>
      <c r="D32" s="470" t="s">
        <v>1445</v>
      </c>
      <c r="E32" s="17"/>
      <c r="F32" s="17">
        <v>8219</v>
      </c>
      <c r="G32" s="17" t="s">
        <v>464</v>
      </c>
      <c r="H32" s="183" t="str">
        <f t="shared" si="0"/>
        <v>na</v>
      </c>
      <c r="I32" s="17">
        <f t="shared" si="1"/>
        <v>0</v>
      </c>
      <c r="J32" s="113">
        <f>+$J$3*0.985</f>
        <v>2.1078999999999999</v>
      </c>
      <c r="K32" s="325">
        <v>0.25</v>
      </c>
      <c r="L32" s="19">
        <f t="shared" si="2"/>
        <v>1.8578999999999999</v>
      </c>
      <c r="M32" s="325">
        <f t="shared" si="4"/>
        <v>0</v>
      </c>
      <c r="N32" s="112">
        <f t="shared" si="3"/>
        <v>0</v>
      </c>
      <c r="O32" s="112">
        <f t="shared" si="5"/>
        <v>0</v>
      </c>
      <c r="S32" s="365">
        <v>706353</v>
      </c>
      <c r="T32" s="466" t="s">
        <v>1426</v>
      </c>
    </row>
    <row r="33" spans="1:20" s="21" customFormat="1" ht="15" customHeight="1" x14ac:dyDescent="0.2">
      <c r="A33" s="315" t="s">
        <v>1443</v>
      </c>
      <c r="B33" s="17">
        <v>109793</v>
      </c>
      <c r="C33" s="318">
        <v>718426</v>
      </c>
      <c r="D33" s="470" t="s">
        <v>476</v>
      </c>
      <c r="E33" s="17"/>
      <c r="F33" s="17">
        <v>74017</v>
      </c>
      <c r="G33" s="17" t="s">
        <v>477</v>
      </c>
      <c r="H33" s="183" t="str">
        <f t="shared" si="0"/>
        <v>na</v>
      </c>
      <c r="I33" s="17">
        <f t="shared" si="1"/>
        <v>0</v>
      </c>
      <c r="J33" s="113">
        <f>+$J$3-0.02</f>
        <v>2.12</v>
      </c>
      <c r="K33" s="325">
        <v>0.25</v>
      </c>
      <c r="L33" s="19">
        <f t="shared" si="2"/>
        <v>1.87</v>
      </c>
      <c r="M33" s="325">
        <f t="shared" si="4"/>
        <v>0</v>
      </c>
      <c r="N33" s="112">
        <f t="shared" si="3"/>
        <v>0</v>
      </c>
      <c r="O33" s="112">
        <f t="shared" si="5"/>
        <v>0</v>
      </c>
      <c r="P33" s="90"/>
      <c r="Q33" s="90"/>
      <c r="S33" s="365">
        <v>706462</v>
      </c>
      <c r="T33" s="466" t="s">
        <v>1557</v>
      </c>
    </row>
    <row r="34" spans="1:20" s="21" customFormat="1" ht="15" customHeight="1" x14ac:dyDescent="0.2">
      <c r="A34" s="179" t="s">
        <v>1443</v>
      </c>
      <c r="B34" s="134"/>
      <c r="C34" s="686">
        <v>717420</v>
      </c>
      <c r="D34" s="687" t="s">
        <v>1013</v>
      </c>
      <c r="E34" s="328" t="s">
        <v>462</v>
      </c>
      <c r="F34" s="16"/>
      <c r="G34" s="685" t="s">
        <v>1015</v>
      </c>
      <c r="H34" s="488" t="str">
        <f t="shared" ref="H34:H51" si="6">IF(ISNA(VLOOKUP(C34,gath9909,10,FALSE)),"na",VLOOKUP(C34,gath9909,10,FALSE))</f>
        <v>na</v>
      </c>
      <c r="I34" s="159">
        <f t="shared" ref="I34:I51" si="7">IF(ISNA(VLOOKUP(C34,gath9909,12,FALSE)),0,(VLOOKUP(C34,gath9909,12,FALSE)))</f>
        <v>0</v>
      </c>
      <c r="J34" s="486" t="e">
        <f>+'Special Pricing'!$G$26</f>
        <v>#DIV/0!</v>
      </c>
      <c r="K34" s="325">
        <v>0.25</v>
      </c>
      <c r="L34" s="19" t="e">
        <f t="shared" ref="L34:L51" si="8">+J34-K34</f>
        <v>#DIV/0!</v>
      </c>
      <c r="M34" s="325">
        <f t="shared" ref="M34:M51" si="9">IF(H34&gt;=0,I34*0.001,0)</f>
        <v>0</v>
      </c>
      <c r="N34" s="112" t="e">
        <f t="shared" ref="N34:N51" si="10">+L34*I34</f>
        <v>#DIV/0!</v>
      </c>
      <c r="O34" s="112" t="e">
        <f t="shared" ref="O34:O51" si="11">(+L34*I34)-M34</f>
        <v>#DIV/0!</v>
      </c>
      <c r="S34" s="365">
        <v>706480</v>
      </c>
      <c r="T34" s="476" t="s">
        <v>1559</v>
      </c>
    </row>
    <row r="35" spans="1:20" s="21" customFormat="1" ht="15" customHeight="1" x14ac:dyDescent="0.2">
      <c r="A35" s="179" t="s">
        <v>1443</v>
      </c>
      <c r="B35" s="134"/>
      <c r="C35" s="686">
        <v>719189</v>
      </c>
      <c r="D35" s="687" t="s">
        <v>1013</v>
      </c>
      <c r="E35" s="328" t="s">
        <v>462</v>
      </c>
      <c r="F35" s="16"/>
      <c r="G35" s="685" t="s">
        <v>1015</v>
      </c>
      <c r="H35" s="488" t="str">
        <f t="shared" si="6"/>
        <v>na</v>
      </c>
      <c r="I35" s="159">
        <f t="shared" si="7"/>
        <v>0</v>
      </c>
      <c r="J35" s="486" t="e">
        <f>+'Special Pricing'!$G$26</f>
        <v>#DIV/0!</v>
      </c>
      <c r="K35" s="325">
        <v>0.25</v>
      </c>
      <c r="L35" s="19" t="e">
        <f t="shared" si="8"/>
        <v>#DIV/0!</v>
      </c>
      <c r="M35" s="325">
        <f t="shared" si="9"/>
        <v>0</v>
      </c>
      <c r="N35" s="112" t="e">
        <f t="shared" si="10"/>
        <v>#DIV/0!</v>
      </c>
      <c r="O35" s="112" t="e">
        <f t="shared" si="11"/>
        <v>#DIV/0!</v>
      </c>
      <c r="S35" s="365">
        <v>706480</v>
      </c>
      <c r="T35" s="476" t="s">
        <v>1559</v>
      </c>
    </row>
    <row r="36" spans="1:20" s="21" customFormat="1" ht="15" customHeight="1" x14ac:dyDescent="0.2">
      <c r="A36" s="179" t="s">
        <v>1443</v>
      </c>
      <c r="B36" s="134"/>
      <c r="C36" s="686">
        <v>719698</v>
      </c>
      <c r="D36" s="687" t="s">
        <v>1013</v>
      </c>
      <c r="E36" s="328" t="s">
        <v>462</v>
      </c>
      <c r="F36" s="16"/>
      <c r="G36" s="685" t="s">
        <v>1015</v>
      </c>
      <c r="H36" s="488" t="str">
        <f t="shared" si="6"/>
        <v>na</v>
      </c>
      <c r="I36" s="159">
        <f t="shared" si="7"/>
        <v>0</v>
      </c>
      <c r="J36" s="486" t="e">
        <f>+'Special Pricing'!$G$26</f>
        <v>#DIV/0!</v>
      </c>
      <c r="K36" s="325">
        <v>0.25</v>
      </c>
      <c r="L36" s="19" t="e">
        <f t="shared" si="8"/>
        <v>#DIV/0!</v>
      </c>
      <c r="M36" s="325">
        <f t="shared" si="9"/>
        <v>0</v>
      </c>
      <c r="N36" s="112" t="e">
        <f t="shared" si="10"/>
        <v>#DIV/0!</v>
      </c>
      <c r="O36" s="112" t="e">
        <f t="shared" si="11"/>
        <v>#DIV/0!</v>
      </c>
      <c r="S36" s="365">
        <v>706480</v>
      </c>
      <c r="T36" s="476" t="s">
        <v>1559</v>
      </c>
    </row>
    <row r="37" spans="1:20" s="21" customFormat="1" ht="15" customHeight="1" x14ac:dyDescent="0.2">
      <c r="A37" s="179" t="s">
        <v>1443</v>
      </c>
      <c r="B37" s="134"/>
      <c r="C37" s="686">
        <v>719866</v>
      </c>
      <c r="D37" s="687" t="s">
        <v>1013</v>
      </c>
      <c r="E37" s="328" t="s">
        <v>462</v>
      </c>
      <c r="F37" s="16"/>
      <c r="G37" s="685" t="s">
        <v>1015</v>
      </c>
      <c r="H37" s="488" t="str">
        <f t="shared" si="6"/>
        <v>na</v>
      </c>
      <c r="I37" s="159">
        <f t="shared" si="7"/>
        <v>0</v>
      </c>
      <c r="J37" s="486" t="e">
        <f>+'Special Pricing'!$G$26</f>
        <v>#DIV/0!</v>
      </c>
      <c r="K37" s="325">
        <v>0.25</v>
      </c>
      <c r="L37" s="19" t="e">
        <f t="shared" si="8"/>
        <v>#DIV/0!</v>
      </c>
      <c r="M37" s="325">
        <f t="shared" si="9"/>
        <v>0</v>
      </c>
      <c r="N37" s="112" t="e">
        <f t="shared" si="10"/>
        <v>#DIV/0!</v>
      </c>
      <c r="O37" s="112" t="e">
        <f t="shared" si="11"/>
        <v>#DIV/0!</v>
      </c>
      <c r="S37" s="365">
        <v>706480</v>
      </c>
      <c r="T37" s="476" t="s">
        <v>1559</v>
      </c>
    </row>
    <row r="38" spans="1:20" s="21" customFormat="1" ht="15" customHeight="1" x14ac:dyDescent="0.2">
      <c r="A38" s="179" t="s">
        <v>1443</v>
      </c>
      <c r="B38" s="134"/>
      <c r="C38" s="686">
        <v>719939</v>
      </c>
      <c r="D38" s="687" t="s">
        <v>1013</v>
      </c>
      <c r="E38" s="328" t="s">
        <v>462</v>
      </c>
      <c r="F38" s="16"/>
      <c r="G38" s="685" t="s">
        <v>1015</v>
      </c>
      <c r="H38" s="488" t="str">
        <f t="shared" si="6"/>
        <v>na</v>
      </c>
      <c r="I38" s="159">
        <f t="shared" si="7"/>
        <v>0</v>
      </c>
      <c r="J38" s="486" t="e">
        <f>+'Special Pricing'!$G$26</f>
        <v>#DIV/0!</v>
      </c>
      <c r="K38" s="325">
        <v>0.25</v>
      </c>
      <c r="L38" s="19" t="e">
        <f t="shared" si="8"/>
        <v>#DIV/0!</v>
      </c>
      <c r="M38" s="325">
        <f t="shared" si="9"/>
        <v>0</v>
      </c>
      <c r="N38" s="112" t="e">
        <f t="shared" si="10"/>
        <v>#DIV/0!</v>
      </c>
      <c r="O38" s="112" t="e">
        <f t="shared" si="11"/>
        <v>#DIV/0!</v>
      </c>
      <c r="S38" s="365">
        <v>706480</v>
      </c>
      <c r="T38" s="476" t="s">
        <v>1559</v>
      </c>
    </row>
    <row r="39" spans="1:20" s="21" customFormat="1" ht="15" customHeight="1" x14ac:dyDescent="0.2">
      <c r="A39" s="179" t="s">
        <v>1443</v>
      </c>
      <c r="B39" s="134"/>
      <c r="C39" s="686">
        <v>719940</v>
      </c>
      <c r="D39" s="687" t="s">
        <v>1013</v>
      </c>
      <c r="E39" s="328" t="s">
        <v>462</v>
      </c>
      <c r="F39" s="16"/>
      <c r="G39" s="685" t="s">
        <v>1015</v>
      </c>
      <c r="H39" s="488" t="str">
        <f t="shared" si="6"/>
        <v>na</v>
      </c>
      <c r="I39" s="159">
        <f t="shared" si="7"/>
        <v>0</v>
      </c>
      <c r="J39" s="486" t="e">
        <f>+'Special Pricing'!$G$26</f>
        <v>#DIV/0!</v>
      </c>
      <c r="K39" s="325">
        <v>0.25</v>
      </c>
      <c r="L39" s="19" t="e">
        <f t="shared" si="8"/>
        <v>#DIV/0!</v>
      </c>
      <c r="M39" s="325">
        <f t="shared" si="9"/>
        <v>0</v>
      </c>
      <c r="N39" s="112" t="e">
        <f t="shared" si="10"/>
        <v>#DIV/0!</v>
      </c>
      <c r="O39" s="112" t="e">
        <f t="shared" si="11"/>
        <v>#DIV/0!</v>
      </c>
      <c r="S39" s="365">
        <v>706480</v>
      </c>
      <c r="T39" s="476" t="s">
        <v>1559</v>
      </c>
    </row>
    <row r="40" spans="1:20" s="21" customFormat="1" ht="15" customHeight="1" x14ac:dyDescent="0.2">
      <c r="A40" s="179" t="s">
        <v>1443</v>
      </c>
      <c r="B40" s="134"/>
      <c r="C40" s="686">
        <v>719941</v>
      </c>
      <c r="D40" s="687" t="s">
        <v>1013</v>
      </c>
      <c r="E40" s="328" t="s">
        <v>462</v>
      </c>
      <c r="F40" s="16"/>
      <c r="G40" s="685" t="s">
        <v>1015</v>
      </c>
      <c r="H40" s="488" t="str">
        <f t="shared" si="6"/>
        <v>na</v>
      </c>
      <c r="I40" s="159">
        <f t="shared" si="7"/>
        <v>0</v>
      </c>
      <c r="J40" s="486" t="e">
        <f>+'Special Pricing'!$G$26</f>
        <v>#DIV/0!</v>
      </c>
      <c r="K40" s="325">
        <v>0.25</v>
      </c>
      <c r="L40" s="19" t="e">
        <f t="shared" si="8"/>
        <v>#DIV/0!</v>
      </c>
      <c r="M40" s="325">
        <f t="shared" si="9"/>
        <v>0</v>
      </c>
      <c r="N40" s="112" t="e">
        <f t="shared" si="10"/>
        <v>#DIV/0!</v>
      </c>
      <c r="O40" s="112" t="e">
        <f t="shared" si="11"/>
        <v>#DIV/0!</v>
      </c>
      <c r="S40" s="365">
        <v>706480</v>
      </c>
      <c r="T40" s="476" t="s">
        <v>1559</v>
      </c>
    </row>
    <row r="41" spans="1:20" s="21" customFormat="1" ht="15" customHeight="1" x14ac:dyDescent="0.2">
      <c r="A41" s="179" t="s">
        <v>1443</v>
      </c>
      <c r="B41" s="134"/>
      <c r="C41" s="686">
        <v>720534</v>
      </c>
      <c r="D41" s="687" t="s">
        <v>1013</v>
      </c>
      <c r="E41" s="328" t="s">
        <v>462</v>
      </c>
      <c r="F41" s="16"/>
      <c r="G41" s="685" t="s">
        <v>1015</v>
      </c>
      <c r="H41" s="488" t="str">
        <f t="shared" si="6"/>
        <v>na</v>
      </c>
      <c r="I41" s="159">
        <f t="shared" si="7"/>
        <v>0</v>
      </c>
      <c r="J41" s="486" t="e">
        <f>+'Special Pricing'!$G$26</f>
        <v>#DIV/0!</v>
      </c>
      <c r="K41" s="325">
        <v>0.25</v>
      </c>
      <c r="L41" s="19" t="e">
        <f t="shared" si="8"/>
        <v>#DIV/0!</v>
      </c>
      <c r="M41" s="325">
        <f t="shared" si="9"/>
        <v>0</v>
      </c>
      <c r="N41" s="112" t="e">
        <f t="shared" si="10"/>
        <v>#DIV/0!</v>
      </c>
      <c r="O41" s="112" t="e">
        <f t="shared" si="11"/>
        <v>#DIV/0!</v>
      </c>
      <c r="S41" s="365">
        <v>706480</v>
      </c>
      <c r="T41" s="476" t="s">
        <v>1559</v>
      </c>
    </row>
    <row r="42" spans="1:20" s="21" customFormat="1" ht="15" customHeight="1" x14ac:dyDescent="0.2">
      <c r="A42" s="179" t="s">
        <v>1443</v>
      </c>
      <c r="B42" s="134"/>
      <c r="C42" s="686">
        <v>720627</v>
      </c>
      <c r="D42" s="687" t="s">
        <v>1013</v>
      </c>
      <c r="E42" s="328" t="s">
        <v>462</v>
      </c>
      <c r="F42" s="16"/>
      <c r="G42" s="685" t="s">
        <v>1015</v>
      </c>
      <c r="H42" s="488" t="str">
        <f t="shared" si="6"/>
        <v>na</v>
      </c>
      <c r="I42" s="159">
        <f t="shared" si="7"/>
        <v>0</v>
      </c>
      <c r="J42" s="486" t="e">
        <f>+'Special Pricing'!$G$26</f>
        <v>#DIV/0!</v>
      </c>
      <c r="K42" s="325">
        <v>0.25</v>
      </c>
      <c r="L42" s="19" t="e">
        <f t="shared" si="8"/>
        <v>#DIV/0!</v>
      </c>
      <c r="M42" s="325">
        <f t="shared" si="9"/>
        <v>0</v>
      </c>
      <c r="N42" s="112" t="e">
        <f t="shared" si="10"/>
        <v>#DIV/0!</v>
      </c>
      <c r="O42" s="112" t="e">
        <f t="shared" si="11"/>
        <v>#DIV/0!</v>
      </c>
      <c r="S42" s="365">
        <v>706480</v>
      </c>
      <c r="T42" s="476" t="s">
        <v>1559</v>
      </c>
    </row>
    <row r="43" spans="1:20" s="21" customFormat="1" ht="15" customHeight="1" x14ac:dyDescent="0.2">
      <c r="A43" s="179" t="s">
        <v>1443</v>
      </c>
      <c r="B43" s="134"/>
      <c r="C43" s="686">
        <v>721198</v>
      </c>
      <c r="D43" s="687" t="s">
        <v>1013</v>
      </c>
      <c r="E43" s="328" t="s">
        <v>462</v>
      </c>
      <c r="F43" s="16"/>
      <c r="G43" s="685" t="s">
        <v>1015</v>
      </c>
      <c r="H43" s="488" t="str">
        <f t="shared" si="6"/>
        <v>na</v>
      </c>
      <c r="I43" s="159">
        <f t="shared" si="7"/>
        <v>0</v>
      </c>
      <c r="J43" s="486" t="e">
        <f>+'Special Pricing'!$G$26</f>
        <v>#DIV/0!</v>
      </c>
      <c r="K43" s="325">
        <v>0.25</v>
      </c>
      <c r="L43" s="19" t="e">
        <f t="shared" si="8"/>
        <v>#DIV/0!</v>
      </c>
      <c r="M43" s="325">
        <f t="shared" si="9"/>
        <v>0</v>
      </c>
      <c r="N43" s="112" t="e">
        <f t="shared" si="10"/>
        <v>#DIV/0!</v>
      </c>
      <c r="O43" s="112" t="e">
        <f t="shared" si="11"/>
        <v>#DIV/0!</v>
      </c>
      <c r="S43" s="365">
        <v>706480</v>
      </c>
      <c r="T43" s="476" t="s">
        <v>1559</v>
      </c>
    </row>
    <row r="44" spans="1:20" s="21" customFormat="1" ht="15" customHeight="1" x14ac:dyDescent="0.2">
      <c r="A44" s="179" t="s">
        <v>1443</v>
      </c>
      <c r="B44" s="134"/>
      <c r="C44" s="686">
        <v>722029</v>
      </c>
      <c r="D44" s="687" t="s">
        <v>1013</v>
      </c>
      <c r="E44" s="328" t="s">
        <v>462</v>
      </c>
      <c r="F44" s="16"/>
      <c r="G44" s="685" t="s">
        <v>1015</v>
      </c>
      <c r="H44" s="488" t="str">
        <f t="shared" si="6"/>
        <v>na</v>
      </c>
      <c r="I44" s="159">
        <f t="shared" si="7"/>
        <v>0</v>
      </c>
      <c r="J44" s="486" t="e">
        <f>+'Special Pricing'!$G$26</f>
        <v>#DIV/0!</v>
      </c>
      <c r="K44" s="325">
        <v>0.25</v>
      </c>
      <c r="L44" s="19" t="e">
        <f t="shared" si="8"/>
        <v>#DIV/0!</v>
      </c>
      <c r="M44" s="325">
        <f t="shared" si="9"/>
        <v>0</v>
      </c>
      <c r="N44" s="112" t="e">
        <f t="shared" si="10"/>
        <v>#DIV/0!</v>
      </c>
      <c r="O44" s="112" t="e">
        <f t="shared" si="11"/>
        <v>#DIV/0!</v>
      </c>
      <c r="S44" s="365">
        <v>706480</v>
      </c>
      <c r="T44" s="476" t="s">
        <v>1559</v>
      </c>
    </row>
    <row r="45" spans="1:20" s="21" customFormat="1" ht="15" customHeight="1" x14ac:dyDescent="0.2">
      <c r="A45" s="179" t="s">
        <v>1443</v>
      </c>
      <c r="B45" s="134"/>
      <c r="C45" s="686">
        <v>722030</v>
      </c>
      <c r="D45" s="687" t="s">
        <v>1013</v>
      </c>
      <c r="E45" s="328" t="s">
        <v>462</v>
      </c>
      <c r="F45" s="16"/>
      <c r="G45" s="685" t="s">
        <v>1015</v>
      </c>
      <c r="H45" s="488" t="str">
        <f t="shared" si="6"/>
        <v>na</v>
      </c>
      <c r="I45" s="159">
        <f t="shared" si="7"/>
        <v>0</v>
      </c>
      <c r="J45" s="486" t="e">
        <f>+'Special Pricing'!$G$26</f>
        <v>#DIV/0!</v>
      </c>
      <c r="K45" s="325">
        <v>0.25</v>
      </c>
      <c r="L45" s="19" t="e">
        <f t="shared" si="8"/>
        <v>#DIV/0!</v>
      </c>
      <c r="M45" s="325">
        <f t="shared" si="9"/>
        <v>0</v>
      </c>
      <c r="N45" s="112" t="e">
        <f t="shared" si="10"/>
        <v>#DIV/0!</v>
      </c>
      <c r="O45" s="112" t="e">
        <f t="shared" si="11"/>
        <v>#DIV/0!</v>
      </c>
      <c r="S45" s="365">
        <v>706480</v>
      </c>
      <c r="T45" s="476" t="s">
        <v>1559</v>
      </c>
    </row>
    <row r="46" spans="1:20" s="21" customFormat="1" ht="15" customHeight="1" x14ac:dyDescent="0.2">
      <c r="A46" s="179" t="s">
        <v>1443</v>
      </c>
      <c r="B46" s="134"/>
      <c r="C46" s="686">
        <v>722831</v>
      </c>
      <c r="D46" s="687" t="s">
        <v>1013</v>
      </c>
      <c r="E46" s="328" t="s">
        <v>462</v>
      </c>
      <c r="F46" s="16"/>
      <c r="G46" s="685" t="s">
        <v>1015</v>
      </c>
      <c r="H46" s="488" t="str">
        <f t="shared" si="6"/>
        <v>na</v>
      </c>
      <c r="I46" s="159">
        <f t="shared" si="7"/>
        <v>0</v>
      </c>
      <c r="J46" s="486" t="e">
        <f>+'Special Pricing'!$G$26</f>
        <v>#DIV/0!</v>
      </c>
      <c r="K46" s="325">
        <v>0.25</v>
      </c>
      <c r="L46" s="19" t="e">
        <f t="shared" si="8"/>
        <v>#DIV/0!</v>
      </c>
      <c r="M46" s="325">
        <f t="shared" si="9"/>
        <v>0</v>
      </c>
      <c r="N46" s="112" t="e">
        <f t="shared" si="10"/>
        <v>#DIV/0!</v>
      </c>
      <c r="O46" s="112" t="e">
        <f t="shared" si="11"/>
        <v>#DIV/0!</v>
      </c>
      <c r="S46" s="365">
        <v>706480</v>
      </c>
      <c r="T46" s="476" t="s">
        <v>1559</v>
      </c>
    </row>
    <row r="47" spans="1:20" s="21" customFormat="1" ht="15" customHeight="1" x14ac:dyDescent="0.2">
      <c r="A47" s="179" t="s">
        <v>1443</v>
      </c>
      <c r="B47" s="134"/>
      <c r="C47" s="686">
        <v>722853</v>
      </c>
      <c r="D47" s="687" t="s">
        <v>1013</v>
      </c>
      <c r="E47" s="328" t="s">
        <v>462</v>
      </c>
      <c r="F47" s="16"/>
      <c r="G47" s="685" t="s">
        <v>1015</v>
      </c>
      <c r="H47" s="488" t="str">
        <f t="shared" si="6"/>
        <v>na</v>
      </c>
      <c r="I47" s="159">
        <f t="shared" si="7"/>
        <v>0</v>
      </c>
      <c r="J47" s="486" t="e">
        <f>+'Special Pricing'!$G$26</f>
        <v>#DIV/0!</v>
      </c>
      <c r="K47" s="325">
        <v>0.25</v>
      </c>
      <c r="L47" s="19" t="e">
        <f t="shared" si="8"/>
        <v>#DIV/0!</v>
      </c>
      <c r="M47" s="325">
        <f t="shared" si="9"/>
        <v>0</v>
      </c>
      <c r="N47" s="112" t="e">
        <f t="shared" si="10"/>
        <v>#DIV/0!</v>
      </c>
      <c r="O47" s="112" t="e">
        <f t="shared" si="11"/>
        <v>#DIV/0!</v>
      </c>
      <c r="S47" s="365">
        <v>706480</v>
      </c>
      <c r="T47" s="476" t="s">
        <v>1559</v>
      </c>
    </row>
    <row r="48" spans="1:20" s="21" customFormat="1" ht="15" customHeight="1" x14ac:dyDescent="0.2">
      <c r="A48" s="179" t="s">
        <v>1443</v>
      </c>
      <c r="B48" s="134"/>
      <c r="C48" s="686">
        <v>723162</v>
      </c>
      <c r="D48" s="687" t="s">
        <v>1013</v>
      </c>
      <c r="E48" s="328" t="s">
        <v>462</v>
      </c>
      <c r="F48" s="16"/>
      <c r="G48" s="685" t="s">
        <v>1015</v>
      </c>
      <c r="H48" s="488" t="str">
        <f t="shared" si="6"/>
        <v>na</v>
      </c>
      <c r="I48" s="159">
        <f t="shared" si="7"/>
        <v>0</v>
      </c>
      <c r="J48" s="486" t="e">
        <f>+'Special Pricing'!$G$26</f>
        <v>#DIV/0!</v>
      </c>
      <c r="K48" s="325">
        <v>0.25</v>
      </c>
      <c r="L48" s="19" t="e">
        <f t="shared" si="8"/>
        <v>#DIV/0!</v>
      </c>
      <c r="M48" s="325">
        <f t="shared" si="9"/>
        <v>0</v>
      </c>
      <c r="N48" s="112" t="e">
        <f t="shared" si="10"/>
        <v>#DIV/0!</v>
      </c>
      <c r="O48" s="112" t="e">
        <f t="shared" si="11"/>
        <v>#DIV/0!</v>
      </c>
      <c r="S48" s="365">
        <v>706480</v>
      </c>
      <c r="T48" s="476" t="s">
        <v>1559</v>
      </c>
    </row>
    <row r="49" spans="1:20" s="21" customFormat="1" ht="15" customHeight="1" x14ac:dyDescent="0.2">
      <c r="A49" s="179" t="s">
        <v>1443</v>
      </c>
      <c r="B49" s="134"/>
      <c r="C49" s="686">
        <v>723345</v>
      </c>
      <c r="D49" s="687" t="s">
        <v>1013</v>
      </c>
      <c r="E49" s="328" t="s">
        <v>462</v>
      </c>
      <c r="F49" s="16"/>
      <c r="G49" s="685" t="s">
        <v>1015</v>
      </c>
      <c r="H49" s="488" t="str">
        <f t="shared" si="6"/>
        <v>na</v>
      </c>
      <c r="I49" s="159">
        <f t="shared" si="7"/>
        <v>0</v>
      </c>
      <c r="J49" s="486" t="e">
        <f>+'Special Pricing'!$G$26</f>
        <v>#DIV/0!</v>
      </c>
      <c r="K49" s="325">
        <v>0.25</v>
      </c>
      <c r="L49" s="19" t="e">
        <f t="shared" si="8"/>
        <v>#DIV/0!</v>
      </c>
      <c r="M49" s="325">
        <f t="shared" si="9"/>
        <v>0</v>
      </c>
      <c r="N49" s="112" t="e">
        <f t="shared" si="10"/>
        <v>#DIV/0!</v>
      </c>
      <c r="O49" s="112" t="e">
        <f t="shared" si="11"/>
        <v>#DIV/0!</v>
      </c>
      <c r="S49" s="365">
        <v>706480</v>
      </c>
      <c r="T49" s="476" t="s">
        <v>1559</v>
      </c>
    </row>
    <row r="50" spans="1:20" s="21" customFormat="1" ht="15" customHeight="1" x14ac:dyDescent="0.2">
      <c r="A50" s="179" t="s">
        <v>1443</v>
      </c>
      <c r="B50" s="134"/>
      <c r="C50" s="686">
        <v>724827</v>
      </c>
      <c r="D50" s="687" t="s">
        <v>1013</v>
      </c>
      <c r="E50" s="328" t="s">
        <v>462</v>
      </c>
      <c r="F50" s="16"/>
      <c r="G50" s="685" t="s">
        <v>1015</v>
      </c>
      <c r="H50" s="488" t="str">
        <f t="shared" si="6"/>
        <v>na</v>
      </c>
      <c r="I50" s="159">
        <f t="shared" si="7"/>
        <v>0</v>
      </c>
      <c r="J50" s="486" t="e">
        <f>+'Special Pricing'!$G$26</f>
        <v>#DIV/0!</v>
      </c>
      <c r="K50" s="325">
        <v>0.25</v>
      </c>
      <c r="L50" s="19" t="e">
        <f t="shared" si="8"/>
        <v>#DIV/0!</v>
      </c>
      <c r="M50" s="325">
        <f t="shared" si="9"/>
        <v>0</v>
      </c>
      <c r="N50" s="112" t="e">
        <f t="shared" si="10"/>
        <v>#DIV/0!</v>
      </c>
      <c r="O50" s="112" t="e">
        <f t="shared" si="11"/>
        <v>#DIV/0!</v>
      </c>
      <c r="S50" s="365">
        <v>706480</v>
      </c>
      <c r="T50" s="476" t="s">
        <v>1559</v>
      </c>
    </row>
    <row r="51" spans="1:20" s="21" customFormat="1" ht="15" customHeight="1" x14ac:dyDescent="0.2">
      <c r="A51" s="179" t="s">
        <v>1443</v>
      </c>
      <c r="B51" s="134"/>
      <c r="C51" s="686">
        <v>727384</v>
      </c>
      <c r="D51" s="687" t="s">
        <v>1013</v>
      </c>
      <c r="E51" s="328" t="s">
        <v>462</v>
      </c>
      <c r="F51" s="16"/>
      <c r="G51" s="685" t="s">
        <v>1015</v>
      </c>
      <c r="H51" s="488" t="str">
        <f t="shared" si="6"/>
        <v>na</v>
      </c>
      <c r="I51" s="159">
        <f t="shared" si="7"/>
        <v>0</v>
      </c>
      <c r="J51" s="486" t="e">
        <f>+'Special Pricing'!$G$26</f>
        <v>#DIV/0!</v>
      </c>
      <c r="K51" s="325">
        <v>0.25</v>
      </c>
      <c r="L51" s="19" t="e">
        <f t="shared" si="8"/>
        <v>#DIV/0!</v>
      </c>
      <c r="M51" s="325">
        <f t="shared" si="9"/>
        <v>0</v>
      </c>
      <c r="N51" s="112" t="e">
        <f t="shared" si="10"/>
        <v>#DIV/0!</v>
      </c>
      <c r="O51" s="112" t="e">
        <f t="shared" si="11"/>
        <v>#DIV/0!</v>
      </c>
      <c r="S51" s="365">
        <v>706480</v>
      </c>
      <c r="T51" s="476" t="s">
        <v>1559</v>
      </c>
    </row>
    <row r="52" spans="1:20" s="21" customFormat="1" ht="15" customHeight="1" x14ac:dyDescent="0.2">
      <c r="A52" s="179" t="s">
        <v>1443</v>
      </c>
      <c r="B52" s="134"/>
      <c r="C52" s="365">
        <v>730580</v>
      </c>
      <c r="D52" s="466" t="s">
        <v>1686</v>
      </c>
      <c r="E52" s="17"/>
      <c r="F52" s="16"/>
      <c r="G52" s="267" t="s">
        <v>1424</v>
      </c>
      <c r="H52" s="183" t="str">
        <f t="shared" si="0"/>
        <v>na</v>
      </c>
      <c r="I52" s="17">
        <f t="shared" si="1"/>
        <v>0</v>
      </c>
      <c r="J52" s="113">
        <f>+$J$3</f>
        <v>2.14</v>
      </c>
      <c r="K52" s="325">
        <v>0.25</v>
      </c>
      <c r="L52" s="19">
        <f t="shared" si="2"/>
        <v>1.8900000000000001</v>
      </c>
      <c r="M52" s="325">
        <f t="shared" si="4"/>
        <v>0</v>
      </c>
      <c r="N52" s="112">
        <f t="shared" si="3"/>
        <v>0</v>
      </c>
      <c r="O52" s="112">
        <f t="shared" si="5"/>
        <v>0</v>
      </c>
      <c r="S52" s="365">
        <v>706480</v>
      </c>
      <c r="T52" s="476" t="s">
        <v>1559</v>
      </c>
    </row>
    <row r="53" spans="1:20" s="21" customFormat="1" ht="15" customHeight="1" x14ac:dyDescent="0.2">
      <c r="A53" s="179" t="s">
        <v>1443</v>
      </c>
      <c r="B53" s="134"/>
      <c r="C53" s="365">
        <v>731726</v>
      </c>
      <c r="D53" s="466" t="s">
        <v>1686</v>
      </c>
      <c r="E53" s="17"/>
      <c r="F53" s="16"/>
      <c r="G53" s="267" t="s">
        <v>1424</v>
      </c>
      <c r="H53" s="183" t="str">
        <f t="shared" si="0"/>
        <v>na</v>
      </c>
      <c r="I53" s="17">
        <f t="shared" si="1"/>
        <v>0</v>
      </c>
      <c r="J53" s="113">
        <f>+$J$3</f>
        <v>2.14</v>
      </c>
      <c r="K53" s="325">
        <v>0.25</v>
      </c>
      <c r="L53" s="19">
        <f t="shared" si="2"/>
        <v>1.8900000000000001</v>
      </c>
      <c r="M53" s="325">
        <f t="shared" si="4"/>
        <v>0</v>
      </c>
      <c r="N53" s="112">
        <f t="shared" si="3"/>
        <v>0</v>
      </c>
      <c r="O53" s="112">
        <f t="shared" si="5"/>
        <v>0</v>
      </c>
      <c r="P53" s="97"/>
      <c r="Q53" s="97"/>
      <c r="S53" s="318">
        <v>706719</v>
      </c>
      <c r="T53" s="470" t="s">
        <v>526</v>
      </c>
    </row>
    <row r="54" spans="1:20" s="21" customFormat="1" ht="15" customHeight="1" x14ac:dyDescent="0.2">
      <c r="A54" s="179" t="s">
        <v>1443</v>
      </c>
      <c r="B54" s="134"/>
      <c r="C54" s="365">
        <v>733714</v>
      </c>
      <c r="D54" s="466" t="s">
        <v>1686</v>
      </c>
      <c r="E54" s="17"/>
      <c r="F54" s="16"/>
      <c r="G54" s="267" t="s">
        <v>1424</v>
      </c>
      <c r="H54" s="183" t="str">
        <f t="shared" si="0"/>
        <v>na</v>
      </c>
      <c r="I54" s="17">
        <f t="shared" si="1"/>
        <v>0</v>
      </c>
      <c r="J54" s="113">
        <f>+$J$3</f>
        <v>2.14</v>
      </c>
      <c r="K54" s="325">
        <v>0.25</v>
      </c>
      <c r="L54" s="19">
        <f t="shared" si="2"/>
        <v>1.8900000000000001</v>
      </c>
      <c r="M54" s="325">
        <f t="shared" si="4"/>
        <v>0</v>
      </c>
      <c r="N54" s="112">
        <f t="shared" si="3"/>
        <v>0</v>
      </c>
      <c r="O54" s="112">
        <f t="shared" si="5"/>
        <v>0</v>
      </c>
      <c r="S54" s="318">
        <v>706851</v>
      </c>
      <c r="T54" s="470" t="s">
        <v>526</v>
      </c>
    </row>
    <row r="55" spans="1:20" s="21" customFormat="1" ht="15" customHeight="1" x14ac:dyDescent="0.2">
      <c r="A55" s="315" t="s">
        <v>1443</v>
      </c>
      <c r="B55" s="17">
        <v>109795</v>
      </c>
      <c r="C55" s="318">
        <v>722445</v>
      </c>
      <c r="D55" s="470" t="s">
        <v>510</v>
      </c>
      <c r="E55" s="17"/>
      <c r="F55" s="17">
        <v>10504</v>
      </c>
      <c r="G55" s="17" t="s">
        <v>295</v>
      </c>
      <c r="H55" s="183" t="str">
        <f t="shared" ref="H55:H88" si="12">IF(ISNA(VLOOKUP(C55,gath9909,10,FALSE)),"na",VLOOKUP(C55,gath9909,10,FALSE))</f>
        <v>na</v>
      </c>
      <c r="I55" s="17">
        <f t="shared" ref="I55:I88" si="13">IF(ISNA(VLOOKUP(C55,gath9909,12,FALSE)),0,(VLOOKUP(C55,gath9909,12,FALSE)))</f>
        <v>0</v>
      </c>
      <c r="J55" s="113">
        <f>+$J$3-0.02</f>
        <v>2.12</v>
      </c>
      <c r="K55" s="325">
        <v>0.25</v>
      </c>
      <c r="L55" s="19">
        <f t="shared" ref="L55:L88" si="14">+J55-K55</f>
        <v>1.87</v>
      </c>
      <c r="M55" s="325">
        <f t="shared" si="4"/>
        <v>0</v>
      </c>
      <c r="N55" s="112">
        <f t="shared" ref="N55:N88" si="15">+L55*I55</f>
        <v>0</v>
      </c>
      <c r="O55" s="112">
        <f t="shared" si="5"/>
        <v>0</v>
      </c>
      <c r="S55" s="365">
        <v>707350</v>
      </c>
      <c r="T55" s="466" t="s">
        <v>1426</v>
      </c>
    </row>
    <row r="56" spans="1:20" s="21" customFormat="1" ht="15" customHeight="1" x14ac:dyDescent="0.2">
      <c r="A56" s="179" t="s">
        <v>1443</v>
      </c>
      <c r="B56" s="17">
        <v>122591</v>
      </c>
      <c r="C56" s="365">
        <v>706462</v>
      </c>
      <c r="D56" s="466" t="s">
        <v>1557</v>
      </c>
      <c r="E56" s="17"/>
      <c r="F56" s="16"/>
      <c r="G56" s="267" t="s">
        <v>1456</v>
      </c>
      <c r="H56" s="183" t="str">
        <f t="shared" si="12"/>
        <v>na</v>
      </c>
      <c r="I56" s="17">
        <f t="shared" si="13"/>
        <v>0</v>
      </c>
      <c r="J56" s="113">
        <f>+$J$3*0.95</f>
        <v>2.0329999999999999</v>
      </c>
      <c r="K56" s="325">
        <v>0.25</v>
      </c>
      <c r="L56" s="19">
        <f t="shared" si="14"/>
        <v>1.7829999999999999</v>
      </c>
      <c r="M56" s="325">
        <f t="shared" si="4"/>
        <v>0</v>
      </c>
      <c r="N56" s="112">
        <f t="shared" si="15"/>
        <v>0</v>
      </c>
      <c r="O56" s="112">
        <f t="shared" si="5"/>
        <v>0</v>
      </c>
      <c r="S56" s="365">
        <v>707597</v>
      </c>
      <c r="T56" s="466" t="s">
        <v>1560</v>
      </c>
    </row>
    <row r="57" spans="1:20" s="21" customFormat="1" ht="15" customHeight="1" x14ac:dyDescent="0.2">
      <c r="A57" s="179" t="s">
        <v>1443</v>
      </c>
      <c r="B57" s="17">
        <v>109780</v>
      </c>
      <c r="C57" s="365">
        <v>710572</v>
      </c>
      <c r="D57" s="466" t="s">
        <v>1557</v>
      </c>
      <c r="E57" s="17"/>
      <c r="F57" s="16"/>
      <c r="G57" s="267" t="s">
        <v>1456</v>
      </c>
      <c r="H57" s="183" t="str">
        <f t="shared" si="12"/>
        <v>na</v>
      </c>
      <c r="I57" s="17">
        <f t="shared" si="13"/>
        <v>0</v>
      </c>
      <c r="J57" s="113">
        <f>+$J$3*0.95</f>
        <v>2.0329999999999999</v>
      </c>
      <c r="K57" s="325">
        <v>0.25</v>
      </c>
      <c r="L57" s="19">
        <f t="shared" si="14"/>
        <v>1.7829999999999999</v>
      </c>
      <c r="M57" s="325">
        <f t="shared" si="4"/>
        <v>0</v>
      </c>
      <c r="N57" s="112">
        <f t="shared" si="15"/>
        <v>0</v>
      </c>
      <c r="O57" s="112">
        <f t="shared" si="5"/>
        <v>0</v>
      </c>
      <c r="S57" s="365">
        <v>707598</v>
      </c>
      <c r="T57" s="466" t="s">
        <v>1560</v>
      </c>
    </row>
    <row r="58" spans="1:20" s="21" customFormat="1" ht="15" customHeight="1" x14ac:dyDescent="0.2">
      <c r="A58" s="436" t="s">
        <v>1443</v>
      </c>
      <c r="B58" s="17"/>
      <c r="C58" s="437">
        <v>734594</v>
      </c>
      <c r="D58" s="472" t="s">
        <v>1878</v>
      </c>
      <c r="E58" s="17"/>
      <c r="F58" s="16"/>
      <c r="G58" s="536" t="s">
        <v>814</v>
      </c>
      <c r="H58" s="183" t="str">
        <f t="shared" si="12"/>
        <v>na</v>
      </c>
      <c r="I58" s="17">
        <f t="shared" si="13"/>
        <v>0</v>
      </c>
      <c r="J58" s="664">
        <f>+$J$3</f>
        <v>2.14</v>
      </c>
      <c r="K58" s="325">
        <v>0.25</v>
      </c>
      <c r="L58" s="19">
        <f t="shared" si="14"/>
        <v>1.8900000000000001</v>
      </c>
      <c r="M58" s="325">
        <f t="shared" si="4"/>
        <v>0</v>
      </c>
      <c r="N58" s="112">
        <f t="shared" si="15"/>
        <v>0</v>
      </c>
      <c r="O58" s="112">
        <f t="shared" ref="O58:O88" si="16">(+L58*I58)-M58</f>
        <v>0</v>
      </c>
      <c r="S58" s="365">
        <v>707901</v>
      </c>
      <c r="T58" s="466" t="s">
        <v>1514</v>
      </c>
    </row>
    <row r="59" spans="1:20" s="21" customFormat="1" ht="15" customHeight="1" x14ac:dyDescent="0.2">
      <c r="A59" s="315" t="s">
        <v>1444</v>
      </c>
      <c r="B59" s="17"/>
      <c r="C59" s="318">
        <v>707894</v>
      </c>
      <c r="D59" s="470" t="s">
        <v>813</v>
      </c>
      <c r="E59" s="17"/>
      <c r="F59" s="17">
        <v>11749</v>
      </c>
      <c r="G59" s="536" t="s">
        <v>814</v>
      </c>
      <c r="H59" s="183" t="str">
        <f t="shared" si="12"/>
        <v>na</v>
      </c>
      <c r="I59" s="17">
        <f t="shared" si="13"/>
        <v>0</v>
      </c>
      <c r="J59" s="664">
        <f t="shared" ref="J59:J76" si="17">+$J$3</f>
        <v>2.14</v>
      </c>
      <c r="K59" s="325">
        <v>0.25</v>
      </c>
      <c r="L59" s="19">
        <f t="shared" si="14"/>
        <v>1.8900000000000001</v>
      </c>
      <c r="M59" s="325">
        <f t="shared" si="4"/>
        <v>0</v>
      </c>
      <c r="N59" s="112">
        <f t="shared" si="15"/>
        <v>0</v>
      </c>
      <c r="O59" s="112">
        <f t="shared" si="16"/>
        <v>0</v>
      </c>
      <c r="P59" s="90"/>
      <c r="Q59" s="90"/>
      <c r="S59" s="365">
        <v>708269</v>
      </c>
      <c r="T59" s="466" t="s">
        <v>1517</v>
      </c>
    </row>
    <row r="60" spans="1:20" s="21" customFormat="1" ht="15" customHeight="1" x14ac:dyDescent="0.2">
      <c r="A60" s="315" t="s">
        <v>1444</v>
      </c>
      <c r="B60" s="17"/>
      <c r="C60" s="318">
        <v>709094</v>
      </c>
      <c r="D60" s="470" t="s">
        <v>813</v>
      </c>
      <c r="E60" s="17"/>
      <c r="F60" s="17">
        <v>11749</v>
      </c>
      <c r="G60" s="536" t="s">
        <v>814</v>
      </c>
      <c r="H60" s="183" t="str">
        <f t="shared" si="12"/>
        <v>na</v>
      </c>
      <c r="I60" s="17">
        <f t="shared" si="13"/>
        <v>0</v>
      </c>
      <c r="J60" s="664">
        <f t="shared" si="17"/>
        <v>2.14</v>
      </c>
      <c r="K60" s="325">
        <v>0.25</v>
      </c>
      <c r="L60" s="19">
        <f t="shared" si="14"/>
        <v>1.8900000000000001</v>
      </c>
      <c r="M60" s="325">
        <f t="shared" si="4"/>
        <v>0</v>
      </c>
      <c r="N60" s="112">
        <f t="shared" si="15"/>
        <v>0</v>
      </c>
      <c r="O60" s="112">
        <f t="shared" si="16"/>
        <v>0</v>
      </c>
      <c r="P60" s="90"/>
      <c r="Q60" s="90"/>
      <c r="S60" s="318">
        <v>708535</v>
      </c>
      <c r="T60" s="470" t="s">
        <v>526</v>
      </c>
    </row>
    <row r="61" spans="1:20" s="21" customFormat="1" ht="15" customHeight="1" x14ac:dyDescent="0.2">
      <c r="A61" s="315" t="s">
        <v>1444</v>
      </c>
      <c r="B61" s="17"/>
      <c r="C61" s="318">
        <v>709405</v>
      </c>
      <c r="D61" s="470" t="s">
        <v>813</v>
      </c>
      <c r="E61" s="17"/>
      <c r="F61" s="17">
        <v>11749</v>
      </c>
      <c r="G61" s="536" t="s">
        <v>814</v>
      </c>
      <c r="H61" s="183" t="str">
        <f t="shared" si="12"/>
        <v>na</v>
      </c>
      <c r="I61" s="17">
        <f t="shared" si="13"/>
        <v>0</v>
      </c>
      <c r="J61" s="664">
        <f t="shared" si="17"/>
        <v>2.14</v>
      </c>
      <c r="K61" s="325">
        <v>0.25</v>
      </c>
      <c r="L61" s="19">
        <f t="shared" si="14"/>
        <v>1.8900000000000001</v>
      </c>
      <c r="M61" s="325">
        <f t="shared" si="4"/>
        <v>0</v>
      </c>
      <c r="N61" s="112">
        <f t="shared" si="15"/>
        <v>0</v>
      </c>
      <c r="O61" s="112">
        <f t="shared" si="16"/>
        <v>0</v>
      </c>
      <c r="P61" s="90"/>
      <c r="Q61" s="90"/>
      <c r="S61" s="365">
        <v>708639</v>
      </c>
      <c r="T61" s="466" t="s">
        <v>1426</v>
      </c>
    </row>
    <row r="62" spans="1:20" s="21" customFormat="1" ht="15" customHeight="1" x14ac:dyDescent="0.2">
      <c r="A62" s="315" t="s">
        <v>1443</v>
      </c>
      <c r="B62" s="17"/>
      <c r="C62" s="318">
        <v>709499</v>
      </c>
      <c r="D62" s="470" t="s">
        <v>813</v>
      </c>
      <c r="E62" s="17"/>
      <c r="F62" s="17">
        <v>11749</v>
      </c>
      <c r="G62" s="536" t="s">
        <v>814</v>
      </c>
      <c r="H62" s="183" t="str">
        <f t="shared" si="12"/>
        <v>na</v>
      </c>
      <c r="I62" s="17">
        <f t="shared" si="13"/>
        <v>0</v>
      </c>
      <c r="J62" s="664">
        <f t="shared" si="17"/>
        <v>2.14</v>
      </c>
      <c r="K62" s="325">
        <v>0.25</v>
      </c>
      <c r="L62" s="19">
        <f t="shared" si="14"/>
        <v>1.8900000000000001</v>
      </c>
      <c r="M62" s="325">
        <f t="shared" si="4"/>
        <v>0</v>
      </c>
      <c r="N62" s="112">
        <f t="shared" si="15"/>
        <v>0</v>
      </c>
      <c r="O62" s="112">
        <f t="shared" si="16"/>
        <v>0</v>
      </c>
      <c r="P62" s="90"/>
      <c r="Q62" s="90"/>
      <c r="S62" s="365">
        <v>708733</v>
      </c>
      <c r="T62" s="466" t="s">
        <v>1517</v>
      </c>
    </row>
    <row r="63" spans="1:20" s="21" customFormat="1" ht="15" customHeight="1" x14ac:dyDescent="0.2">
      <c r="A63" s="315" t="s">
        <v>1444</v>
      </c>
      <c r="B63" s="17"/>
      <c r="C63" s="318">
        <v>710543</v>
      </c>
      <c r="D63" s="470" t="s">
        <v>813</v>
      </c>
      <c r="E63" s="17"/>
      <c r="F63" s="17">
        <v>11749</v>
      </c>
      <c r="G63" s="536" t="s">
        <v>814</v>
      </c>
      <c r="H63" s="183" t="str">
        <f t="shared" si="12"/>
        <v>na</v>
      </c>
      <c r="I63" s="17">
        <f t="shared" si="13"/>
        <v>0</v>
      </c>
      <c r="J63" s="664">
        <f t="shared" si="17"/>
        <v>2.14</v>
      </c>
      <c r="K63" s="325">
        <v>0.25</v>
      </c>
      <c r="L63" s="19">
        <f t="shared" si="14"/>
        <v>1.8900000000000001</v>
      </c>
      <c r="M63" s="325">
        <f t="shared" si="4"/>
        <v>0</v>
      </c>
      <c r="N63" s="112">
        <f t="shared" si="15"/>
        <v>0</v>
      </c>
      <c r="O63" s="112">
        <f t="shared" si="16"/>
        <v>0</v>
      </c>
      <c r="P63" s="90"/>
      <c r="Q63" s="90"/>
      <c r="S63" s="365">
        <v>708751</v>
      </c>
      <c r="T63" s="466" t="s">
        <v>1426</v>
      </c>
    </row>
    <row r="64" spans="1:20" s="21" customFormat="1" ht="15" customHeight="1" x14ac:dyDescent="0.2">
      <c r="A64" s="315" t="s">
        <v>1443</v>
      </c>
      <c r="B64" s="17"/>
      <c r="C64" s="318">
        <v>713509</v>
      </c>
      <c r="D64" s="470" t="s">
        <v>813</v>
      </c>
      <c r="E64" s="17"/>
      <c r="F64" s="17">
        <v>11749</v>
      </c>
      <c r="G64" s="536" t="s">
        <v>814</v>
      </c>
      <c r="H64" s="183" t="str">
        <f t="shared" si="12"/>
        <v>na</v>
      </c>
      <c r="I64" s="17">
        <f t="shared" si="13"/>
        <v>0</v>
      </c>
      <c r="J64" s="664">
        <f t="shared" si="17"/>
        <v>2.14</v>
      </c>
      <c r="K64" s="325">
        <v>0.25</v>
      </c>
      <c r="L64" s="19">
        <f t="shared" si="14"/>
        <v>1.8900000000000001</v>
      </c>
      <c r="M64" s="325">
        <f t="shared" si="4"/>
        <v>0</v>
      </c>
      <c r="N64" s="112">
        <f t="shared" si="15"/>
        <v>0</v>
      </c>
      <c r="O64" s="112">
        <f t="shared" si="16"/>
        <v>0</v>
      </c>
      <c r="P64" s="90"/>
      <c r="Q64" s="90"/>
      <c r="S64" s="365">
        <v>708892</v>
      </c>
      <c r="T64" s="466" t="s">
        <v>1517</v>
      </c>
    </row>
    <row r="65" spans="1:20" s="21" customFormat="1" ht="15" customHeight="1" x14ac:dyDescent="0.2">
      <c r="A65" s="315" t="s">
        <v>1446</v>
      </c>
      <c r="B65" s="17"/>
      <c r="C65" s="318">
        <v>718864</v>
      </c>
      <c r="D65" s="470" t="s">
        <v>813</v>
      </c>
      <c r="E65" s="17"/>
      <c r="F65" s="17">
        <v>11749</v>
      </c>
      <c r="G65" s="536" t="s">
        <v>814</v>
      </c>
      <c r="H65" s="183" t="str">
        <f t="shared" si="12"/>
        <v>na</v>
      </c>
      <c r="I65" s="17">
        <f t="shared" si="13"/>
        <v>0</v>
      </c>
      <c r="J65" s="664">
        <f t="shared" si="17"/>
        <v>2.14</v>
      </c>
      <c r="K65" s="325">
        <v>0.25</v>
      </c>
      <c r="L65" s="19">
        <f t="shared" si="14"/>
        <v>1.8900000000000001</v>
      </c>
      <c r="M65" s="325">
        <f t="shared" si="4"/>
        <v>0</v>
      </c>
      <c r="N65" s="112">
        <f t="shared" si="15"/>
        <v>0</v>
      </c>
      <c r="O65" s="112">
        <f t="shared" si="16"/>
        <v>0</v>
      </c>
      <c r="P65" s="90"/>
      <c r="Q65" s="90"/>
      <c r="S65" s="318">
        <v>708967</v>
      </c>
      <c r="T65" s="470" t="s">
        <v>519</v>
      </c>
    </row>
    <row r="66" spans="1:20" s="21" customFormat="1" ht="15" customHeight="1" x14ac:dyDescent="0.2">
      <c r="A66" s="315" t="s">
        <v>1444</v>
      </c>
      <c r="B66" s="17"/>
      <c r="C66" s="919">
        <v>719026</v>
      </c>
      <c r="D66" s="470" t="s">
        <v>813</v>
      </c>
      <c r="E66" s="17"/>
      <c r="F66" s="17">
        <v>11749</v>
      </c>
      <c r="G66" s="536" t="s">
        <v>814</v>
      </c>
      <c r="H66" s="183" t="str">
        <f>IF(ISNA(VLOOKUP(C66,gath9909,10,FALSE)),"na",VLOOKUP(C66,gath9909,10,FALSE))</f>
        <v>na</v>
      </c>
      <c r="I66" s="17">
        <f>IF(ISNA(VLOOKUP(C66,gath9909,12,FALSE)),0,(VLOOKUP(C66,gath9909,12,FALSE)))</f>
        <v>0</v>
      </c>
      <c r="J66" s="664">
        <f t="shared" si="17"/>
        <v>2.14</v>
      </c>
      <c r="K66" s="325">
        <v>0.25</v>
      </c>
      <c r="L66" s="19">
        <f>+J66-K66</f>
        <v>1.8900000000000001</v>
      </c>
      <c r="M66" s="325">
        <f>IF(H66&gt;=0,I66*0.001,0)</f>
        <v>0</v>
      </c>
      <c r="N66" s="112">
        <f>+L66*I66</f>
        <v>0</v>
      </c>
      <c r="O66" s="112">
        <f>(+L66*I66)-M66</f>
        <v>0</v>
      </c>
      <c r="P66" s="920" t="s">
        <v>462</v>
      </c>
      <c r="R66" s="20"/>
      <c r="S66" s="365">
        <v>709023</v>
      </c>
      <c r="T66" s="466" t="s">
        <v>1517</v>
      </c>
    </row>
    <row r="67" spans="1:20" s="21" customFormat="1" ht="15" customHeight="1" x14ac:dyDescent="0.2">
      <c r="A67" s="315" t="s">
        <v>1444</v>
      </c>
      <c r="B67" s="17"/>
      <c r="C67" s="318">
        <v>719078</v>
      </c>
      <c r="D67" s="470" t="s">
        <v>813</v>
      </c>
      <c r="E67" s="17"/>
      <c r="F67" s="17">
        <v>11749</v>
      </c>
      <c r="G67" s="536" t="s">
        <v>814</v>
      </c>
      <c r="H67" s="183" t="str">
        <f t="shared" si="12"/>
        <v>na</v>
      </c>
      <c r="I67" s="17">
        <f t="shared" si="13"/>
        <v>0</v>
      </c>
      <c r="J67" s="664">
        <f t="shared" si="17"/>
        <v>2.14</v>
      </c>
      <c r="K67" s="325">
        <v>0.25</v>
      </c>
      <c r="L67" s="19">
        <f t="shared" si="14"/>
        <v>1.8900000000000001</v>
      </c>
      <c r="M67" s="325">
        <f t="shared" si="4"/>
        <v>0</v>
      </c>
      <c r="N67" s="112">
        <f t="shared" si="15"/>
        <v>0</v>
      </c>
      <c r="O67" s="112">
        <f t="shared" si="16"/>
        <v>0</v>
      </c>
      <c r="R67" s="20"/>
      <c r="S67" s="365">
        <v>709023</v>
      </c>
      <c r="T67" s="466" t="s">
        <v>1517</v>
      </c>
    </row>
    <row r="68" spans="1:20" s="21" customFormat="1" ht="15" customHeight="1" x14ac:dyDescent="0.2">
      <c r="A68" s="315" t="s">
        <v>1444</v>
      </c>
      <c r="B68" s="17"/>
      <c r="C68" s="318">
        <v>719438</v>
      </c>
      <c r="D68" s="470" t="s">
        <v>813</v>
      </c>
      <c r="E68" s="17"/>
      <c r="F68" s="17">
        <v>11749</v>
      </c>
      <c r="G68" s="536" t="s">
        <v>814</v>
      </c>
      <c r="H68" s="183" t="str">
        <f t="shared" si="12"/>
        <v>na</v>
      </c>
      <c r="I68" s="17">
        <f t="shared" si="13"/>
        <v>0</v>
      </c>
      <c r="J68" s="664">
        <f t="shared" si="17"/>
        <v>2.14</v>
      </c>
      <c r="K68" s="325">
        <v>0.25</v>
      </c>
      <c r="L68" s="19">
        <f t="shared" si="14"/>
        <v>1.8900000000000001</v>
      </c>
      <c r="M68" s="325">
        <f t="shared" si="4"/>
        <v>0</v>
      </c>
      <c r="N68" s="112">
        <f t="shared" si="15"/>
        <v>0</v>
      </c>
      <c r="O68" s="112">
        <f t="shared" si="16"/>
        <v>0</v>
      </c>
      <c r="P68" s="73"/>
      <c r="Q68" s="73"/>
      <c r="R68" s="20"/>
      <c r="S68" s="365">
        <v>709093</v>
      </c>
      <c r="T68" s="466" t="s">
        <v>1517</v>
      </c>
    </row>
    <row r="69" spans="1:20" s="21" customFormat="1" ht="15" customHeight="1" x14ac:dyDescent="0.2">
      <c r="A69" s="315" t="s">
        <v>1446</v>
      </c>
      <c r="B69" s="17"/>
      <c r="C69" s="318">
        <v>719441</v>
      </c>
      <c r="D69" s="470" t="s">
        <v>813</v>
      </c>
      <c r="E69" s="17"/>
      <c r="F69" s="17">
        <v>11749</v>
      </c>
      <c r="G69" s="536" t="s">
        <v>814</v>
      </c>
      <c r="H69" s="183" t="str">
        <f t="shared" si="12"/>
        <v>na</v>
      </c>
      <c r="I69" s="17">
        <f t="shared" si="13"/>
        <v>0</v>
      </c>
      <c r="J69" s="664">
        <f t="shared" si="17"/>
        <v>2.14</v>
      </c>
      <c r="K69" s="325">
        <v>0.25</v>
      </c>
      <c r="L69" s="19">
        <f t="shared" si="14"/>
        <v>1.8900000000000001</v>
      </c>
      <c r="M69" s="325">
        <f t="shared" si="4"/>
        <v>0</v>
      </c>
      <c r="N69" s="112">
        <f t="shared" si="15"/>
        <v>0</v>
      </c>
      <c r="O69" s="112">
        <f t="shared" si="16"/>
        <v>0</v>
      </c>
      <c r="P69" s="73"/>
      <c r="Q69" s="73"/>
      <c r="S69" s="318">
        <v>709094</v>
      </c>
      <c r="T69" s="470" t="s">
        <v>813</v>
      </c>
    </row>
    <row r="70" spans="1:20" s="21" customFormat="1" ht="15" customHeight="1" x14ac:dyDescent="0.2">
      <c r="A70" s="315" t="s">
        <v>1446</v>
      </c>
      <c r="B70" s="17"/>
      <c r="C70" s="318">
        <v>719757</v>
      </c>
      <c r="D70" s="470" t="s">
        <v>813</v>
      </c>
      <c r="E70" s="17"/>
      <c r="F70" s="17">
        <v>11749</v>
      </c>
      <c r="G70" s="536" t="s">
        <v>814</v>
      </c>
      <c r="H70" s="183" t="str">
        <f t="shared" si="12"/>
        <v>na</v>
      </c>
      <c r="I70" s="17">
        <f t="shared" si="13"/>
        <v>0</v>
      </c>
      <c r="J70" s="664">
        <f t="shared" si="17"/>
        <v>2.14</v>
      </c>
      <c r="K70" s="325">
        <v>0.25</v>
      </c>
      <c r="L70" s="19">
        <f t="shared" si="14"/>
        <v>1.8900000000000001</v>
      </c>
      <c r="M70" s="325">
        <f t="shared" si="4"/>
        <v>0</v>
      </c>
      <c r="N70" s="112">
        <f t="shared" si="15"/>
        <v>0</v>
      </c>
      <c r="O70" s="112">
        <f t="shared" si="16"/>
        <v>0</v>
      </c>
      <c r="S70" s="365">
        <v>709123</v>
      </c>
      <c r="T70" s="466" t="s">
        <v>1426</v>
      </c>
    </row>
    <row r="71" spans="1:20" s="21" customFormat="1" ht="15" customHeight="1" x14ac:dyDescent="0.2">
      <c r="A71" s="315" t="s">
        <v>1443</v>
      </c>
      <c r="B71" s="17"/>
      <c r="C71" s="318">
        <v>720086</v>
      </c>
      <c r="D71" s="470" t="s">
        <v>813</v>
      </c>
      <c r="E71" s="17"/>
      <c r="F71" s="17">
        <v>11749</v>
      </c>
      <c r="G71" s="536" t="s">
        <v>814</v>
      </c>
      <c r="H71" s="183" t="str">
        <f t="shared" si="12"/>
        <v>na</v>
      </c>
      <c r="I71" s="17">
        <f t="shared" si="13"/>
        <v>0</v>
      </c>
      <c r="J71" s="664">
        <f t="shared" si="17"/>
        <v>2.14</v>
      </c>
      <c r="K71" s="325">
        <v>0.25</v>
      </c>
      <c r="L71" s="19">
        <f t="shared" si="14"/>
        <v>1.8900000000000001</v>
      </c>
      <c r="M71" s="325">
        <f t="shared" si="4"/>
        <v>0</v>
      </c>
      <c r="N71" s="112">
        <f t="shared" si="15"/>
        <v>0</v>
      </c>
      <c r="O71" s="112">
        <f t="shared" si="16"/>
        <v>0</v>
      </c>
      <c r="S71" s="365">
        <v>709257</v>
      </c>
      <c r="T71" s="466" t="s">
        <v>1426</v>
      </c>
    </row>
    <row r="72" spans="1:20" s="21" customFormat="1" ht="15" customHeight="1" x14ac:dyDescent="0.2">
      <c r="A72" s="315" t="s">
        <v>1446</v>
      </c>
      <c r="B72" s="17"/>
      <c r="C72" s="919">
        <v>721620</v>
      </c>
      <c r="D72" s="470" t="s">
        <v>813</v>
      </c>
      <c r="E72" s="17"/>
      <c r="F72" s="17">
        <v>11749</v>
      </c>
      <c r="G72" s="536" t="s">
        <v>814</v>
      </c>
      <c r="H72" s="183" t="str">
        <f>IF(ISNA(VLOOKUP(C72,gath9909,10,FALSE)),"na",VLOOKUP(C72,gath9909,10,FALSE))</f>
        <v>na</v>
      </c>
      <c r="I72" s="17">
        <f>IF(ISNA(VLOOKUP(C72,gath9909,12,FALSE)),0,(VLOOKUP(C72,gath9909,12,FALSE)))</f>
        <v>0</v>
      </c>
      <c r="J72" s="664">
        <f t="shared" si="17"/>
        <v>2.14</v>
      </c>
      <c r="K72" s="325">
        <v>0.25</v>
      </c>
      <c r="L72" s="19">
        <f>+J72-K72</f>
        <v>1.8900000000000001</v>
      </c>
      <c r="M72" s="325">
        <f>IF(H72&gt;=0,I72*0.001,0)</f>
        <v>0</v>
      </c>
      <c r="N72" s="112">
        <f>+L72*I72</f>
        <v>0</v>
      </c>
      <c r="O72" s="112">
        <f>(+L72*I72)-M72</f>
        <v>0</v>
      </c>
      <c r="P72" s="920" t="s">
        <v>462</v>
      </c>
      <c r="S72" s="365">
        <v>709278</v>
      </c>
      <c r="T72" s="466" t="s">
        <v>1517</v>
      </c>
    </row>
    <row r="73" spans="1:20" s="21" customFormat="1" ht="15" customHeight="1" x14ac:dyDescent="0.2">
      <c r="A73" s="315" t="s">
        <v>1446</v>
      </c>
      <c r="B73" s="17"/>
      <c r="C73" s="318">
        <v>722619</v>
      </c>
      <c r="D73" s="470" t="s">
        <v>813</v>
      </c>
      <c r="E73" s="17"/>
      <c r="F73" s="17">
        <v>11749</v>
      </c>
      <c r="G73" s="536" t="s">
        <v>814</v>
      </c>
      <c r="H73" s="183" t="str">
        <f>IF(ISNA(VLOOKUP(C73,gath9909,10,FALSE)),"na",VLOOKUP(C73,gath9909,10,FALSE))</f>
        <v>na</v>
      </c>
      <c r="I73" s="17">
        <f>IF(ISNA(VLOOKUP(C73,gath9909,12,FALSE)),0,(VLOOKUP(C73,gath9909,12,FALSE)))</f>
        <v>0</v>
      </c>
      <c r="J73" s="664">
        <f t="shared" si="17"/>
        <v>2.14</v>
      </c>
      <c r="K73" s="325">
        <v>0.25</v>
      </c>
      <c r="L73" s="19">
        <f>+J73-K73</f>
        <v>1.8900000000000001</v>
      </c>
      <c r="M73" s="325">
        <f>IF(H73&gt;=0,I73*0.001,0)</f>
        <v>0</v>
      </c>
      <c r="N73" s="112">
        <f>+L73*I73</f>
        <v>0</v>
      </c>
      <c r="O73" s="112">
        <f>(+L73*I73)-M73</f>
        <v>0</v>
      </c>
      <c r="S73" s="365">
        <v>709278</v>
      </c>
      <c r="T73" s="466" t="s">
        <v>1517</v>
      </c>
    </row>
    <row r="74" spans="1:20" s="21" customFormat="1" ht="15" customHeight="1" x14ac:dyDescent="0.2">
      <c r="A74" s="315" t="s">
        <v>1446</v>
      </c>
      <c r="B74" s="17"/>
      <c r="C74" s="919">
        <v>722825</v>
      </c>
      <c r="D74" s="470" t="s">
        <v>813</v>
      </c>
      <c r="E74" s="17"/>
      <c r="F74" s="17">
        <v>11749</v>
      </c>
      <c r="G74" s="536" t="s">
        <v>814</v>
      </c>
      <c r="H74" s="183" t="str">
        <f t="shared" si="12"/>
        <v>na</v>
      </c>
      <c r="I74" s="17">
        <f t="shared" si="13"/>
        <v>0</v>
      </c>
      <c r="J74" s="664">
        <f t="shared" si="17"/>
        <v>2.14</v>
      </c>
      <c r="K74" s="325">
        <v>0.25</v>
      </c>
      <c r="L74" s="19">
        <f t="shared" si="14"/>
        <v>1.8900000000000001</v>
      </c>
      <c r="M74" s="325">
        <f t="shared" si="4"/>
        <v>0</v>
      </c>
      <c r="N74" s="112">
        <f t="shared" si="15"/>
        <v>0</v>
      </c>
      <c r="O74" s="112">
        <f t="shared" si="16"/>
        <v>0</v>
      </c>
      <c r="P74" s="920" t="s">
        <v>462</v>
      </c>
      <c r="S74" s="365">
        <v>709278</v>
      </c>
      <c r="T74" s="466" t="s">
        <v>1517</v>
      </c>
    </row>
    <row r="75" spans="1:20" s="21" customFormat="1" ht="15" customHeight="1" x14ac:dyDescent="0.2">
      <c r="A75" s="315" t="s">
        <v>1446</v>
      </c>
      <c r="B75" s="17"/>
      <c r="C75" s="318">
        <v>723630</v>
      </c>
      <c r="D75" s="438" t="s">
        <v>813</v>
      </c>
      <c r="E75" s="17"/>
      <c r="F75" s="356" t="s">
        <v>818</v>
      </c>
      <c r="G75" s="655" t="s">
        <v>303</v>
      </c>
      <c r="H75" s="183" t="str">
        <f t="shared" si="12"/>
        <v>na</v>
      </c>
      <c r="I75" s="17">
        <f t="shared" si="13"/>
        <v>0</v>
      </c>
      <c r="J75" s="664">
        <f t="shared" si="17"/>
        <v>2.14</v>
      </c>
      <c r="K75" s="325">
        <v>0.25</v>
      </c>
      <c r="L75" s="19">
        <f t="shared" si="14"/>
        <v>1.8900000000000001</v>
      </c>
      <c r="M75" s="325">
        <f t="shared" si="4"/>
        <v>0</v>
      </c>
      <c r="N75" s="112">
        <f t="shared" si="15"/>
        <v>0</v>
      </c>
      <c r="O75" s="112">
        <f t="shared" si="16"/>
        <v>0</v>
      </c>
      <c r="S75" s="365">
        <v>709279</v>
      </c>
      <c r="T75" s="466" t="s">
        <v>1426</v>
      </c>
    </row>
    <row r="76" spans="1:20" s="21" customFormat="1" ht="15" customHeight="1" x14ac:dyDescent="0.2">
      <c r="A76" s="315" t="s">
        <v>1443</v>
      </c>
      <c r="B76" s="17"/>
      <c r="C76" s="318">
        <v>724364</v>
      </c>
      <c r="D76" s="470" t="s">
        <v>813</v>
      </c>
      <c r="E76" s="17"/>
      <c r="F76" s="17">
        <v>11749</v>
      </c>
      <c r="G76" s="536" t="s">
        <v>814</v>
      </c>
      <c r="H76" s="183" t="str">
        <f>IF(ISNA(VLOOKUP(C76,gath9909,10,FALSE)),"na",VLOOKUP(C76,gath9909,10,FALSE))</f>
        <v>na</v>
      </c>
      <c r="I76" s="17">
        <f>IF(ISNA(VLOOKUP(C76,gath9909,12,FALSE)),0,(VLOOKUP(C76,gath9909,12,FALSE)))</f>
        <v>0</v>
      </c>
      <c r="J76" s="664">
        <f t="shared" si="17"/>
        <v>2.14</v>
      </c>
      <c r="K76" s="325">
        <v>0.25</v>
      </c>
      <c r="L76" s="19">
        <f>+J76-K76</f>
        <v>1.8900000000000001</v>
      </c>
      <c r="M76" s="325">
        <f>IF(H76&gt;=0,I76*0.001,0)</f>
        <v>0</v>
      </c>
      <c r="N76" s="112">
        <f>+L76*I76</f>
        <v>0</v>
      </c>
      <c r="O76" s="112">
        <f>(+L76*I76)-M76</f>
        <v>0</v>
      </c>
      <c r="P76" s="90"/>
      <c r="Q76" s="90"/>
      <c r="S76" s="318">
        <v>709405</v>
      </c>
      <c r="T76" s="470" t="s">
        <v>813</v>
      </c>
    </row>
    <row r="77" spans="1:20" s="21" customFormat="1" ht="15" customHeight="1" x14ac:dyDescent="0.2">
      <c r="A77" s="179" t="s">
        <v>1443</v>
      </c>
      <c r="B77" s="134"/>
      <c r="C77" s="365">
        <v>728108</v>
      </c>
      <c r="D77" s="466" t="s">
        <v>1680</v>
      </c>
      <c r="E77" s="17"/>
      <c r="F77" s="16"/>
      <c r="G77" s="267" t="s">
        <v>1427</v>
      </c>
      <c r="H77" s="183" t="str">
        <f t="shared" si="12"/>
        <v>na</v>
      </c>
      <c r="I77" s="17">
        <f t="shared" si="13"/>
        <v>0</v>
      </c>
      <c r="J77" s="113">
        <f>+$J$3*0.98</f>
        <v>2.0972</v>
      </c>
      <c r="K77" s="325">
        <v>0.25</v>
      </c>
      <c r="L77" s="19">
        <f t="shared" si="14"/>
        <v>1.8472</v>
      </c>
      <c r="M77" s="325">
        <f t="shared" si="4"/>
        <v>0</v>
      </c>
      <c r="N77" s="112">
        <f t="shared" si="15"/>
        <v>0</v>
      </c>
      <c r="O77" s="112">
        <f t="shared" si="16"/>
        <v>0</v>
      </c>
      <c r="P77" s="90"/>
      <c r="Q77" s="90"/>
      <c r="S77" s="318">
        <v>709499</v>
      </c>
      <c r="T77" s="470" t="s">
        <v>813</v>
      </c>
    </row>
    <row r="78" spans="1:20" s="21" customFormat="1" ht="15" customHeight="1" x14ac:dyDescent="0.2">
      <c r="A78" s="179" t="s">
        <v>1497</v>
      </c>
      <c r="B78" s="17">
        <v>113782</v>
      </c>
      <c r="C78" s="365">
        <v>717873</v>
      </c>
      <c r="D78" s="474" t="s">
        <v>1608</v>
      </c>
      <c r="E78" s="17"/>
      <c r="F78" s="16"/>
      <c r="G78" s="17" t="s">
        <v>1424</v>
      </c>
      <c r="H78" s="183" t="str">
        <f t="shared" si="12"/>
        <v>na</v>
      </c>
      <c r="I78" s="17">
        <f t="shared" si="13"/>
        <v>0</v>
      </c>
      <c r="J78" s="113">
        <f>+$J$3-0</f>
        <v>2.14</v>
      </c>
      <c r="K78" s="325">
        <v>0.25</v>
      </c>
      <c r="L78" s="19">
        <f t="shared" si="14"/>
        <v>1.8900000000000001</v>
      </c>
      <c r="M78" s="325">
        <f t="shared" si="4"/>
        <v>0</v>
      </c>
      <c r="N78" s="112">
        <f t="shared" si="15"/>
        <v>0</v>
      </c>
      <c r="O78" s="112">
        <f t="shared" si="16"/>
        <v>0</v>
      </c>
      <c r="P78" s="90"/>
      <c r="Q78" s="90"/>
      <c r="S78" s="365">
        <v>709503</v>
      </c>
      <c r="T78" s="466" t="s">
        <v>1517</v>
      </c>
    </row>
    <row r="79" spans="1:20" s="21" customFormat="1" ht="15" customHeight="1" x14ac:dyDescent="0.2">
      <c r="A79" s="179" t="s">
        <v>1497</v>
      </c>
      <c r="B79" s="17">
        <v>119531</v>
      </c>
      <c r="C79" s="365">
        <v>718571</v>
      </c>
      <c r="D79" s="474" t="s">
        <v>1608</v>
      </c>
      <c r="E79" s="17"/>
      <c r="F79" s="16"/>
      <c r="G79" s="17" t="s">
        <v>1424</v>
      </c>
      <c r="H79" s="183" t="str">
        <f t="shared" si="12"/>
        <v>na</v>
      </c>
      <c r="I79" s="17">
        <f t="shared" si="13"/>
        <v>0</v>
      </c>
      <c r="J79" s="113">
        <f>+$J$3-0</f>
        <v>2.14</v>
      </c>
      <c r="K79" s="325">
        <v>0.25</v>
      </c>
      <c r="L79" s="19">
        <f t="shared" si="14"/>
        <v>1.8900000000000001</v>
      </c>
      <c r="M79" s="325">
        <f t="shared" si="4"/>
        <v>0</v>
      </c>
      <c r="N79" s="112">
        <f t="shared" si="15"/>
        <v>0</v>
      </c>
      <c r="O79" s="112">
        <f t="shared" si="16"/>
        <v>0</v>
      </c>
      <c r="P79" s="90"/>
      <c r="Q79" s="90"/>
      <c r="S79" s="318">
        <v>710543</v>
      </c>
      <c r="T79" s="470" t="s">
        <v>813</v>
      </c>
    </row>
    <row r="80" spans="1:20" s="21" customFormat="1" ht="15" customHeight="1" x14ac:dyDescent="0.2">
      <c r="A80" s="179" t="s">
        <v>1497</v>
      </c>
      <c r="B80" s="17">
        <v>109810</v>
      </c>
      <c r="C80" s="365">
        <v>718691</v>
      </c>
      <c r="D80" s="474" t="s">
        <v>1608</v>
      </c>
      <c r="E80" s="17"/>
      <c r="F80" s="16"/>
      <c r="G80" s="17" t="s">
        <v>1424</v>
      </c>
      <c r="H80" s="183" t="str">
        <f t="shared" si="12"/>
        <v>na</v>
      </c>
      <c r="I80" s="17">
        <f t="shared" si="13"/>
        <v>0</v>
      </c>
      <c r="J80" s="113">
        <f>+$J$3-0</f>
        <v>2.14</v>
      </c>
      <c r="K80" s="325">
        <v>0.25</v>
      </c>
      <c r="L80" s="19">
        <f t="shared" si="14"/>
        <v>1.8900000000000001</v>
      </c>
      <c r="M80" s="325">
        <f t="shared" si="4"/>
        <v>0</v>
      </c>
      <c r="N80" s="112">
        <f t="shared" si="15"/>
        <v>0</v>
      </c>
      <c r="O80" s="112">
        <f t="shared" si="16"/>
        <v>0</v>
      </c>
      <c r="S80" s="365">
        <v>710572</v>
      </c>
      <c r="T80" s="466" t="s">
        <v>1557</v>
      </c>
    </row>
    <row r="81" spans="1:20" s="21" customFormat="1" ht="15" customHeight="1" x14ac:dyDescent="0.2">
      <c r="A81" s="179" t="s">
        <v>1497</v>
      </c>
      <c r="B81" s="17">
        <v>113919</v>
      </c>
      <c r="C81" s="365">
        <v>720955</v>
      </c>
      <c r="D81" s="474" t="s">
        <v>1608</v>
      </c>
      <c r="E81" s="17"/>
      <c r="F81" s="16"/>
      <c r="G81" s="17" t="s">
        <v>1424</v>
      </c>
      <c r="H81" s="183" t="str">
        <f t="shared" si="12"/>
        <v>na</v>
      </c>
      <c r="I81" s="17">
        <f t="shared" si="13"/>
        <v>0</v>
      </c>
      <c r="J81" s="113">
        <f>+$J$3-0</f>
        <v>2.14</v>
      </c>
      <c r="K81" s="325">
        <v>0.25</v>
      </c>
      <c r="L81" s="19">
        <f t="shared" si="14"/>
        <v>1.8900000000000001</v>
      </c>
      <c r="M81" s="325">
        <f t="shared" si="4"/>
        <v>0</v>
      </c>
      <c r="N81" s="112">
        <f t="shared" si="15"/>
        <v>0</v>
      </c>
      <c r="O81" s="112">
        <f t="shared" si="16"/>
        <v>0</v>
      </c>
      <c r="S81" s="365">
        <v>710639</v>
      </c>
      <c r="T81" s="466" t="s">
        <v>1517</v>
      </c>
    </row>
    <row r="82" spans="1:20" s="21" customFormat="1" ht="15" customHeight="1" x14ac:dyDescent="0.2">
      <c r="A82" s="179" t="s">
        <v>1497</v>
      </c>
      <c r="B82" s="134"/>
      <c r="C82" s="365">
        <v>731232</v>
      </c>
      <c r="D82" s="474" t="s">
        <v>1608</v>
      </c>
      <c r="E82" s="17"/>
      <c r="F82" s="16"/>
      <c r="G82" s="17" t="s">
        <v>1424</v>
      </c>
      <c r="H82" s="183" t="str">
        <f t="shared" si="12"/>
        <v>na</v>
      </c>
      <c r="I82" s="17">
        <f t="shared" si="13"/>
        <v>0</v>
      </c>
      <c r="J82" s="113">
        <f>+$J$3-0</f>
        <v>2.14</v>
      </c>
      <c r="K82" s="325">
        <v>0.25</v>
      </c>
      <c r="L82" s="19">
        <f t="shared" si="14"/>
        <v>1.8900000000000001</v>
      </c>
      <c r="M82" s="325">
        <f t="shared" si="4"/>
        <v>0</v>
      </c>
      <c r="N82" s="112">
        <f t="shared" si="15"/>
        <v>0</v>
      </c>
      <c r="O82" s="112">
        <f t="shared" si="16"/>
        <v>0</v>
      </c>
      <c r="S82" s="365">
        <v>710714</v>
      </c>
      <c r="T82" s="466" t="s">
        <v>1517</v>
      </c>
    </row>
    <row r="83" spans="1:20" s="21" customFormat="1" ht="15" customHeight="1" x14ac:dyDescent="0.2">
      <c r="A83" s="179" t="s">
        <v>1443</v>
      </c>
      <c r="B83" s="134"/>
      <c r="C83" s="365">
        <v>731850</v>
      </c>
      <c r="D83" s="466" t="s">
        <v>1696</v>
      </c>
      <c r="E83" s="71"/>
      <c r="F83" s="72"/>
      <c r="G83" s="267" t="s">
        <v>1427</v>
      </c>
      <c r="H83" s="183" t="str">
        <f t="shared" si="12"/>
        <v>na</v>
      </c>
      <c r="I83" s="17">
        <f t="shared" si="13"/>
        <v>0</v>
      </c>
      <c r="J83" s="113">
        <f>+$J$3*0.98</f>
        <v>2.0972</v>
      </c>
      <c r="K83" s="325">
        <v>0.25</v>
      </c>
      <c r="L83" s="19">
        <f t="shared" si="14"/>
        <v>1.8472</v>
      </c>
      <c r="M83" s="325">
        <f t="shared" si="4"/>
        <v>0</v>
      </c>
      <c r="N83" s="112">
        <f t="shared" si="15"/>
        <v>0</v>
      </c>
      <c r="O83" s="112">
        <f t="shared" si="16"/>
        <v>0</v>
      </c>
      <c r="S83" s="365">
        <v>710736</v>
      </c>
      <c r="T83" s="466" t="s">
        <v>1517</v>
      </c>
    </row>
    <row r="84" spans="1:20" s="21" customFormat="1" ht="15" customHeight="1" x14ac:dyDescent="0.2">
      <c r="A84" s="315" t="s">
        <v>1446</v>
      </c>
      <c r="B84" s="17"/>
      <c r="C84" s="318">
        <v>720810</v>
      </c>
      <c r="D84" s="470" t="s">
        <v>480</v>
      </c>
      <c r="E84" s="17"/>
      <c r="F84" s="17">
        <v>18070</v>
      </c>
      <c r="G84" s="17" t="s">
        <v>481</v>
      </c>
      <c r="H84" s="183" t="str">
        <f t="shared" si="12"/>
        <v>na</v>
      </c>
      <c r="I84" s="17">
        <f t="shared" si="13"/>
        <v>0</v>
      </c>
      <c r="J84" s="113">
        <f>+$J$3-0.01</f>
        <v>2.1300000000000003</v>
      </c>
      <c r="K84" s="325">
        <v>0.25</v>
      </c>
      <c r="L84" s="19">
        <f t="shared" si="14"/>
        <v>1.8800000000000003</v>
      </c>
      <c r="M84" s="325">
        <f t="shared" si="4"/>
        <v>0</v>
      </c>
      <c r="N84" s="112">
        <f t="shared" si="15"/>
        <v>0</v>
      </c>
      <c r="O84" s="112">
        <f t="shared" si="16"/>
        <v>0</v>
      </c>
      <c r="S84" s="365">
        <v>711147</v>
      </c>
      <c r="T84" s="466" t="s">
        <v>1517</v>
      </c>
    </row>
    <row r="85" spans="1:20" s="21" customFormat="1" ht="15" customHeight="1" x14ac:dyDescent="0.2">
      <c r="A85" s="315" t="s">
        <v>1444</v>
      </c>
      <c r="B85" s="17"/>
      <c r="C85" s="318">
        <v>726100</v>
      </c>
      <c r="D85" s="470" t="s">
        <v>480</v>
      </c>
      <c r="E85" s="17"/>
      <c r="F85" s="17">
        <v>18070</v>
      </c>
      <c r="G85" s="17" t="s">
        <v>481</v>
      </c>
      <c r="H85" s="183" t="str">
        <f t="shared" si="12"/>
        <v>na</v>
      </c>
      <c r="I85" s="17">
        <f t="shared" si="13"/>
        <v>0</v>
      </c>
      <c r="J85" s="113">
        <f>+$J$3-0.01</f>
        <v>2.1300000000000003</v>
      </c>
      <c r="K85" s="325">
        <v>0.25</v>
      </c>
      <c r="L85" s="19">
        <f t="shared" si="14"/>
        <v>1.8800000000000003</v>
      </c>
      <c r="M85" s="325">
        <f t="shared" si="4"/>
        <v>0</v>
      </c>
      <c r="N85" s="112">
        <f t="shared" si="15"/>
        <v>0</v>
      </c>
      <c r="O85" s="112">
        <f t="shared" si="16"/>
        <v>0</v>
      </c>
      <c r="S85" s="365">
        <v>711345</v>
      </c>
      <c r="T85" s="466" t="s">
        <v>1517</v>
      </c>
    </row>
    <row r="86" spans="1:20" s="21" customFormat="1" ht="15" customHeight="1" x14ac:dyDescent="0.2">
      <c r="A86" s="315" t="s">
        <v>1443</v>
      </c>
      <c r="B86" s="17"/>
      <c r="C86" s="318">
        <v>729664</v>
      </c>
      <c r="D86" s="470" t="s">
        <v>480</v>
      </c>
      <c r="E86" s="17"/>
      <c r="F86" s="17">
        <v>18070</v>
      </c>
      <c r="G86" s="17" t="s">
        <v>481</v>
      </c>
      <c r="H86" s="183" t="str">
        <f t="shared" si="12"/>
        <v>na</v>
      </c>
      <c r="I86" s="17">
        <f t="shared" si="13"/>
        <v>0</v>
      </c>
      <c r="J86" s="113">
        <f>+$J$3-0.01</f>
        <v>2.1300000000000003</v>
      </c>
      <c r="K86" s="325">
        <v>0.25</v>
      </c>
      <c r="L86" s="19">
        <f t="shared" si="14"/>
        <v>1.8800000000000003</v>
      </c>
      <c r="M86" s="325">
        <f t="shared" si="4"/>
        <v>0</v>
      </c>
      <c r="N86" s="112">
        <f t="shared" si="15"/>
        <v>0</v>
      </c>
      <c r="O86" s="112">
        <f t="shared" si="16"/>
        <v>0</v>
      </c>
      <c r="P86" s="90"/>
      <c r="Q86" s="90"/>
      <c r="S86" s="365">
        <v>711384</v>
      </c>
      <c r="T86" s="466" t="s">
        <v>1517</v>
      </c>
    </row>
    <row r="87" spans="1:20" s="21" customFormat="1" ht="15" customHeight="1" x14ac:dyDescent="0.2">
      <c r="A87" s="315" t="s">
        <v>1443</v>
      </c>
      <c r="B87" s="17">
        <v>113653</v>
      </c>
      <c r="C87" s="318">
        <v>729665</v>
      </c>
      <c r="D87" s="470" t="s">
        <v>480</v>
      </c>
      <c r="E87" s="17"/>
      <c r="F87" s="17">
        <v>18070</v>
      </c>
      <c r="G87" s="17" t="s">
        <v>481</v>
      </c>
      <c r="H87" s="183" t="str">
        <f t="shared" si="12"/>
        <v>na</v>
      </c>
      <c r="I87" s="17">
        <f t="shared" si="13"/>
        <v>0</v>
      </c>
      <c r="J87" s="113">
        <f>+$J$3-0.01</f>
        <v>2.1300000000000003</v>
      </c>
      <c r="K87" s="325">
        <v>0.25</v>
      </c>
      <c r="L87" s="19">
        <f t="shared" si="14"/>
        <v>1.8800000000000003</v>
      </c>
      <c r="M87" s="325">
        <f t="shared" si="4"/>
        <v>0</v>
      </c>
      <c r="N87" s="112">
        <f t="shared" si="15"/>
        <v>0</v>
      </c>
      <c r="O87" s="112">
        <f t="shared" si="16"/>
        <v>0</v>
      </c>
      <c r="S87" s="365">
        <v>711640</v>
      </c>
      <c r="T87" s="466" t="s">
        <v>1517</v>
      </c>
    </row>
    <row r="88" spans="1:20" s="21" customFormat="1" ht="15" customHeight="1" x14ac:dyDescent="0.2">
      <c r="A88" s="315" t="s">
        <v>1443</v>
      </c>
      <c r="B88" s="17"/>
      <c r="C88" s="318">
        <v>729666</v>
      </c>
      <c r="D88" s="470" t="s">
        <v>480</v>
      </c>
      <c r="E88" s="17"/>
      <c r="F88" s="17">
        <v>18070</v>
      </c>
      <c r="G88" s="17" t="s">
        <v>481</v>
      </c>
      <c r="H88" s="183" t="str">
        <f t="shared" si="12"/>
        <v>na</v>
      </c>
      <c r="I88" s="17">
        <f t="shared" si="13"/>
        <v>0</v>
      </c>
      <c r="J88" s="113">
        <f>+$J$3-0.01</f>
        <v>2.1300000000000003</v>
      </c>
      <c r="K88" s="325">
        <v>0.25</v>
      </c>
      <c r="L88" s="19">
        <f t="shared" si="14"/>
        <v>1.8800000000000003</v>
      </c>
      <c r="M88" s="325">
        <f t="shared" si="4"/>
        <v>0</v>
      </c>
      <c r="N88" s="112">
        <f t="shared" si="15"/>
        <v>0</v>
      </c>
      <c r="O88" s="112">
        <f t="shared" si="16"/>
        <v>0</v>
      </c>
      <c r="S88" s="318">
        <v>711684</v>
      </c>
      <c r="T88" s="470" t="s">
        <v>526</v>
      </c>
    </row>
    <row r="89" spans="1:20" s="21" customFormat="1" ht="15" customHeight="1" x14ac:dyDescent="0.2">
      <c r="A89" s="315" t="s">
        <v>1443</v>
      </c>
      <c r="B89" s="17"/>
      <c r="C89" s="318">
        <v>722302</v>
      </c>
      <c r="D89" s="470" t="s">
        <v>482</v>
      </c>
      <c r="E89" s="17"/>
      <c r="F89" s="17">
        <v>19926</v>
      </c>
      <c r="G89" s="17" t="s">
        <v>483</v>
      </c>
      <c r="H89" s="183" t="str">
        <f t="shared" ref="H89:H98" si="18">IF(ISNA(VLOOKUP(C89,gath9909,10,FALSE)),"na",VLOOKUP(C89,gath9909,10,FALSE))</f>
        <v>na</v>
      </c>
      <c r="I89" s="17">
        <f t="shared" ref="I89:I98" si="19">IF(ISNA(VLOOKUP(C89,gath9909,12,FALSE)),0,(VLOOKUP(C89,gath9909,12,FALSE)))</f>
        <v>0</v>
      </c>
      <c r="J89" s="113">
        <f>+$J$2*0.99</f>
        <v>2.0888999999999998</v>
      </c>
      <c r="K89" s="325">
        <v>0.25</v>
      </c>
      <c r="L89" s="19">
        <f t="shared" ref="L89:L120" si="20">+J89-K89</f>
        <v>1.8388999999999998</v>
      </c>
      <c r="M89" s="325">
        <f t="shared" si="4"/>
        <v>0</v>
      </c>
      <c r="N89" s="112">
        <f t="shared" ref="N89:N120" si="21">+L89*I89</f>
        <v>0</v>
      </c>
      <c r="O89" s="112">
        <f t="shared" ref="O89:O120" si="22">(+L89*I89)-M89</f>
        <v>0</v>
      </c>
      <c r="S89" s="365">
        <v>712005</v>
      </c>
      <c r="T89" s="466" t="s">
        <v>1599</v>
      </c>
    </row>
    <row r="90" spans="1:20" s="21" customFormat="1" ht="15" customHeight="1" x14ac:dyDescent="0.2">
      <c r="A90" s="316" t="s">
        <v>1443</v>
      </c>
      <c r="B90" s="71"/>
      <c r="C90" s="319">
        <v>722989</v>
      </c>
      <c r="D90" s="473" t="s">
        <v>482</v>
      </c>
      <c r="E90" s="17"/>
      <c r="F90" s="71">
        <v>19926</v>
      </c>
      <c r="G90" s="71" t="s">
        <v>483</v>
      </c>
      <c r="H90" s="183">
        <f t="shared" si="18"/>
        <v>0</v>
      </c>
      <c r="I90" s="17">
        <f t="shared" si="19"/>
        <v>0</v>
      </c>
      <c r="J90" s="113">
        <f>+$J$2*0.99</f>
        <v>2.0888999999999998</v>
      </c>
      <c r="K90" s="325">
        <v>0.25</v>
      </c>
      <c r="L90" s="19">
        <f t="shared" si="20"/>
        <v>1.8388999999999998</v>
      </c>
      <c r="M90" s="325">
        <f t="shared" si="4"/>
        <v>0</v>
      </c>
      <c r="N90" s="112">
        <f t="shared" si="21"/>
        <v>0</v>
      </c>
      <c r="O90" s="112">
        <f t="shared" si="22"/>
        <v>0</v>
      </c>
      <c r="S90" s="318">
        <v>712018</v>
      </c>
      <c r="T90" s="470" t="s">
        <v>541</v>
      </c>
    </row>
    <row r="91" spans="1:20" s="21" customFormat="1" ht="15" customHeight="1" x14ac:dyDescent="0.2">
      <c r="A91" s="179" t="s">
        <v>1444</v>
      </c>
      <c r="B91" s="134"/>
      <c r="C91" s="365">
        <v>734866</v>
      </c>
      <c r="D91" s="474" t="s">
        <v>2315</v>
      </c>
      <c r="E91" s="322" t="s">
        <v>1709</v>
      </c>
      <c r="F91" s="16"/>
      <c r="G91" s="735" t="s">
        <v>179</v>
      </c>
      <c r="H91" s="183" t="str">
        <f t="shared" si="18"/>
        <v>na</v>
      </c>
      <c r="I91" s="17">
        <f t="shared" si="19"/>
        <v>0</v>
      </c>
      <c r="J91" s="113">
        <f>+$J$3*1.01</f>
        <v>2.1614</v>
      </c>
      <c r="K91" s="325">
        <v>0.25</v>
      </c>
      <c r="L91" s="19">
        <f t="shared" si="20"/>
        <v>1.9114</v>
      </c>
      <c r="M91" s="325">
        <f t="shared" ref="M91:M157" si="23">IF(H91&gt;=0,I91*0.001,0)</f>
        <v>0</v>
      </c>
      <c r="N91" s="112">
        <f t="shared" si="21"/>
        <v>0</v>
      </c>
      <c r="O91" s="112">
        <f t="shared" si="22"/>
        <v>0</v>
      </c>
      <c r="P91" s="760" t="s">
        <v>1516</v>
      </c>
      <c r="S91" s="365">
        <v>712260</v>
      </c>
      <c r="T91" s="466" t="s">
        <v>1517</v>
      </c>
    </row>
    <row r="92" spans="1:20" s="21" customFormat="1" ht="15" customHeight="1" x14ac:dyDescent="0.2">
      <c r="A92" s="179" t="s">
        <v>1443</v>
      </c>
      <c r="B92" s="17">
        <v>119525</v>
      </c>
      <c r="C92" s="366">
        <v>720584</v>
      </c>
      <c r="D92" s="466" t="s">
        <v>1659</v>
      </c>
      <c r="E92" s="17"/>
      <c r="F92" s="16"/>
      <c r="G92" s="17" t="s">
        <v>1427</v>
      </c>
      <c r="H92" s="183" t="str">
        <f t="shared" si="18"/>
        <v>na</v>
      </c>
      <c r="I92" s="17">
        <f t="shared" si="19"/>
        <v>0</v>
      </c>
      <c r="J92" s="113">
        <f t="shared" ref="J92:J97" si="24">+$J$3*0.98</f>
        <v>2.0972</v>
      </c>
      <c r="K92" s="325">
        <v>0.25</v>
      </c>
      <c r="L92" s="19">
        <f t="shared" si="20"/>
        <v>1.8472</v>
      </c>
      <c r="M92" s="325">
        <f t="shared" si="23"/>
        <v>0</v>
      </c>
      <c r="N92" s="112">
        <f t="shared" si="21"/>
        <v>0</v>
      </c>
      <c r="O92" s="112">
        <f t="shared" si="22"/>
        <v>0</v>
      </c>
      <c r="P92" s="90"/>
      <c r="Q92" s="90"/>
      <c r="S92" s="365">
        <v>712261</v>
      </c>
      <c r="T92" s="466" t="s">
        <v>1517</v>
      </c>
    </row>
    <row r="93" spans="1:20" s="21" customFormat="1" ht="15" customHeight="1" x14ac:dyDescent="0.2">
      <c r="A93" s="179" t="s">
        <v>1443</v>
      </c>
      <c r="B93" s="17">
        <v>119525</v>
      </c>
      <c r="C93" s="365">
        <v>721937</v>
      </c>
      <c r="D93" s="466" t="s">
        <v>1659</v>
      </c>
      <c r="E93" s="17"/>
      <c r="F93" s="16"/>
      <c r="G93" s="17" t="s">
        <v>1427</v>
      </c>
      <c r="H93" s="183" t="str">
        <f t="shared" si="18"/>
        <v>na</v>
      </c>
      <c r="I93" s="17">
        <f t="shared" si="19"/>
        <v>0</v>
      </c>
      <c r="J93" s="113">
        <f t="shared" si="24"/>
        <v>2.0972</v>
      </c>
      <c r="K93" s="325">
        <v>0.25</v>
      </c>
      <c r="L93" s="19">
        <f t="shared" si="20"/>
        <v>1.8472</v>
      </c>
      <c r="M93" s="325">
        <f t="shared" si="23"/>
        <v>0</v>
      </c>
      <c r="N93" s="112">
        <f t="shared" si="21"/>
        <v>0</v>
      </c>
      <c r="O93" s="112">
        <f t="shared" si="22"/>
        <v>0</v>
      </c>
      <c r="S93" s="365">
        <v>712262</v>
      </c>
      <c r="T93" s="466" t="s">
        <v>1517</v>
      </c>
    </row>
    <row r="94" spans="1:20" s="21" customFormat="1" ht="15" customHeight="1" x14ac:dyDescent="0.2">
      <c r="A94" s="179" t="s">
        <v>1443</v>
      </c>
      <c r="B94" s="134"/>
      <c r="C94" s="366">
        <v>726243</v>
      </c>
      <c r="D94" s="466" t="s">
        <v>1659</v>
      </c>
      <c r="E94" s="17"/>
      <c r="F94" s="16"/>
      <c r="G94" s="17" t="s">
        <v>1427</v>
      </c>
      <c r="H94" s="183" t="str">
        <f t="shared" si="18"/>
        <v>na</v>
      </c>
      <c r="I94" s="17">
        <f t="shared" si="19"/>
        <v>0</v>
      </c>
      <c r="J94" s="113">
        <f t="shared" si="24"/>
        <v>2.0972</v>
      </c>
      <c r="K94" s="325">
        <v>0.25</v>
      </c>
      <c r="L94" s="19">
        <f t="shared" si="20"/>
        <v>1.8472</v>
      </c>
      <c r="M94" s="325">
        <f t="shared" si="23"/>
        <v>0</v>
      </c>
      <c r="N94" s="112">
        <f t="shared" si="21"/>
        <v>0</v>
      </c>
      <c r="O94" s="112">
        <f t="shared" si="22"/>
        <v>0</v>
      </c>
      <c r="S94" s="365">
        <v>712263</v>
      </c>
      <c r="T94" s="466" t="s">
        <v>1517</v>
      </c>
    </row>
    <row r="95" spans="1:20" s="21" customFormat="1" ht="15" customHeight="1" x14ac:dyDescent="0.2">
      <c r="A95" s="179" t="s">
        <v>1443</v>
      </c>
      <c r="B95" s="134"/>
      <c r="C95" s="365">
        <v>733875</v>
      </c>
      <c r="D95" s="466" t="s">
        <v>1659</v>
      </c>
      <c r="E95" s="17"/>
      <c r="F95" s="16"/>
      <c r="G95" s="17" t="s">
        <v>1427</v>
      </c>
      <c r="H95" s="183" t="str">
        <f t="shared" si="18"/>
        <v>na</v>
      </c>
      <c r="I95" s="17">
        <f t="shared" si="19"/>
        <v>0</v>
      </c>
      <c r="J95" s="113">
        <f t="shared" si="24"/>
        <v>2.0972</v>
      </c>
      <c r="K95" s="325">
        <v>0.25</v>
      </c>
      <c r="L95" s="19">
        <f t="shared" si="20"/>
        <v>1.8472</v>
      </c>
      <c r="M95" s="325">
        <f t="shared" si="23"/>
        <v>0</v>
      </c>
      <c r="N95" s="112">
        <f t="shared" si="21"/>
        <v>0</v>
      </c>
      <c r="O95" s="112">
        <f t="shared" si="22"/>
        <v>0</v>
      </c>
      <c r="P95" s="90"/>
      <c r="Q95" s="90"/>
      <c r="S95" s="318">
        <v>712277</v>
      </c>
      <c r="T95" s="470" t="s">
        <v>546</v>
      </c>
    </row>
    <row r="96" spans="1:20" s="21" customFormat="1" ht="15" customHeight="1" x14ac:dyDescent="0.2">
      <c r="A96" s="179" t="s">
        <v>1443</v>
      </c>
      <c r="B96" s="134"/>
      <c r="C96" s="365">
        <v>734734</v>
      </c>
      <c r="D96" s="466" t="s">
        <v>1659</v>
      </c>
      <c r="E96" s="17"/>
      <c r="F96" s="16"/>
      <c r="G96" s="17" t="s">
        <v>1427</v>
      </c>
      <c r="H96" s="183" t="str">
        <f t="shared" si="18"/>
        <v>na</v>
      </c>
      <c r="I96" s="17">
        <f t="shared" si="19"/>
        <v>0</v>
      </c>
      <c r="J96" s="113">
        <f t="shared" si="24"/>
        <v>2.0972</v>
      </c>
      <c r="K96" s="325">
        <v>0.25</v>
      </c>
      <c r="L96" s="19">
        <f t="shared" si="20"/>
        <v>1.8472</v>
      </c>
      <c r="M96" s="325">
        <f t="shared" si="23"/>
        <v>0</v>
      </c>
      <c r="N96" s="112">
        <f t="shared" si="21"/>
        <v>0</v>
      </c>
      <c r="O96" s="112">
        <f t="shared" si="22"/>
        <v>0</v>
      </c>
      <c r="P96" s="90"/>
      <c r="Q96" s="90"/>
      <c r="S96" s="365">
        <v>712294</v>
      </c>
      <c r="T96" s="466" t="s">
        <v>1517</v>
      </c>
    </row>
    <row r="97" spans="1:20" s="21" customFormat="1" ht="15" customHeight="1" x14ac:dyDescent="0.2">
      <c r="A97" s="179" t="s">
        <v>1443</v>
      </c>
      <c r="B97" s="134"/>
      <c r="C97" s="365">
        <v>734949</v>
      </c>
      <c r="D97" s="466" t="s">
        <v>1659</v>
      </c>
      <c r="E97" s="17"/>
      <c r="F97" s="16"/>
      <c r="G97" s="17" t="s">
        <v>1427</v>
      </c>
      <c r="H97" s="183" t="str">
        <f t="shared" si="18"/>
        <v>na</v>
      </c>
      <c r="I97" s="17">
        <f t="shared" si="19"/>
        <v>0</v>
      </c>
      <c r="J97" s="113">
        <f t="shared" si="24"/>
        <v>2.0972</v>
      </c>
      <c r="K97" s="325">
        <v>0.25</v>
      </c>
      <c r="L97" s="19">
        <f t="shared" si="20"/>
        <v>1.8472</v>
      </c>
      <c r="M97" s="325">
        <f t="shared" si="23"/>
        <v>0</v>
      </c>
      <c r="N97" s="112">
        <f t="shared" si="21"/>
        <v>0</v>
      </c>
      <c r="O97" s="112">
        <f t="shared" si="22"/>
        <v>0</v>
      </c>
      <c r="P97" s="90"/>
      <c r="Q97" s="90"/>
      <c r="S97" s="365">
        <v>712344</v>
      </c>
      <c r="T97" s="466" t="s">
        <v>1426</v>
      </c>
    </row>
    <row r="98" spans="1:20" s="21" customFormat="1" ht="15" customHeight="1" x14ac:dyDescent="0.2">
      <c r="A98" s="315"/>
      <c r="B98" s="16"/>
      <c r="C98" s="318">
        <v>713117</v>
      </c>
      <c r="D98" s="470" t="s">
        <v>484</v>
      </c>
      <c r="E98" s="17"/>
      <c r="F98" s="38" t="s">
        <v>345</v>
      </c>
      <c r="G98" s="10" t="s">
        <v>347</v>
      </c>
      <c r="H98" s="183" t="str">
        <f t="shared" si="18"/>
        <v>na</v>
      </c>
      <c r="I98" s="17">
        <f t="shared" si="19"/>
        <v>0</v>
      </c>
      <c r="J98" s="113">
        <f>$J$3-0.01</f>
        <v>2.1300000000000003</v>
      </c>
      <c r="K98" s="325">
        <v>0.25</v>
      </c>
      <c r="L98" s="19">
        <f t="shared" si="20"/>
        <v>1.8800000000000003</v>
      </c>
      <c r="M98" s="325">
        <f t="shared" si="23"/>
        <v>0</v>
      </c>
      <c r="N98" s="112">
        <f t="shared" si="21"/>
        <v>0</v>
      </c>
      <c r="O98" s="112">
        <f t="shared" si="22"/>
        <v>0</v>
      </c>
      <c r="P98" s="90"/>
      <c r="Q98" s="90"/>
      <c r="S98" s="318">
        <v>712390</v>
      </c>
      <c r="T98" s="470" t="s">
        <v>442</v>
      </c>
    </row>
    <row r="99" spans="1:20" s="21" customFormat="1" ht="15" customHeight="1" x14ac:dyDescent="0.2">
      <c r="A99" s="315" t="s">
        <v>1444</v>
      </c>
      <c r="B99" s="17">
        <v>109778</v>
      </c>
      <c r="C99" s="318">
        <v>719608</v>
      </c>
      <c r="D99" s="470" t="s">
        <v>484</v>
      </c>
      <c r="E99" s="17"/>
      <c r="F99" s="17">
        <v>39916</v>
      </c>
      <c r="G99" s="17" t="s">
        <v>1428</v>
      </c>
      <c r="H99" s="183" t="str">
        <f>IF(ISNA(VLOOKUP(C99,gath9909,10,FALSE)),"na",VLOOKUP(C99,gath9909,10,FALSE))</f>
        <v>na</v>
      </c>
      <c r="I99" s="17">
        <f>IF(ISNA(VLOOKUP(C99,gath9909,12,FALSE)),0,(VLOOKUP(C99,gath9909,12,FALSE)))</f>
        <v>0</v>
      </c>
      <c r="J99" s="113">
        <f>+$J$3-0</f>
        <v>2.14</v>
      </c>
      <c r="K99" s="325">
        <v>0.25</v>
      </c>
      <c r="L99" s="19">
        <f t="shared" si="20"/>
        <v>1.8900000000000001</v>
      </c>
      <c r="M99" s="325">
        <f t="shared" si="23"/>
        <v>0</v>
      </c>
      <c r="N99" s="112">
        <f t="shared" si="21"/>
        <v>0</v>
      </c>
      <c r="O99" s="112">
        <f t="shared" si="22"/>
        <v>0</v>
      </c>
      <c r="P99" s="90"/>
      <c r="Q99" s="90"/>
      <c r="S99" s="318">
        <v>712519</v>
      </c>
      <c r="T99" s="470" t="s">
        <v>442</v>
      </c>
    </row>
    <row r="100" spans="1:20" s="21" customFormat="1" ht="15" customHeight="1" x14ac:dyDescent="0.2">
      <c r="A100" s="315" t="s">
        <v>1444</v>
      </c>
      <c r="B100" s="17"/>
      <c r="C100" s="318">
        <v>720762</v>
      </c>
      <c r="D100" s="470" t="s">
        <v>484</v>
      </c>
      <c r="E100" s="17"/>
      <c r="F100" s="17">
        <v>39916</v>
      </c>
      <c r="G100" s="17" t="s">
        <v>1428</v>
      </c>
      <c r="H100" s="183" t="str">
        <f t="shared" ref="H100:H133" si="25">IF(ISNA(VLOOKUP(C100,gath9909,10,FALSE)),"na",VLOOKUP(C100,gath9909,10,FALSE))</f>
        <v>na</v>
      </c>
      <c r="I100" s="17">
        <f t="shared" ref="I100:I133" si="26">IF(ISNA(VLOOKUP(C100,gath9909,12,FALSE)),0,(VLOOKUP(C100,gath9909,12,FALSE)))</f>
        <v>0</v>
      </c>
      <c r="J100" s="113">
        <f>+$J$3-0</f>
        <v>2.14</v>
      </c>
      <c r="K100" s="325">
        <v>0.25</v>
      </c>
      <c r="L100" s="19">
        <f t="shared" si="20"/>
        <v>1.8900000000000001</v>
      </c>
      <c r="M100" s="325">
        <f t="shared" si="23"/>
        <v>0</v>
      </c>
      <c r="N100" s="112">
        <f t="shared" si="21"/>
        <v>0</v>
      </c>
      <c r="O100" s="112">
        <f t="shared" si="22"/>
        <v>0</v>
      </c>
      <c r="P100" s="90"/>
      <c r="Q100" s="90"/>
      <c r="S100" s="365">
        <v>712526</v>
      </c>
      <c r="T100" s="466" t="s">
        <v>1517</v>
      </c>
    </row>
    <row r="101" spans="1:20" s="21" customFormat="1" ht="15" customHeight="1" x14ac:dyDescent="0.2">
      <c r="A101" s="315" t="s">
        <v>501</v>
      </c>
      <c r="B101" s="16"/>
      <c r="C101" s="318">
        <v>731945</v>
      </c>
      <c r="D101" s="470" t="s">
        <v>484</v>
      </c>
      <c r="E101" s="17"/>
      <c r="F101" s="38" t="s">
        <v>345</v>
      </c>
      <c r="G101" s="10" t="s">
        <v>347</v>
      </c>
      <c r="H101" s="183" t="str">
        <f t="shared" si="25"/>
        <v>na</v>
      </c>
      <c r="I101" s="17">
        <f t="shared" si="26"/>
        <v>0</v>
      </c>
      <c r="J101" s="113">
        <f>$J$3-0.01</f>
        <v>2.1300000000000003</v>
      </c>
      <c r="K101" s="325">
        <v>0.25</v>
      </c>
      <c r="L101" s="19">
        <f t="shared" si="20"/>
        <v>1.8800000000000003</v>
      </c>
      <c r="M101" s="325">
        <f t="shared" si="23"/>
        <v>0</v>
      </c>
      <c r="N101" s="112">
        <f t="shared" si="21"/>
        <v>0</v>
      </c>
      <c r="O101" s="112">
        <f t="shared" si="22"/>
        <v>0</v>
      </c>
      <c r="P101" s="90"/>
      <c r="Q101" s="90"/>
      <c r="S101" s="318">
        <v>712686</v>
      </c>
      <c r="T101" s="369" t="s">
        <v>333</v>
      </c>
    </row>
    <row r="102" spans="1:20" s="21" customFormat="1" ht="15" customHeight="1" x14ac:dyDescent="0.2">
      <c r="A102" s="315" t="s">
        <v>1443</v>
      </c>
      <c r="B102" s="17">
        <v>109768</v>
      </c>
      <c r="C102" s="318">
        <v>717621</v>
      </c>
      <c r="D102" s="470" t="s">
        <v>511</v>
      </c>
      <c r="E102" s="17"/>
      <c r="F102" s="17">
        <v>22422</v>
      </c>
      <c r="G102" s="17" t="s">
        <v>273</v>
      </c>
      <c r="H102" s="183" t="str">
        <f t="shared" si="25"/>
        <v>na</v>
      </c>
      <c r="I102" s="17">
        <f t="shared" si="26"/>
        <v>0</v>
      </c>
      <c r="J102" s="113">
        <f>+$J$2*0.95</f>
        <v>2.0044999999999997</v>
      </c>
      <c r="K102" s="325">
        <v>0.25</v>
      </c>
      <c r="L102" s="19">
        <f t="shared" si="20"/>
        <v>1.7544999999999997</v>
      </c>
      <c r="M102" s="325">
        <f t="shared" si="23"/>
        <v>0</v>
      </c>
      <c r="N102" s="112">
        <f t="shared" si="21"/>
        <v>0</v>
      </c>
      <c r="O102" s="112">
        <f t="shared" si="22"/>
        <v>0</v>
      </c>
      <c r="P102" s="90"/>
      <c r="Q102" s="90"/>
      <c r="S102" s="498">
        <v>712763</v>
      </c>
      <c r="T102" s="470" t="s">
        <v>819</v>
      </c>
    </row>
    <row r="103" spans="1:20" s="21" customFormat="1" ht="15" customHeight="1" x14ac:dyDescent="0.2">
      <c r="A103" s="179" t="s">
        <v>1444</v>
      </c>
      <c r="B103" s="17">
        <v>113905</v>
      </c>
      <c r="C103" s="365">
        <v>721054</v>
      </c>
      <c r="D103" s="466" t="s">
        <v>1630</v>
      </c>
      <c r="E103" s="17"/>
      <c r="F103" s="16"/>
      <c r="G103" s="17" t="s">
        <v>1428</v>
      </c>
      <c r="H103" s="183" t="str">
        <f t="shared" si="25"/>
        <v>na</v>
      </c>
      <c r="I103" s="17">
        <f t="shared" si="26"/>
        <v>0</v>
      </c>
      <c r="J103" s="113">
        <f>+$J$3-0</f>
        <v>2.14</v>
      </c>
      <c r="K103" s="325">
        <v>0.25</v>
      </c>
      <c r="L103" s="19">
        <f t="shared" si="20"/>
        <v>1.8900000000000001</v>
      </c>
      <c r="M103" s="325">
        <f t="shared" si="23"/>
        <v>0</v>
      </c>
      <c r="N103" s="112">
        <f t="shared" si="21"/>
        <v>0</v>
      </c>
      <c r="O103" s="112">
        <f t="shared" si="22"/>
        <v>0</v>
      </c>
      <c r="S103" s="318">
        <v>712766</v>
      </c>
      <c r="T103" s="470" t="s">
        <v>442</v>
      </c>
    </row>
    <row r="104" spans="1:20" s="21" customFormat="1" ht="15" customHeight="1" x14ac:dyDescent="0.2">
      <c r="A104" s="179" t="s">
        <v>1444</v>
      </c>
      <c r="B104" s="17">
        <v>113902</v>
      </c>
      <c r="C104" s="365">
        <v>721206</v>
      </c>
      <c r="D104" s="466" t="s">
        <v>1630</v>
      </c>
      <c r="E104" s="17"/>
      <c r="F104" s="16"/>
      <c r="G104" s="17" t="s">
        <v>1428</v>
      </c>
      <c r="H104" s="183" t="str">
        <f t="shared" si="25"/>
        <v>na</v>
      </c>
      <c r="I104" s="17">
        <f t="shared" si="26"/>
        <v>0</v>
      </c>
      <c r="J104" s="113">
        <f>+$J$3-0</f>
        <v>2.14</v>
      </c>
      <c r="K104" s="325">
        <v>0.25</v>
      </c>
      <c r="L104" s="19">
        <f t="shared" si="20"/>
        <v>1.8900000000000001</v>
      </c>
      <c r="M104" s="325">
        <f t="shared" si="23"/>
        <v>0</v>
      </c>
      <c r="N104" s="112">
        <f t="shared" si="21"/>
        <v>0</v>
      </c>
      <c r="O104" s="112">
        <f t="shared" si="22"/>
        <v>0</v>
      </c>
      <c r="S104" s="318">
        <v>712935</v>
      </c>
      <c r="T104" s="369" t="s">
        <v>333</v>
      </c>
    </row>
    <row r="105" spans="1:20" s="21" customFormat="1" ht="15" customHeight="1" x14ac:dyDescent="0.2">
      <c r="A105" s="179" t="s">
        <v>1444</v>
      </c>
      <c r="B105" s="17"/>
      <c r="C105" s="366">
        <v>722835</v>
      </c>
      <c r="D105" s="466" t="s">
        <v>1630</v>
      </c>
      <c r="E105" s="17"/>
      <c r="F105" s="16"/>
      <c r="G105" s="17" t="s">
        <v>1428</v>
      </c>
      <c r="H105" s="183" t="str">
        <f t="shared" si="25"/>
        <v>na</v>
      </c>
      <c r="I105" s="17">
        <f t="shared" si="26"/>
        <v>0</v>
      </c>
      <c r="J105" s="113">
        <f>+$J$3-0</f>
        <v>2.14</v>
      </c>
      <c r="K105" s="325">
        <v>0.25</v>
      </c>
      <c r="L105" s="19">
        <f t="shared" si="20"/>
        <v>1.8900000000000001</v>
      </c>
      <c r="M105" s="325">
        <f t="shared" si="23"/>
        <v>0</v>
      </c>
      <c r="N105" s="112">
        <f t="shared" si="21"/>
        <v>0</v>
      </c>
      <c r="O105" s="112">
        <f t="shared" si="22"/>
        <v>0</v>
      </c>
      <c r="P105" s="839"/>
      <c r="S105" s="365">
        <v>712995</v>
      </c>
      <c r="T105" s="466" t="s">
        <v>1426</v>
      </c>
    </row>
    <row r="106" spans="1:20" s="21" customFormat="1" ht="15" customHeight="1" x14ac:dyDescent="0.2">
      <c r="A106" s="179" t="s">
        <v>1444</v>
      </c>
      <c r="B106" s="17"/>
      <c r="C106" s="365">
        <v>723453</v>
      </c>
      <c r="D106" s="466" t="s">
        <v>1630</v>
      </c>
      <c r="E106" s="17"/>
      <c r="F106" s="16"/>
      <c r="G106" s="17" t="s">
        <v>1428</v>
      </c>
      <c r="H106" s="183" t="str">
        <f t="shared" si="25"/>
        <v>na</v>
      </c>
      <c r="I106" s="17">
        <f t="shared" si="26"/>
        <v>0</v>
      </c>
      <c r="J106" s="113">
        <f>+$J$3-0</f>
        <v>2.14</v>
      </c>
      <c r="K106" s="325">
        <v>0.25</v>
      </c>
      <c r="L106" s="19">
        <f t="shared" si="20"/>
        <v>1.8900000000000001</v>
      </c>
      <c r="M106" s="325">
        <f t="shared" si="23"/>
        <v>0</v>
      </c>
      <c r="N106" s="112">
        <f t="shared" si="21"/>
        <v>0</v>
      </c>
      <c r="O106" s="112">
        <f t="shared" si="22"/>
        <v>0</v>
      </c>
      <c r="P106" s="20"/>
      <c r="Q106" s="20"/>
      <c r="S106" s="365">
        <v>712997</v>
      </c>
      <c r="T106" s="466" t="s">
        <v>1426</v>
      </c>
    </row>
    <row r="107" spans="1:20" s="21" customFormat="1" ht="15" customHeight="1" x14ac:dyDescent="0.2">
      <c r="A107" s="179" t="s">
        <v>1446</v>
      </c>
      <c r="B107" s="17">
        <v>109793</v>
      </c>
      <c r="C107" s="365">
        <v>707597</v>
      </c>
      <c r="D107" s="466" t="s">
        <v>1560</v>
      </c>
      <c r="E107" s="17"/>
      <c r="F107" s="16"/>
      <c r="G107" s="267" t="s">
        <v>1456</v>
      </c>
      <c r="H107" s="183" t="str">
        <f t="shared" si="25"/>
        <v>na</v>
      </c>
      <c r="I107" s="17">
        <f t="shared" si="26"/>
        <v>0</v>
      </c>
      <c r="J107" s="113">
        <f>+$J$3*0.95</f>
        <v>2.0329999999999999</v>
      </c>
      <c r="K107" s="325">
        <v>0.25</v>
      </c>
      <c r="L107" s="19">
        <f t="shared" si="20"/>
        <v>1.7829999999999999</v>
      </c>
      <c r="M107" s="325">
        <f t="shared" si="23"/>
        <v>0</v>
      </c>
      <c r="N107" s="112">
        <f t="shared" si="21"/>
        <v>0</v>
      </c>
      <c r="O107" s="112">
        <f t="shared" si="22"/>
        <v>0</v>
      </c>
      <c r="P107" s="20"/>
      <c r="Q107" s="20"/>
      <c r="S107" s="365">
        <v>713017</v>
      </c>
      <c r="T107" s="466" t="s">
        <v>1426</v>
      </c>
    </row>
    <row r="108" spans="1:20" s="21" customFormat="1" ht="15" customHeight="1" x14ac:dyDescent="0.2">
      <c r="A108" s="179" t="s">
        <v>1446</v>
      </c>
      <c r="B108" s="17">
        <v>109795</v>
      </c>
      <c r="C108" s="365">
        <v>707598</v>
      </c>
      <c r="D108" s="466" t="s">
        <v>1560</v>
      </c>
      <c r="E108" s="17"/>
      <c r="F108" s="16"/>
      <c r="G108" s="267" t="s">
        <v>1456</v>
      </c>
      <c r="H108" s="183" t="str">
        <f t="shared" si="25"/>
        <v>na</v>
      </c>
      <c r="I108" s="17">
        <f t="shared" si="26"/>
        <v>0</v>
      </c>
      <c r="J108" s="113">
        <f>+$J$3*0.95</f>
        <v>2.0329999999999999</v>
      </c>
      <c r="K108" s="325">
        <v>0.25</v>
      </c>
      <c r="L108" s="19">
        <f t="shared" si="20"/>
        <v>1.7829999999999999</v>
      </c>
      <c r="M108" s="325">
        <f t="shared" si="23"/>
        <v>0</v>
      </c>
      <c r="N108" s="112">
        <f t="shared" si="21"/>
        <v>0</v>
      </c>
      <c r="O108" s="112">
        <f t="shared" si="22"/>
        <v>0</v>
      </c>
      <c r="P108" s="90"/>
      <c r="Q108" s="90"/>
      <c r="S108" s="318">
        <v>713117</v>
      </c>
      <c r="T108" s="470" t="s">
        <v>484</v>
      </c>
    </row>
    <row r="109" spans="1:20" s="21" customFormat="1" ht="15" customHeight="1" x14ac:dyDescent="0.2">
      <c r="A109" s="315" t="s">
        <v>1443</v>
      </c>
      <c r="B109" s="17">
        <v>109799</v>
      </c>
      <c r="C109" s="318">
        <v>717836</v>
      </c>
      <c r="D109" s="470" t="s">
        <v>486</v>
      </c>
      <c r="E109" s="17"/>
      <c r="F109" s="17">
        <v>25076</v>
      </c>
      <c r="G109" s="17" t="s">
        <v>487</v>
      </c>
      <c r="H109" s="183" t="str">
        <f t="shared" si="25"/>
        <v>na</v>
      </c>
      <c r="I109" s="17">
        <f t="shared" si="26"/>
        <v>0</v>
      </c>
      <c r="J109" s="113">
        <f>$J$3-0.02</f>
        <v>2.12</v>
      </c>
      <c r="K109" s="325">
        <v>0.25</v>
      </c>
      <c r="L109" s="19">
        <f t="shared" si="20"/>
        <v>1.87</v>
      </c>
      <c r="M109" s="325">
        <f t="shared" si="23"/>
        <v>0</v>
      </c>
      <c r="N109" s="112">
        <f t="shared" si="21"/>
        <v>0</v>
      </c>
      <c r="O109" s="112">
        <f t="shared" si="22"/>
        <v>0</v>
      </c>
      <c r="S109" s="365">
        <v>713350</v>
      </c>
      <c r="T109" s="466" t="s">
        <v>1426</v>
      </c>
    </row>
    <row r="110" spans="1:20" s="21" customFormat="1" ht="15" customHeight="1" x14ac:dyDescent="0.2">
      <c r="A110" s="179" t="s">
        <v>1443</v>
      </c>
      <c r="B110" s="17">
        <v>113908</v>
      </c>
      <c r="C110" s="365">
        <v>721405</v>
      </c>
      <c r="D110" s="466" t="s">
        <v>1658</v>
      </c>
      <c r="E110" s="17"/>
      <c r="F110" s="16"/>
      <c r="G110" s="17" t="s">
        <v>1716</v>
      </c>
      <c r="H110" s="183" t="str">
        <f t="shared" si="25"/>
        <v>na</v>
      </c>
      <c r="I110" s="17">
        <f t="shared" si="26"/>
        <v>0</v>
      </c>
      <c r="J110" s="113">
        <f>+$J$3-0.02</f>
        <v>2.12</v>
      </c>
      <c r="K110" s="325">
        <v>0.25</v>
      </c>
      <c r="L110" s="19">
        <f t="shared" si="20"/>
        <v>1.87</v>
      </c>
      <c r="M110" s="325">
        <f t="shared" si="23"/>
        <v>0</v>
      </c>
      <c r="N110" s="112">
        <f t="shared" si="21"/>
        <v>0</v>
      </c>
      <c r="O110" s="112">
        <f t="shared" si="22"/>
        <v>0</v>
      </c>
      <c r="S110" s="365">
        <v>713406</v>
      </c>
      <c r="T110" s="466" t="s">
        <v>1426</v>
      </c>
    </row>
    <row r="111" spans="1:20" s="21" customFormat="1" ht="15" customHeight="1" x14ac:dyDescent="0.2">
      <c r="A111" s="179" t="s">
        <v>1443</v>
      </c>
      <c r="B111" s="17">
        <v>113832</v>
      </c>
      <c r="C111" s="365">
        <v>722070</v>
      </c>
      <c r="D111" s="466" t="s">
        <v>1658</v>
      </c>
      <c r="E111" s="17"/>
      <c r="F111" s="16"/>
      <c r="G111" s="17" t="s">
        <v>1716</v>
      </c>
      <c r="H111" s="183" t="str">
        <f t="shared" si="25"/>
        <v>na</v>
      </c>
      <c r="I111" s="17">
        <f t="shared" si="26"/>
        <v>0</v>
      </c>
      <c r="J111" s="113">
        <f>+$J$3-0.02</f>
        <v>2.12</v>
      </c>
      <c r="K111" s="325">
        <v>0.25</v>
      </c>
      <c r="L111" s="19">
        <f t="shared" si="20"/>
        <v>1.87</v>
      </c>
      <c r="M111" s="325">
        <f t="shared" si="23"/>
        <v>0</v>
      </c>
      <c r="N111" s="112">
        <f t="shared" si="21"/>
        <v>0</v>
      </c>
      <c r="O111" s="112">
        <f t="shared" si="22"/>
        <v>0</v>
      </c>
      <c r="S111" s="318">
        <v>713509</v>
      </c>
      <c r="T111" s="470" t="s">
        <v>813</v>
      </c>
    </row>
    <row r="112" spans="1:20" s="21" customFormat="1" ht="15" customHeight="1" x14ac:dyDescent="0.2">
      <c r="A112" s="179" t="s">
        <v>1443</v>
      </c>
      <c r="B112" s="17">
        <v>113827</v>
      </c>
      <c r="C112" s="365">
        <v>722179</v>
      </c>
      <c r="D112" s="466" t="s">
        <v>1658</v>
      </c>
      <c r="E112" s="321"/>
      <c r="F112" s="16"/>
      <c r="G112" s="17" t="s">
        <v>1716</v>
      </c>
      <c r="H112" s="183" t="str">
        <f t="shared" si="25"/>
        <v>na</v>
      </c>
      <c r="I112" s="17">
        <f t="shared" si="26"/>
        <v>0</v>
      </c>
      <c r="J112" s="113">
        <f>+$J$3-0.02</f>
        <v>2.12</v>
      </c>
      <c r="K112" s="325">
        <v>0.25</v>
      </c>
      <c r="L112" s="19">
        <f t="shared" si="20"/>
        <v>1.87</v>
      </c>
      <c r="M112" s="325">
        <f t="shared" si="23"/>
        <v>0</v>
      </c>
      <c r="N112" s="112">
        <f t="shared" si="21"/>
        <v>0</v>
      </c>
      <c r="O112" s="112">
        <f t="shared" si="22"/>
        <v>0</v>
      </c>
      <c r="S112" s="318">
        <v>713617</v>
      </c>
      <c r="T112" s="470" t="s">
        <v>532</v>
      </c>
    </row>
    <row r="113" spans="1:20" s="21" customFormat="1" ht="15" customHeight="1" x14ac:dyDescent="0.2">
      <c r="A113" s="179" t="s">
        <v>1443</v>
      </c>
      <c r="B113" s="134"/>
      <c r="C113" s="365">
        <v>704606</v>
      </c>
      <c r="D113" s="466" t="s">
        <v>1538</v>
      </c>
      <c r="E113" s="17"/>
      <c r="F113" s="16"/>
      <c r="G113" s="267" t="s">
        <v>1427</v>
      </c>
      <c r="H113" s="183" t="str">
        <f>IF(ISNA(VLOOKUP(C113,gath9909,10,FALSE)),"na",VLOOKUP(C113,gath9909,10,FALSE))</f>
        <v>na</v>
      </c>
      <c r="I113" s="17">
        <f>IF(ISNA(VLOOKUP(C113,gath9909,12,FALSE)),0,(VLOOKUP(C113,gath9909,12,FALSE)))</f>
        <v>0</v>
      </c>
      <c r="J113" s="113">
        <f>+$J$3*0.98</f>
        <v>2.0972</v>
      </c>
      <c r="K113" s="325">
        <v>0.25</v>
      </c>
      <c r="L113" s="19">
        <f>+J113-K113</f>
        <v>1.8472</v>
      </c>
      <c r="M113" s="325">
        <f>IF(H113&gt;=0,I113*0.001,0)</f>
        <v>0</v>
      </c>
      <c r="N113" s="112">
        <f>+L113*I113</f>
        <v>0</v>
      </c>
      <c r="O113" s="112">
        <f>(+L113*I113)-M113</f>
        <v>0</v>
      </c>
      <c r="S113" s="318">
        <v>713710</v>
      </c>
      <c r="T113" s="470" t="s">
        <v>526</v>
      </c>
    </row>
    <row r="114" spans="1:20" s="21" customFormat="1" ht="15" customHeight="1" x14ac:dyDescent="0.2">
      <c r="A114" s="179" t="s">
        <v>1443</v>
      </c>
      <c r="B114" s="134"/>
      <c r="C114" s="365">
        <v>730258</v>
      </c>
      <c r="D114" s="466" t="s">
        <v>1538</v>
      </c>
      <c r="E114" s="17"/>
      <c r="F114" s="16"/>
      <c r="G114" s="267" t="s">
        <v>1427</v>
      </c>
      <c r="H114" s="183" t="str">
        <f t="shared" si="25"/>
        <v>na</v>
      </c>
      <c r="I114" s="17">
        <f t="shared" si="26"/>
        <v>0</v>
      </c>
      <c r="J114" s="113">
        <f>+$J$3*0.98</f>
        <v>2.0972</v>
      </c>
      <c r="K114" s="325">
        <v>0.25</v>
      </c>
      <c r="L114" s="19">
        <f t="shared" si="20"/>
        <v>1.8472</v>
      </c>
      <c r="M114" s="325">
        <f t="shared" si="23"/>
        <v>0</v>
      </c>
      <c r="N114" s="112">
        <f t="shared" si="21"/>
        <v>0</v>
      </c>
      <c r="O114" s="112">
        <f t="shared" si="22"/>
        <v>0</v>
      </c>
      <c r="S114" s="318">
        <v>713710</v>
      </c>
      <c r="T114" s="470" t="s">
        <v>526</v>
      </c>
    </row>
    <row r="115" spans="1:20" s="21" customFormat="1" ht="15" customHeight="1" x14ac:dyDescent="0.2">
      <c r="A115" s="179" t="s">
        <v>1444</v>
      </c>
      <c r="B115" s="17">
        <v>109758</v>
      </c>
      <c r="C115" s="365">
        <v>705940</v>
      </c>
      <c r="D115" s="466" t="s">
        <v>806</v>
      </c>
      <c r="E115" s="17"/>
      <c r="F115" s="16"/>
      <c r="G115" s="267" t="s">
        <v>1421</v>
      </c>
      <c r="H115" s="183">
        <f t="shared" si="25"/>
        <v>6</v>
      </c>
      <c r="I115" s="17">
        <f t="shared" si="26"/>
        <v>6</v>
      </c>
      <c r="J115" s="113">
        <f>+$J$3*0.97</f>
        <v>2.0758000000000001</v>
      </c>
      <c r="K115" s="325">
        <v>0.25</v>
      </c>
      <c r="L115" s="19">
        <f t="shared" si="20"/>
        <v>1.8258000000000001</v>
      </c>
      <c r="M115" s="325">
        <f t="shared" si="23"/>
        <v>6.0000000000000001E-3</v>
      </c>
      <c r="N115" s="112">
        <f t="shared" si="21"/>
        <v>10.954800000000001</v>
      </c>
      <c r="O115" s="112">
        <f t="shared" si="22"/>
        <v>10.9488</v>
      </c>
      <c r="S115" s="365">
        <v>713755</v>
      </c>
      <c r="T115" s="466" t="s">
        <v>5</v>
      </c>
    </row>
    <row r="116" spans="1:20" s="21" customFormat="1" ht="15" customHeight="1" x14ac:dyDescent="0.2">
      <c r="A116" s="315" t="s">
        <v>1443</v>
      </c>
      <c r="B116" s="17">
        <v>109835</v>
      </c>
      <c r="C116" s="318">
        <v>716865</v>
      </c>
      <c r="D116" s="470" t="s">
        <v>488</v>
      </c>
      <c r="E116" s="17"/>
      <c r="F116" s="17">
        <v>29707</v>
      </c>
      <c r="G116" s="17" t="s">
        <v>473</v>
      </c>
      <c r="H116" s="183">
        <f t="shared" si="25"/>
        <v>0</v>
      </c>
      <c r="I116" s="17">
        <f t="shared" si="26"/>
        <v>0</v>
      </c>
      <c r="J116" s="113">
        <f>+$J$3-0.08</f>
        <v>2.06</v>
      </c>
      <c r="K116" s="325">
        <v>0.25</v>
      </c>
      <c r="L116" s="19">
        <f t="shared" si="20"/>
        <v>1.81</v>
      </c>
      <c r="M116" s="325">
        <f t="shared" si="23"/>
        <v>0</v>
      </c>
      <c r="N116" s="112">
        <f t="shared" si="21"/>
        <v>0</v>
      </c>
      <c r="O116" s="112">
        <f t="shared" si="22"/>
        <v>0</v>
      </c>
      <c r="S116" s="318">
        <v>713942</v>
      </c>
      <c r="T116" s="369" t="s">
        <v>333</v>
      </c>
    </row>
    <row r="117" spans="1:20" s="21" customFormat="1" ht="15" customHeight="1" x14ac:dyDescent="0.2">
      <c r="A117" s="179" t="s">
        <v>1443</v>
      </c>
      <c r="B117" s="17">
        <v>109746</v>
      </c>
      <c r="C117" s="365">
        <v>701212</v>
      </c>
      <c r="D117" s="466" t="s">
        <v>1540</v>
      </c>
      <c r="E117" s="17"/>
      <c r="F117" s="16"/>
      <c r="G117" s="267" t="s">
        <v>1423</v>
      </c>
      <c r="H117" s="183" t="str">
        <f t="shared" si="25"/>
        <v>na</v>
      </c>
      <c r="I117" s="17">
        <f t="shared" si="26"/>
        <v>0</v>
      </c>
      <c r="J117" s="113">
        <f>+$J$3*0.99</f>
        <v>2.1186000000000003</v>
      </c>
      <c r="K117" s="325">
        <v>0.25</v>
      </c>
      <c r="L117" s="19">
        <f t="shared" si="20"/>
        <v>1.8686000000000003</v>
      </c>
      <c r="M117" s="325">
        <f t="shared" si="23"/>
        <v>0</v>
      </c>
      <c r="N117" s="112">
        <f t="shared" si="21"/>
        <v>0</v>
      </c>
      <c r="O117" s="112">
        <f t="shared" si="22"/>
        <v>0</v>
      </c>
      <c r="S117" s="318">
        <v>716096</v>
      </c>
      <c r="T117" s="369" t="s">
        <v>333</v>
      </c>
    </row>
    <row r="118" spans="1:20" s="21" customFormat="1" ht="15" customHeight="1" x14ac:dyDescent="0.2">
      <c r="A118" s="179" t="s">
        <v>1443</v>
      </c>
      <c r="B118" s="134"/>
      <c r="C118" s="365">
        <v>730379</v>
      </c>
      <c r="D118" s="466" t="s">
        <v>1540</v>
      </c>
      <c r="E118" s="17"/>
      <c r="F118" s="16"/>
      <c r="G118" s="267" t="s">
        <v>1423</v>
      </c>
      <c r="H118" s="183" t="str">
        <f t="shared" si="25"/>
        <v>na</v>
      </c>
      <c r="I118" s="17">
        <f t="shared" si="26"/>
        <v>0</v>
      </c>
      <c r="J118" s="113">
        <f>+$J$3*0.99</f>
        <v>2.1186000000000003</v>
      </c>
      <c r="K118" s="325">
        <v>0.25</v>
      </c>
      <c r="L118" s="19">
        <f t="shared" si="20"/>
        <v>1.8686000000000003</v>
      </c>
      <c r="M118" s="325">
        <f t="shared" si="23"/>
        <v>0</v>
      </c>
      <c r="N118" s="112">
        <f t="shared" si="21"/>
        <v>0</v>
      </c>
      <c r="O118" s="112">
        <f t="shared" si="22"/>
        <v>0</v>
      </c>
      <c r="S118" s="318">
        <v>716140</v>
      </c>
      <c r="T118" s="470" t="s">
        <v>526</v>
      </c>
    </row>
    <row r="119" spans="1:20" s="21" customFormat="1" ht="15" customHeight="1" x14ac:dyDescent="0.2">
      <c r="A119" s="315" t="s">
        <v>1444</v>
      </c>
      <c r="B119" s="17">
        <v>109780</v>
      </c>
      <c r="C119" s="318">
        <v>723266</v>
      </c>
      <c r="D119" s="470" t="s">
        <v>489</v>
      </c>
      <c r="E119" s="17"/>
      <c r="F119" s="17">
        <v>30953</v>
      </c>
      <c r="G119" s="17" t="s">
        <v>269</v>
      </c>
      <c r="H119" s="183" t="str">
        <f t="shared" si="25"/>
        <v>na</v>
      </c>
      <c r="I119" s="17">
        <f t="shared" si="26"/>
        <v>0</v>
      </c>
      <c r="J119" s="113">
        <f t="shared" ref="J119:J128" si="27">$J$3-0.03</f>
        <v>2.1100000000000003</v>
      </c>
      <c r="K119" s="325">
        <v>0.25</v>
      </c>
      <c r="L119" s="19">
        <f t="shared" si="20"/>
        <v>1.8600000000000003</v>
      </c>
      <c r="M119" s="325">
        <f t="shared" si="23"/>
        <v>0</v>
      </c>
      <c r="N119" s="112">
        <f t="shared" si="21"/>
        <v>0</v>
      </c>
      <c r="O119" s="112">
        <f t="shared" si="22"/>
        <v>0</v>
      </c>
      <c r="S119" s="365">
        <v>716678</v>
      </c>
      <c r="T119" s="466" t="s">
        <v>1517</v>
      </c>
    </row>
    <row r="120" spans="1:20" s="21" customFormat="1" ht="15" customHeight="1" x14ac:dyDescent="0.2">
      <c r="A120" s="315" t="s">
        <v>1444</v>
      </c>
      <c r="B120" s="17"/>
      <c r="C120" s="318">
        <v>719029</v>
      </c>
      <c r="D120" s="470" t="s">
        <v>490</v>
      </c>
      <c r="E120" s="17"/>
      <c r="F120" s="17">
        <v>30953</v>
      </c>
      <c r="G120" s="17" t="s">
        <v>269</v>
      </c>
      <c r="H120" s="183" t="str">
        <f t="shared" si="25"/>
        <v>na</v>
      </c>
      <c r="I120" s="17">
        <f t="shared" si="26"/>
        <v>0</v>
      </c>
      <c r="J120" s="113">
        <f t="shared" si="27"/>
        <v>2.1100000000000003</v>
      </c>
      <c r="K120" s="325">
        <v>0.25</v>
      </c>
      <c r="L120" s="19">
        <f t="shared" si="20"/>
        <v>1.8600000000000003</v>
      </c>
      <c r="M120" s="325">
        <f t="shared" si="23"/>
        <v>0</v>
      </c>
      <c r="N120" s="112">
        <f t="shared" si="21"/>
        <v>0</v>
      </c>
      <c r="O120" s="112">
        <f t="shared" si="22"/>
        <v>0</v>
      </c>
      <c r="S120" s="318">
        <v>716742</v>
      </c>
      <c r="T120" s="470" t="s">
        <v>513</v>
      </c>
    </row>
    <row r="121" spans="1:20" s="21" customFormat="1" ht="15" customHeight="1" x14ac:dyDescent="0.2">
      <c r="A121" s="315" t="s">
        <v>1444</v>
      </c>
      <c r="B121" s="17"/>
      <c r="C121" s="318">
        <v>719157</v>
      </c>
      <c r="D121" s="470" t="s">
        <v>490</v>
      </c>
      <c r="E121" s="17"/>
      <c r="F121" s="17">
        <v>30953</v>
      </c>
      <c r="G121" s="17" t="s">
        <v>269</v>
      </c>
      <c r="H121" s="183" t="str">
        <f t="shared" si="25"/>
        <v>na</v>
      </c>
      <c r="I121" s="17">
        <f t="shared" si="26"/>
        <v>0</v>
      </c>
      <c r="J121" s="113">
        <f t="shared" si="27"/>
        <v>2.1100000000000003</v>
      </c>
      <c r="K121" s="325">
        <v>0.25</v>
      </c>
      <c r="L121" s="19">
        <f t="shared" ref="L121:L156" si="28">+J121-K121</f>
        <v>1.8600000000000003</v>
      </c>
      <c r="M121" s="325">
        <f t="shared" si="23"/>
        <v>0</v>
      </c>
      <c r="N121" s="112">
        <f t="shared" ref="N121:N155" si="29">+L121*I121</f>
        <v>0</v>
      </c>
      <c r="O121" s="112">
        <f t="shared" ref="O121:O155" si="30">(+L121*I121)-M121</f>
        <v>0</v>
      </c>
      <c r="P121" s="90"/>
      <c r="Q121" s="90"/>
      <c r="S121" s="364">
        <v>716781</v>
      </c>
      <c r="T121" s="471" t="s">
        <v>492</v>
      </c>
    </row>
    <row r="122" spans="1:20" s="21" customFormat="1" ht="15" customHeight="1" x14ac:dyDescent="0.2">
      <c r="A122" s="315" t="s">
        <v>1444</v>
      </c>
      <c r="B122" s="17"/>
      <c r="C122" s="318">
        <v>723794</v>
      </c>
      <c r="D122" s="470" t="s">
        <v>490</v>
      </c>
      <c r="E122" s="17"/>
      <c r="F122" s="17">
        <v>30953</v>
      </c>
      <c r="G122" s="17" t="s">
        <v>269</v>
      </c>
      <c r="H122" s="183" t="str">
        <f t="shared" si="25"/>
        <v>na</v>
      </c>
      <c r="I122" s="17">
        <f t="shared" si="26"/>
        <v>0</v>
      </c>
      <c r="J122" s="113">
        <f t="shared" si="27"/>
        <v>2.1100000000000003</v>
      </c>
      <c r="K122" s="325">
        <v>0.25</v>
      </c>
      <c r="L122" s="19">
        <f t="shared" si="28"/>
        <v>1.8600000000000003</v>
      </c>
      <c r="M122" s="325">
        <f t="shared" si="23"/>
        <v>0</v>
      </c>
      <c r="N122" s="112">
        <f t="shared" si="29"/>
        <v>0</v>
      </c>
      <c r="O122" s="112">
        <f t="shared" si="30"/>
        <v>0</v>
      </c>
      <c r="P122" s="90"/>
      <c r="Q122" s="90"/>
      <c r="S122" s="318">
        <v>716865</v>
      </c>
      <c r="T122" s="470" t="s">
        <v>488</v>
      </c>
    </row>
    <row r="123" spans="1:20" s="21" customFormat="1" ht="15" customHeight="1" x14ac:dyDescent="0.2">
      <c r="A123" s="315" t="s">
        <v>491</v>
      </c>
      <c r="B123" s="17"/>
      <c r="C123" s="318">
        <v>732296</v>
      </c>
      <c r="D123" s="470" t="s">
        <v>490</v>
      </c>
      <c r="E123" s="17"/>
      <c r="F123" s="17">
        <v>30953</v>
      </c>
      <c r="G123" s="17" t="s">
        <v>269</v>
      </c>
      <c r="H123" s="183" t="str">
        <f>IF(ISNA(VLOOKUP(C123,gath9909,10,FALSE)),"na",VLOOKUP(C123,gath9909,10,FALSE))</f>
        <v>na</v>
      </c>
      <c r="I123" s="17">
        <f>IF(ISNA(VLOOKUP(C123,gath9909,12,FALSE)),0,(VLOOKUP(C123,gath9909,12,FALSE)))</f>
        <v>0</v>
      </c>
      <c r="J123" s="113">
        <f t="shared" si="27"/>
        <v>2.1100000000000003</v>
      </c>
      <c r="K123" s="325">
        <v>0.25</v>
      </c>
      <c r="L123" s="19">
        <f>+J123-K123</f>
        <v>1.8600000000000003</v>
      </c>
      <c r="M123" s="325">
        <f>IF(H123&gt;=0,I123*0.001,0)</f>
        <v>0</v>
      </c>
      <c r="N123" s="112">
        <f>+L123*I123</f>
        <v>0</v>
      </c>
      <c r="O123" s="112">
        <f t="shared" si="30"/>
        <v>0</v>
      </c>
      <c r="P123" s="90"/>
      <c r="Q123" s="90"/>
      <c r="S123" s="365">
        <v>716959</v>
      </c>
      <c r="T123" s="466" t="s">
        <v>1426</v>
      </c>
    </row>
    <row r="124" spans="1:20" s="21" customFormat="1" ht="15" customHeight="1" x14ac:dyDescent="0.2">
      <c r="A124" s="315" t="s">
        <v>491</v>
      </c>
      <c r="B124" s="17"/>
      <c r="C124" s="318">
        <v>734272</v>
      </c>
      <c r="D124" s="470" t="s">
        <v>490</v>
      </c>
      <c r="E124" s="17"/>
      <c r="F124" s="17">
        <v>30953</v>
      </c>
      <c r="G124" s="17" t="s">
        <v>269</v>
      </c>
      <c r="H124" s="183" t="str">
        <f t="shared" si="25"/>
        <v>na</v>
      </c>
      <c r="I124" s="17">
        <f t="shared" si="26"/>
        <v>0</v>
      </c>
      <c r="J124" s="113">
        <f t="shared" si="27"/>
        <v>2.1100000000000003</v>
      </c>
      <c r="K124" s="325">
        <v>0.25</v>
      </c>
      <c r="L124" s="19">
        <f t="shared" si="28"/>
        <v>1.8600000000000003</v>
      </c>
      <c r="M124" s="325">
        <f t="shared" si="23"/>
        <v>0</v>
      </c>
      <c r="N124" s="112">
        <f t="shared" si="29"/>
        <v>0</v>
      </c>
      <c r="O124" s="112">
        <f t="shared" si="30"/>
        <v>0</v>
      </c>
      <c r="P124" s="90"/>
      <c r="Q124" s="90"/>
      <c r="S124" s="365">
        <v>716989</v>
      </c>
      <c r="T124" s="466" t="s">
        <v>1426</v>
      </c>
    </row>
    <row r="125" spans="1:20" s="21" customFormat="1" ht="15" customHeight="1" x14ac:dyDescent="0.2">
      <c r="A125" s="361" t="s">
        <v>1444</v>
      </c>
      <c r="B125" s="17">
        <v>110379</v>
      </c>
      <c r="C125" s="364">
        <v>716781</v>
      </c>
      <c r="D125" s="471" t="s">
        <v>492</v>
      </c>
      <c r="E125" s="17"/>
      <c r="F125" s="17">
        <v>31418</v>
      </c>
      <c r="G125" s="536" t="s">
        <v>497</v>
      </c>
      <c r="H125" s="488" t="str">
        <f t="shared" si="25"/>
        <v>na</v>
      </c>
      <c r="I125" s="159">
        <f t="shared" si="26"/>
        <v>0</v>
      </c>
      <c r="J125" s="664">
        <f>$J$3</f>
        <v>2.14</v>
      </c>
      <c r="K125" s="325">
        <v>0.25</v>
      </c>
      <c r="L125" s="19">
        <f t="shared" si="28"/>
        <v>1.8900000000000001</v>
      </c>
      <c r="M125" s="325">
        <f t="shared" si="23"/>
        <v>0</v>
      </c>
      <c r="N125" s="112">
        <f t="shared" si="29"/>
        <v>0</v>
      </c>
      <c r="O125" s="112">
        <f t="shared" si="30"/>
        <v>0</v>
      </c>
      <c r="P125" s="90"/>
      <c r="Q125" s="90"/>
      <c r="S125" s="318">
        <v>716991</v>
      </c>
      <c r="T125" s="470" t="s">
        <v>537</v>
      </c>
    </row>
    <row r="126" spans="1:20" s="21" customFormat="1" ht="15" customHeight="1" x14ac:dyDescent="0.2">
      <c r="A126" s="315" t="s">
        <v>1443</v>
      </c>
      <c r="B126" s="17">
        <v>109802</v>
      </c>
      <c r="C126" s="318">
        <v>720229</v>
      </c>
      <c r="D126" s="470" t="s">
        <v>498</v>
      </c>
      <c r="E126" s="17"/>
      <c r="F126" s="17">
        <v>30656</v>
      </c>
      <c r="G126" s="17" t="s">
        <v>269</v>
      </c>
      <c r="H126" s="183" t="str">
        <f t="shared" si="25"/>
        <v>na</v>
      </c>
      <c r="I126" s="17">
        <f t="shared" si="26"/>
        <v>0</v>
      </c>
      <c r="J126" s="113">
        <f t="shared" si="27"/>
        <v>2.1100000000000003</v>
      </c>
      <c r="K126" s="325">
        <v>0.25</v>
      </c>
      <c r="L126" s="19">
        <f t="shared" si="28"/>
        <v>1.8600000000000003</v>
      </c>
      <c r="M126" s="325">
        <f t="shared" si="23"/>
        <v>0</v>
      </c>
      <c r="N126" s="112">
        <f t="shared" si="29"/>
        <v>0</v>
      </c>
      <c r="O126" s="112">
        <f t="shared" si="30"/>
        <v>0</v>
      </c>
      <c r="P126" s="90"/>
      <c r="Q126" s="90"/>
      <c r="S126" s="365">
        <v>717036</v>
      </c>
      <c r="T126" s="466" t="s">
        <v>1426</v>
      </c>
    </row>
    <row r="127" spans="1:20" s="21" customFormat="1" ht="15" customHeight="1" x14ac:dyDescent="0.2">
      <c r="A127" s="315" t="s">
        <v>1443</v>
      </c>
      <c r="B127" s="17">
        <v>113775</v>
      </c>
      <c r="C127" s="318">
        <v>723319</v>
      </c>
      <c r="D127" s="470" t="s">
        <v>498</v>
      </c>
      <c r="E127" s="17"/>
      <c r="F127" s="17">
        <v>30656</v>
      </c>
      <c r="G127" s="17" t="s">
        <v>269</v>
      </c>
      <c r="H127" s="183" t="str">
        <f>IF(ISNA(VLOOKUP(C127,gath9909,10,FALSE)),"na",VLOOKUP(C127,gath9909,10,FALSE))</f>
        <v>na</v>
      </c>
      <c r="I127" s="17">
        <f>IF(ISNA(VLOOKUP(C127,gath9909,12,FALSE)),0,(VLOOKUP(C127,gath9909,12,FALSE)))</f>
        <v>0</v>
      </c>
      <c r="J127" s="113">
        <f t="shared" si="27"/>
        <v>2.1100000000000003</v>
      </c>
      <c r="K127" s="325">
        <v>0.25</v>
      </c>
      <c r="L127" s="19">
        <f>+J127-K127</f>
        <v>1.8600000000000003</v>
      </c>
      <c r="M127" s="325">
        <f>IF(H127&gt;=0,I127*0.001,0)</f>
        <v>0</v>
      </c>
      <c r="N127" s="112">
        <f>+L127*I127</f>
        <v>0</v>
      </c>
      <c r="O127" s="112">
        <f t="shared" si="30"/>
        <v>0</v>
      </c>
      <c r="P127" s="90"/>
      <c r="Q127" s="90"/>
      <c r="S127" s="365">
        <v>717255</v>
      </c>
      <c r="T127" s="466" t="s">
        <v>1602</v>
      </c>
    </row>
    <row r="128" spans="1:20" s="21" customFormat="1" ht="15" customHeight="1" x14ac:dyDescent="0.2">
      <c r="A128" s="315" t="s">
        <v>1443</v>
      </c>
      <c r="B128" s="17">
        <v>113775</v>
      </c>
      <c r="C128" s="318">
        <v>736071</v>
      </c>
      <c r="D128" s="470" t="s">
        <v>498</v>
      </c>
      <c r="E128" s="17"/>
      <c r="F128" s="17">
        <v>30656</v>
      </c>
      <c r="G128" s="17" t="s">
        <v>269</v>
      </c>
      <c r="H128" s="183" t="str">
        <f t="shared" si="25"/>
        <v>na</v>
      </c>
      <c r="I128" s="17">
        <f t="shared" si="26"/>
        <v>0</v>
      </c>
      <c r="J128" s="113">
        <f t="shared" si="27"/>
        <v>2.1100000000000003</v>
      </c>
      <c r="K128" s="325">
        <v>0.25</v>
      </c>
      <c r="L128" s="19">
        <f t="shared" si="28"/>
        <v>1.8600000000000003</v>
      </c>
      <c r="M128" s="325">
        <f t="shared" si="23"/>
        <v>0</v>
      </c>
      <c r="N128" s="112">
        <f t="shared" si="29"/>
        <v>0</v>
      </c>
      <c r="O128" s="112">
        <f t="shared" si="30"/>
        <v>0</v>
      </c>
      <c r="P128" s="90"/>
      <c r="Q128" s="90"/>
      <c r="S128" s="365">
        <v>717292</v>
      </c>
      <c r="T128" s="466" t="s">
        <v>1426</v>
      </c>
    </row>
    <row r="129" spans="1:20" s="21" customFormat="1" ht="15" customHeight="1" x14ac:dyDescent="0.2">
      <c r="A129" s="179" t="s">
        <v>1443</v>
      </c>
      <c r="B129" s="17"/>
      <c r="C129" s="365">
        <v>718234</v>
      </c>
      <c r="D129" s="466" t="s">
        <v>1613</v>
      </c>
      <c r="E129" s="17"/>
      <c r="F129" s="16"/>
      <c r="G129" s="267" t="s">
        <v>1427</v>
      </c>
      <c r="H129" s="183" t="str">
        <f t="shared" si="25"/>
        <v>na</v>
      </c>
      <c r="I129" s="17">
        <f t="shared" si="26"/>
        <v>0</v>
      </c>
      <c r="J129" s="113">
        <f>+$J$3*0.98</f>
        <v>2.0972</v>
      </c>
      <c r="K129" s="325">
        <v>0.25</v>
      </c>
      <c r="L129" s="19">
        <f t="shared" si="28"/>
        <v>1.8472</v>
      </c>
      <c r="M129" s="325">
        <f t="shared" si="23"/>
        <v>0</v>
      </c>
      <c r="N129" s="112">
        <f t="shared" si="29"/>
        <v>0</v>
      </c>
      <c r="O129" s="112">
        <f t="shared" si="30"/>
        <v>0</v>
      </c>
      <c r="P129" s="90"/>
      <c r="Q129" s="90"/>
      <c r="S129" s="318">
        <v>717302</v>
      </c>
      <c r="T129" s="470" t="s">
        <v>518</v>
      </c>
    </row>
    <row r="130" spans="1:20" s="21" customFormat="1" ht="15" customHeight="1" x14ac:dyDescent="0.2">
      <c r="A130" s="179" t="s">
        <v>1443</v>
      </c>
      <c r="B130" s="17">
        <v>109811</v>
      </c>
      <c r="C130" s="365">
        <v>718948</v>
      </c>
      <c r="D130" s="466" t="s">
        <v>1613</v>
      </c>
      <c r="E130" s="17"/>
      <c r="F130" s="16"/>
      <c r="G130" s="267" t="s">
        <v>1427</v>
      </c>
      <c r="H130" s="183" t="str">
        <f t="shared" si="25"/>
        <v>na</v>
      </c>
      <c r="I130" s="17">
        <f t="shared" si="26"/>
        <v>0</v>
      </c>
      <c r="J130" s="113">
        <f>+$J$3*0.98</f>
        <v>2.0972</v>
      </c>
      <c r="K130" s="325">
        <v>0.25</v>
      </c>
      <c r="L130" s="19">
        <f t="shared" si="28"/>
        <v>1.8472</v>
      </c>
      <c r="M130" s="325">
        <f t="shared" si="23"/>
        <v>0</v>
      </c>
      <c r="N130" s="112">
        <f t="shared" si="29"/>
        <v>0</v>
      </c>
      <c r="O130" s="112">
        <f t="shared" si="30"/>
        <v>0</v>
      </c>
      <c r="P130" s="90"/>
      <c r="Q130" s="90"/>
      <c r="S130" s="365">
        <v>717400</v>
      </c>
      <c r="T130" s="466" t="s">
        <v>1426</v>
      </c>
    </row>
    <row r="131" spans="1:20" s="21" customFormat="1" ht="15" customHeight="1" x14ac:dyDescent="0.2">
      <c r="A131" s="179" t="s">
        <v>1443</v>
      </c>
      <c r="B131" s="134"/>
      <c r="C131" s="365">
        <v>733817</v>
      </c>
      <c r="D131" s="466" t="s">
        <v>1704</v>
      </c>
      <c r="E131" s="38"/>
      <c r="F131" s="10"/>
      <c r="G131" s="267" t="s">
        <v>1424</v>
      </c>
      <c r="H131" s="183">
        <f>IF(ISNA(VLOOKUP(C131,gath9909,10,FALSE)),"na",VLOOKUP(C131,gath9909,10,FALSE))</f>
        <v>0</v>
      </c>
      <c r="I131" s="17">
        <f>IF(ISNA(VLOOKUP(C131,gath9909,12,FALSE)),0,(VLOOKUP(C131,gath9909,12,FALSE)))</f>
        <v>0</v>
      </c>
      <c r="J131" s="113">
        <f>+$J$3</f>
        <v>2.14</v>
      </c>
      <c r="K131" s="325">
        <v>0.25</v>
      </c>
      <c r="L131" s="19">
        <f>+J131-K131</f>
        <v>1.8900000000000001</v>
      </c>
      <c r="M131" s="325">
        <f>IF(H131&gt;=0,I131*0.001,0)</f>
        <v>0</v>
      </c>
      <c r="N131" s="112">
        <f>+L131*I131</f>
        <v>0</v>
      </c>
      <c r="O131" s="112">
        <f>(+L131*I131)-M131</f>
        <v>0</v>
      </c>
      <c r="S131" s="365">
        <v>717457</v>
      </c>
      <c r="T131" s="466" t="s">
        <v>1604</v>
      </c>
    </row>
    <row r="132" spans="1:20" s="21" customFormat="1" ht="15" customHeight="1" x14ac:dyDescent="0.2">
      <c r="A132" s="179" t="s">
        <v>1443</v>
      </c>
      <c r="B132" s="134"/>
      <c r="C132" s="366">
        <v>736139</v>
      </c>
      <c r="D132" s="466" t="s">
        <v>1704</v>
      </c>
      <c r="E132" s="38"/>
      <c r="F132" s="10"/>
      <c r="G132" s="267" t="s">
        <v>1424</v>
      </c>
      <c r="H132" s="183">
        <f t="shared" si="25"/>
        <v>0</v>
      </c>
      <c r="I132" s="17">
        <f t="shared" si="26"/>
        <v>0</v>
      </c>
      <c r="J132" s="113">
        <f>+$J$3</f>
        <v>2.14</v>
      </c>
      <c r="K132" s="325">
        <v>0.25</v>
      </c>
      <c r="L132" s="19">
        <f t="shared" si="28"/>
        <v>1.8900000000000001</v>
      </c>
      <c r="M132" s="325">
        <f t="shared" si="23"/>
        <v>0</v>
      </c>
      <c r="N132" s="112">
        <f t="shared" si="29"/>
        <v>0</v>
      </c>
      <c r="O132" s="112">
        <f t="shared" si="30"/>
        <v>0</v>
      </c>
      <c r="P132" s="920" t="s">
        <v>462</v>
      </c>
      <c r="S132" s="365">
        <v>717457</v>
      </c>
      <c r="T132" s="466" t="s">
        <v>1604</v>
      </c>
    </row>
    <row r="133" spans="1:20" s="21" customFormat="1" ht="15" customHeight="1" x14ac:dyDescent="0.2">
      <c r="A133" s="179" t="s">
        <v>1443</v>
      </c>
      <c r="B133" s="17"/>
      <c r="C133" s="365">
        <v>703738</v>
      </c>
      <c r="D133" s="466" t="s">
        <v>1544</v>
      </c>
      <c r="E133" s="38"/>
      <c r="F133" s="10"/>
      <c r="G133" s="267" t="s">
        <v>1710</v>
      </c>
      <c r="H133" s="183" t="str">
        <f t="shared" si="25"/>
        <v>na</v>
      </c>
      <c r="I133" s="17">
        <f t="shared" si="26"/>
        <v>0</v>
      </c>
      <c r="J133" s="113">
        <f>+$J$3*0.93</f>
        <v>1.9902000000000002</v>
      </c>
      <c r="K133" s="325">
        <v>0.25</v>
      </c>
      <c r="L133" s="19">
        <f t="shared" si="28"/>
        <v>1.7402000000000002</v>
      </c>
      <c r="M133" s="325">
        <f t="shared" si="23"/>
        <v>0</v>
      </c>
      <c r="N133" s="112">
        <f t="shared" si="29"/>
        <v>0</v>
      </c>
      <c r="O133" s="112">
        <f t="shared" si="30"/>
        <v>0</v>
      </c>
      <c r="S133" s="365">
        <v>717602</v>
      </c>
      <c r="T133" s="466" t="s">
        <v>1605</v>
      </c>
    </row>
    <row r="134" spans="1:20" s="21" customFormat="1" ht="15" customHeight="1" x14ac:dyDescent="0.2">
      <c r="A134" s="179" t="s">
        <v>1443</v>
      </c>
      <c r="B134" s="17">
        <v>113829</v>
      </c>
      <c r="C134" s="365">
        <v>722101</v>
      </c>
      <c r="D134" s="695" t="s">
        <v>1297</v>
      </c>
      <c r="E134" s="466" t="s">
        <v>1664</v>
      </c>
      <c r="F134" s="16"/>
      <c r="G134" s="267" t="s">
        <v>1427</v>
      </c>
      <c r="H134" s="183" t="str">
        <f t="shared" ref="H134:H160" si="31">IF(ISNA(VLOOKUP(C134,gath9909,10,FALSE)),"na",VLOOKUP(C134,gath9909,10,FALSE))</f>
        <v>na</v>
      </c>
      <c r="I134" s="17">
        <f t="shared" ref="I134:I160" si="32">IF(ISNA(VLOOKUP(C134,gath9909,12,FALSE)),0,(VLOOKUP(C134,gath9909,12,FALSE)))</f>
        <v>0</v>
      </c>
      <c r="J134" s="113">
        <f>+$J$3*0.98</f>
        <v>2.0972</v>
      </c>
      <c r="K134" s="325">
        <v>0.25</v>
      </c>
      <c r="L134" s="19">
        <f t="shared" si="28"/>
        <v>1.8472</v>
      </c>
      <c r="M134" s="325">
        <f t="shared" si="23"/>
        <v>0</v>
      </c>
      <c r="N134" s="112">
        <f t="shared" si="29"/>
        <v>0</v>
      </c>
      <c r="O134" s="112">
        <f t="shared" si="30"/>
        <v>0</v>
      </c>
      <c r="S134" s="318">
        <v>717621</v>
      </c>
      <c r="T134" s="470" t="s">
        <v>485</v>
      </c>
    </row>
    <row r="135" spans="1:20" s="21" customFormat="1" ht="15" customHeight="1" x14ac:dyDescent="0.2">
      <c r="A135" s="315" t="s">
        <v>1443</v>
      </c>
      <c r="B135" s="17">
        <v>109803</v>
      </c>
      <c r="C135" s="318">
        <v>731657</v>
      </c>
      <c r="D135" s="466" t="s">
        <v>1502</v>
      </c>
      <c r="E135" s="17"/>
      <c r="F135" s="17">
        <v>30951</v>
      </c>
      <c r="G135" s="267" t="s">
        <v>1424</v>
      </c>
      <c r="H135" s="183" t="str">
        <f t="shared" si="31"/>
        <v>na</v>
      </c>
      <c r="I135" s="17">
        <f t="shared" si="32"/>
        <v>0</v>
      </c>
      <c r="J135" s="113">
        <f t="shared" ref="J135:J145" si="33">+$J$3</f>
        <v>2.14</v>
      </c>
      <c r="K135" s="325">
        <v>0.25</v>
      </c>
      <c r="L135" s="19">
        <f t="shared" si="28"/>
        <v>1.8900000000000001</v>
      </c>
      <c r="M135" s="325">
        <f t="shared" si="23"/>
        <v>0</v>
      </c>
      <c r="N135" s="112">
        <f t="shared" si="29"/>
        <v>0</v>
      </c>
      <c r="O135" s="112">
        <f t="shared" si="30"/>
        <v>0</v>
      </c>
      <c r="P135" s="21">
        <v>2.25</v>
      </c>
      <c r="S135" s="365">
        <v>717622</v>
      </c>
      <c r="T135" s="466" t="s">
        <v>1604</v>
      </c>
    </row>
    <row r="136" spans="1:20" s="21" customFormat="1" ht="15" customHeight="1" x14ac:dyDescent="0.2">
      <c r="A136" s="179" t="s">
        <v>1443</v>
      </c>
      <c r="B136" s="17">
        <v>113922</v>
      </c>
      <c r="C136" s="365">
        <v>720583</v>
      </c>
      <c r="D136" s="466" t="s">
        <v>1502</v>
      </c>
      <c r="E136" s="17"/>
      <c r="F136" s="16"/>
      <c r="G136" s="267" t="s">
        <v>1424</v>
      </c>
      <c r="H136" s="183" t="str">
        <f t="shared" si="31"/>
        <v>na</v>
      </c>
      <c r="I136" s="17">
        <f t="shared" si="32"/>
        <v>0</v>
      </c>
      <c r="J136" s="113">
        <f t="shared" si="33"/>
        <v>2.14</v>
      </c>
      <c r="K136" s="325">
        <v>0.25</v>
      </c>
      <c r="L136" s="19">
        <f t="shared" si="28"/>
        <v>1.8900000000000001</v>
      </c>
      <c r="M136" s="325">
        <f t="shared" si="23"/>
        <v>0</v>
      </c>
      <c r="N136" s="112">
        <f t="shared" si="29"/>
        <v>0</v>
      </c>
      <c r="O136" s="112">
        <f t="shared" si="30"/>
        <v>0</v>
      </c>
      <c r="S136" s="365">
        <v>717694</v>
      </c>
      <c r="T136" s="466" t="s">
        <v>1426</v>
      </c>
    </row>
    <row r="137" spans="1:20" s="21" customFormat="1" ht="15" customHeight="1" x14ac:dyDescent="0.2">
      <c r="A137" s="179" t="s">
        <v>1443</v>
      </c>
      <c r="B137" s="17">
        <v>109784</v>
      </c>
      <c r="C137" s="365">
        <v>722238</v>
      </c>
      <c r="D137" s="466" t="s">
        <v>1502</v>
      </c>
      <c r="E137" s="17"/>
      <c r="F137" s="16"/>
      <c r="G137" s="267" t="s">
        <v>1424</v>
      </c>
      <c r="H137" s="183" t="str">
        <f t="shared" si="31"/>
        <v>na</v>
      </c>
      <c r="I137" s="17">
        <f t="shared" si="32"/>
        <v>0</v>
      </c>
      <c r="J137" s="113">
        <f t="shared" si="33"/>
        <v>2.14</v>
      </c>
      <c r="K137" s="325">
        <v>0.25</v>
      </c>
      <c r="L137" s="19">
        <f t="shared" si="28"/>
        <v>1.8900000000000001</v>
      </c>
      <c r="M137" s="325">
        <f t="shared" si="23"/>
        <v>0</v>
      </c>
      <c r="N137" s="112">
        <f t="shared" si="29"/>
        <v>0</v>
      </c>
      <c r="O137" s="112">
        <f t="shared" si="30"/>
        <v>0</v>
      </c>
      <c r="S137" s="365">
        <v>717786</v>
      </c>
      <c r="T137" s="466" t="s">
        <v>1499</v>
      </c>
    </row>
    <row r="138" spans="1:20" s="21" customFormat="1" ht="15" customHeight="1" x14ac:dyDescent="0.2">
      <c r="A138" s="179" t="s">
        <v>1443</v>
      </c>
      <c r="B138" s="17">
        <v>113626</v>
      </c>
      <c r="C138" s="437">
        <v>722443</v>
      </c>
      <c r="D138" s="466" t="s">
        <v>1502</v>
      </c>
      <c r="E138" s="17"/>
      <c r="F138" s="16"/>
      <c r="G138" s="267" t="s">
        <v>1424</v>
      </c>
      <c r="H138" s="183" t="str">
        <f t="shared" si="31"/>
        <v>na</v>
      </c>
      <c r="I138" s="17">
        <f t="shared" si="32"/>
        <v>0</v>
      </c>
      <c r="J138" s="113">
        <f t="shared" si="33"/>
        <v>2.14</v>
      </c>
      <c r="K138" s="325">
        <v>0.25</v>
      </c>
      <c r="L138" s="19">
        <f t="shared" si="28"/>
        <v>1.8900000000000001</v>
      </c>
      <c r="M138" s="325">
        <f t="shared" si="23"/>
        <v>0</v>
      </c>
      <c r="N138" s="112">
        <f t="shared" si="29"/>
        <v>0</v>
      </c>
      <c r="O138" s="112">
        <f t="shared" si="30"/>
        <v>0</v>
      </c>
      <c r="S138" s="365">
        <v>717787</v>
      </c>
      <c r="T138" s="466" t="s">
        <v>1426</v>
      </c>
    </row>
    <row r="139" spans="1:20" s="21" customFormat="1" ht="15" customHeight="1" x14ac:dyDescent="0.2">
      <c r="A139" s="179" t="s">
        <v>1443</v>
      </c>
      <c r="B139" s="17">
        <v>113626</v>
      </c>
      <c r="C139" s="365">
        <v>722444</v>
      </c>
      <c r="D139" s="466" t="s">
        <v>1502</v>
      </c>
      <c r="E139" s="17"/>
      <c r="F139" s="16"/>
      <c r="G139" s="267" t="s">
        <v>1424</v>
      </c>
      <c r="H139" s="183" t="str">
        <f t="shared" si="31"/>
        <v>na</v>
      </c>
      <c r="I139" s="17">
        <f t="shared" si="32"/>
        <v>0</v>
      </c>
      <c r="J139" s="113">
        <f t="shared" si="33"/>
        <v>2.14</v>
      </c>
      <c r="K139" s="325">
        <v>0.25</v>
      </c>
      <c r="L139" s="19">
        <f t="shared" si="28"/>
        <v>1.8900000000000001</v>
      </c>
      <c r="M139" s="325">
        <f t="shared" si="23"/>
        <v>0</v>
      </c>
      <c r="N139" s="112">
        <f t="shared" si="29"/>
        <v>0</v>
      </c>
      <c r="O139" s="112">
        <f t="shared" si="30"/>
        <v>0</v>
      </c>
      <c r="S139" s="318">
        <v>717836</v>
      </c>
      <c r="T139" s="470" t="s">
        <v>486</v>
      </c>
    </row>
    <row r="140" spans="1:20" s="21" customFormat="1" ht="15" customHeight="1" x14ac:dyDescent="0.2">
      <c r="A140" s="179" t="s">
        <v>1443</v>
      </c>
      <c r="B140" s="17">
        <v>113885</v>
      </c>
      <c r="C140" s="365">
        <v>722897</v>
      </c>
      <c r="D140" s="466" t="s">
        <v>1502</v>
      </c>
      <c r="E140" s="17"/>
      <c r="F140" s="16"/>
      <c r="G140" s="267" t="s">
        <v>1424</v>
      </c>
      <c r="H140" s="183" t="str">
        <f t="shared" si="31"/>
        <v>na</v>
      </c>
      <c r="I140" s="17">
        <f t="shared" si="32"/>
        <v>0</v>
      </c>
      <c r="J140" s="113">
        <f t="shared" si="33"/>
        <v>2.14</v>
      </c>
      <c r="K140" s="325">
        <v>0.25</v>
      </c>
      <c r="L140" s="19">
        <f t="shared" si="28"/>
        <v>1.8900000000000001</v>
      </c>
      <c r="M140" s="325">
        <f t="shared" si="23"/>
        <v>0</v>
      </c>
      <c r="N140" s="112">
        <f t="shared" si="29"/>
        <v>0</v>
      </c>
      <c r="O140" s="112">
        <f t="shared" si="30"/>
        <v>0</v>
      </c>
      <c r="S140" s="365">
        <v>717873</v>
      </c>
      <c r="T140" s="466" t="s">
        <v>1608</v>
      </c>
    </row>
    <row r="141" spans="1:20" s="21" customFormat="1" ht="15" customHeight="1" x14ac:dyDescent="0.2">
      <c r="A141" s="179" t="s">
        <v>1443</v>
      </c>
      <c r="B141" s="17">
        <v>119527</v>
      </c>
      <c r="C141" s="365">
        <v>722988</v>
      </c>
      <c r="D141" s="466" t="s">
        <v>1502</v>
      </c>
      <c r="E141" s="17"/>
      <c r="F141" s="16"/>
      <c r="G141" s="267" t="s">
        <v>1424</v>
      </c>
      <c r="H141" s="183" t="str">
        <f t="shared" si="31"/>
        <v>na</v>
      </c>
      <c r="I141" s="17">
        <f t="shared" si="32"/>
        <v>0</v>
      </c>
      <c r="J141" s="113">
        <f t="shared" si="33"/>
        <v>2.14</v>
      </c>
      <c r="K141" s="325">
        <v>0.25</v>
      </c>
      <c r="L141" s="19">
        <f t="shared" si="28"/>
        <v>1.8900000000000001</v>
      </c>
      <c r="M141" s="325">
        <f t="shared" si="23"/>
        <v>0</v>
      </c>
      <c r="N141" s="112">
        <f t="shared" si="29"/>
        <v>0</v>
      </c>
      <c r="O141" s="112">
        <f t="shared" si="30"/>
        <v>0</v>
      </c>
      <c r="S141" s="365">
        <v>717883</v>
      </c>
      <c r="T141" s="466" t="s">
        <v>1610</v>
      </c>
    </row>
    <row r="142" spans="1:20" s="21" customFormat="1" ht="15" customHeight="1" x14ac:dyDescent="0.2">
      <c r="A142" s="179" t="s">
        <v>1443</v>
      </c>
      <c r="B142" s="17"/>
      <c r="C142" s="365">
        <v>723973</v>
      </c>
      <c r="D142" s="466" t="s">
        <v>1502</v>
      </c>
      <c r="E142" s="17"/>
      <c r="F142" s="16"/>
      <c r="G142" s="267" t="s">
        <v>1424</v>
      </c>
      <c r="H142" s="183" t="str">
        <f t="shared" si="31"/>
        <v>na</v>
      </c>
      <c r="I142" s="17">
        <f t="shared" si="32"/>
        <v>0</v>
      </c>
      <c r="J142" s="113">
        <f t="shared" si="33"/>
        <v>2.14</v>
      </c>
      <c r="K142" s="325">
        <v>0.25</v>
      </c>
      <c r="L142" s="19">
        <f t="shared" si="28"/>
        <v>1.8900000000000001</v>
      </c>
      <c r="M142" s="325">
        <f t="shared" si="23"/>
        <v>0</v>
      </c>
      <c r="N142" s="112">
        <f t="shared" si="29"/>
        <v>0</v>
      </c>
      <c r="O142" s="112">
        <f t="shared" si="30"/>
        <v>0</v>
      </c>
      <c r="S142" s="365">
        <v>717887</v>
      </c>
      <c r="T142" s="466" t="s">
        <v>1610</v>
      </c>
    </row>
    <row r="143" spans="1:20" s="21" customFormat="1" ht="15" customHeight="1" x14ac:dyDescent="0.2">
      <c r="A143" s="179" t="s">
        <v>1443</v>
      </c>
      <c r="B143" s="17"/>
      <c r="C143" s="365">
        <v>727682</v>
      </c>
      <c r="D143" s="466" t="s">
        <v>1502</v>
      </c>
      <c r="E143" s="17"/>
      <c r="F143" s="16"/>
      <c r="G143" s="267" t="s">
        <v>1424</v>
      </c>
      <c r="H143" s="183" t="str">
        <f t="shared" si="31"/>
        <v>na</v>
      </c>
      <c r="I143" s="17">
        <f t="shared" si="32"/>
        <v>0</v>
      </c>
      <c r="J143" s="113">
        <f t="shared" si="33"/>
        <v>2.14</v>
      </c>
      <c r="K143" s="325">
        <v>0.25</v>
      </c>
      <c r="L143" s="19">
        <f t="shared" si="28"/>
        <v>1.8900000000000001</v>
      </c>
      <c r="M143" s="325">
        <f t="shared" si="23"/>
        <v>0</v>
      </c>
      <c r="N143" s="112">
        <f t="shared" si="29"/>
        <v>0</v>
      </c>
      <c r="O143" s="112">
        <f t="shared" si="30"/>
        <v>0</v>
      </c>
      <c r="S143" s="365">
        <v>717889</v>
      </c>
      <c r="T143" s="466" t="s">
        <v>1717</v>
      </c>
    </row>
    <row r="144" spans="1:20" s="21" customFormat="1" ht="15" customHeight="1" x14ac:dyDescent="0.2">
      <c r="A144" s="179" t="s">
        <v>1443</v>
      </c>
      <c r="B144" s="134"/>
      <c r="C144" s="365">
        <v>730098</v>
      </c>
      <c r="D144" s="466" t="s">
        <v>1502</v>
      </c>
      <c r="E144" s="17"/>
      <c r="F144" s="16"/>
      <c r="G144" s="267" t="s">
        <v>1424</v>
      </c>
      <c r="H144" s="183" t="str">
        <f t="shared" si="31"/>
        <v>na</v>
      </c>
      <c r="I144" s="17">
        <f t="shared" si="32"/>
        <v>0</v>
      </c>
      <c r="J144" s="113">
        <f t="shared" si="33"/>
        <v>2.14</v>
      </c>
      <c r="K144" s="325">
        <v>0.25</v>
      </c>
      <c r="L144" s="19">
        <f>+J144-K144</f>
        <v>1.8900000000000001</v>
      </c>
      <c r="M144" s="325">
        <f>IF(H144&gt;=0,I144*0.001,0)</f>
        <v>0</v>
      </c>
      <c r="N144" s="112">
        <f>+L144*I144</f>
        <v>0</v>
      </c>
      <c r="O144" s="112">
        <f>(+L144*I144)-M144</f>
        <v>0</v>
      </c>
      <c r="S144" s="365">
        <v>717913</v>
      </c>
      <c r="T144" s="466" t="s">
        <v>1610</v>
      </c>
    </row>
    <row r="145" spans="1:20" s="21" customFormat="1" ht="15" customHeight="1" x14ac:dyDescent="0.2">
      <c r="A145" s="179" t="s">
        <v>1443</v>
      </c>
      <c r="B145" s="134"/>
      <c r="C145" s="366">
        <v>736118</v>
      </c>
      <c r="D145" s="751" t="s">
        <v>1502</v>
      </c>
      <c r="E145" s="17"/>
      <c r="F145" s="16"/>
      <c r="G145" s="267" t="s">
        <v>1424</v>
      </c>
      <c r="H145" s="183" t="str">
        <f t="shared" si="31"/>
        <v>na</v>
      </c>
      <c r="I145" s="17">
        <f t="shared" si="32"/>
        <v>0</v>
      </c>
      <c r="J145" s="113">
        <f t="shared" si="33"/>
        <v>2.14</v>
      </c>
      <c r="K145" s="325">
        <v>0.25</v>
      </c>
      <c r="L145" s="19">
        <f t="shared" si="28"/>
        <v>1.8900000000000001</v>
      </c>
      <c r="M145" s="325">
        <f t="shared" si="23"/>
        <v>0</v>
      </c>
      <c r="N145" s="112">
        <f t="shared" si="29"/>
        <v>0</v>
      </c>
      <c r="O145" s="112">
        <f t="shared" si="30"/>
        <v>0</v>
      </c>
      <c r="S145" s="365">
        <v>717913</v>
      </c>
      <c r="T145" s="466" t="s">
        <v>1610</v>
      </c>
    </row>
    <row r="146" spans="1:20" s="21" customFormat="1" ht="15" customHeight="1" x14ac:dyDescent="0.2">
      <c r="A146" s="179" t="s">
        <v>1443</v>
      </c>
      <c r="B146" s="17"/>
      <c r="C146" s="365">
        <v>727607</v>
      </c>
      <c r="D146" s="466" t="s">
        <v>1518</v>
      </c>
      <c r="E146" s="17"/>
      <c r="F146" s="16"/>
      <c r="G146" s="267" t="s">
        <v>1423</v>
      </c>
      <c r="H146" s="183" t="str">
        <f t="shared" si="31"/>
        <v>na</v>
      </c>
      <c r="I146" s="17">
        <f t="shared" si="32"/>
        <v>0</v>
      </c>
      <c r="J146" s="113">
        <f>+$J$3*0.99</f>
        <v>2.1186000000000003</v>
      </c>
      <c r="K146" s="325">
        <v>0.25</v>
      </c>
      <c r="L146" s="19">
        <f t="shared" si="28"/>
        <v>1.8686000000000003</v>
      </c>
      <c r="M146" s="325">
        <f t="shared" si="23"/>
        <v>0</v>
      </c>
      <c r="N146" s="112">
        <f t="shared" si="29"/>
        <v>0</v>
      </c>
      <c r="O146" s="112">
        <f t="shared" si="30"/>
        <v>0</v>
      </c>
      <c r="S146" s="365">
        <v>717924</v>
      </c>
      <c r="T146" s="466" t="s">
        <v>1426</v>
      </c>
    </row>
    <row r="147" spans="1:20" s="21" customFormat="1" ht="15" customHeight="1" x14ac:dyDescent="0.2">
      <c r="A147" s="179" t="s">
        <v>1443</v>
      </c>
      <c r="B147" s="75">
        <v>113632</v>
      </c>
      <c r="C147" s="365">
        <v>706480</v>
      </c>
      <c r="D147" s="476" t="s">
        <v>1288</v>
      </c>
      <c r="E147" s="476" t="s">
        <v>1559</v>
      </c>
      <c r="F147" s="187" t="s">
        <v>1688</v>
      </c>
      <c r="G147" s="267" t="s">
        <v>1456</v>
      </c>
      <c r="H147" s="183">
        <f t="shared" si="31"/>
        <v>0</v>
      </c>
      <c r="I147" s="17">
        <f t="shared" si="32"/>
        <v>0</v>
      </c>
      <c r="J147" s="113">
        <f>+$J$3*0.95</f>
        <v>2.0329999999999999</v>
      </c>
      <c r="K147" s="325">
        <v>0.25</v>
      </c>
      <c r="L147" s="19">
        <f t="shared" si="28"/>
        <v>1.7829999999999999</v>
      </c>
      <c r="M147" s="325">
        <f t="shared" si="23"/>
        <v>0</v>
      </c>
      <c r="N147" s="112">
        <f t="shared" si="29"/>
        <v>0</v>
      </c>
      <c r="O147" s="112">
        <f t="shared" si="30"/>
        <v>0</v>
      </c>
      <c r="S147" s="365">
        <v>720507</v>
      </c>
      <c r="T147" s="466" t="s">
        <v>1426</v>
      </c>
    </row>
    <row r="148" spans="1:20" s="21" customFormat="1" ht="15" customHeight="1" x14ac:dyDescent="0.2">
      <c r="A148" s="179" t="s">
        <v>1443</v>
      </c>
      <c r="B148" s="134"/>
      <c r="C148" s="365">
        <v>734237</v>
      </c>
      <c r="D148" s="466" t="s">
        <v>1706</v>
      </c>
      <c r="E148" s="17"/>
      <c r="F148" s="16"/>
      <c r="G148" s="17"/>
      <c r="H148" s="183">
        <f t="shared" si="31"/>
        <v>0</v>
      </c>
      <c r="I148" s="17">
        <f t="shared" si="32"/>
        <v>0</v>
      </c>
      <c r="J148" s="113">
        <f>+$J$3*0.98</f>
        <v>2.0972</v>
      </c>
      <c r="K148" s="325">
        <v>0.25</v>
      </c>
      <c r="L148" s="19">
        <f t="shared" si="28"/>
        <v>1.8472</v>
      </c>
      <c r="M148" s="325">
        <f t="shared" si="23"/>
        <v>0</v>
      </c>
      <c r="N148" s="112">
        <f t="shared" si="29"/>
        <v>0</v>
      </c>
      <c r="O148" s="112">
        <f t="shared" si="30"/>
        <v>0</v>
      </c>
      <c r="S148" s="365">
        <v>717941</v>
      </c>
      <c r="T148" s="466" t="s">
        <v>1610</v>
      </c>
    </row>
    <row r="149" spans="1:20" s="21" customFormat="1" ht="15" customHeight="1" x14ac:dyDescent="0.2">
      <c r="A149" s="315" t="s">
        <v>1443</v>
      </c>
      <c r="B149" s="17">
        <v>109762</v>
      </c>
      <c r="C149" s="318">
        <v>712686</v>
      </c>
      <c r="D149" s="369" t="s">
        <v>333</v>
      </c>
      <c r="E149" s="17"/>
      <c r="F149" s="17">
        <v>63690</v>
      </c>
      <c r="G149" s="17" t="s">
        <v>1421</v>
      </c>
      <c r="H149" s="183" t="str">
        <f t="shared" si="31"/>
        <v>na</v>
      </c>
      <c r="I149" s="17">
        <f t="shared" si="32"/>
        <v>0</v>
      </c>
      <c r="J149" s="113">
        <f t="shared" ref="J149:J154" si="34">+$J$3*0.97</f>
        <v>2.0758000000000001</v>
      </c>
      <c r="K149" s="325">
        <v>0.25</v>
      </c>
      <c r="L149" s="19">
        <f t="shared" si="28"/>
        <v>1.8258000000000001</v>
      </c>
      <c r="M149" s="325">
        <f t="shared" si="23"/>
        <v>0</v>
      </c>
      <c r="N149" s="112">
        <f t="shared" si="29"/>
        <v>0</v>
      </c>
      <c r="O149" s="112">
        <f t="shared" si="30"/>
        <v>0</v>
      </c>
      <c r="S149" s="318">
        <v>717951</v>
      </c>
      <c r="T149" s="369" t="s">
        <v>333</v>
      </c>
    </row>
    <row r="150" spans="1:20" s="21" customFormat="1" ht="15" customHeight="1" x14ac:dyDescent="0.2">
      <c r="A150" s="315" t="s">
        <v>1443</v>
      </c>
      <c r="B150" s="17">
        <v>113790</v>
      </c>
      <c r="C150" s="318">
        <v>712935</v>
      </c>
      <c r="D150" s="369" t="s">
        <v>333</v>
      </c>
      <c r="E150" s="17"/>
      <c r="F150" s="17">
        <v>63690</v>
      </c>
      <c r="G150" s="17" t="s">
        <v>1421</v>
      </c>
      <c r="H150" s="183" t="str">
        <f t="shared" si="31"/>
        <v>na</v>
      </c>
      <c r="I150" s="17">
        <f t="shared" si="32"/>
        <v>0</v>
      </c>
      <c r="J150" s="113">
        <f t="shared" si="34"/>
        <v>2.0758000000000001</v>
      </c>
      <c r="K150" s="325">
        <v>0.25</v>
      </c>
      <c r="L150" s="19">
        <f t="shared" si="28"/>
        <v>1.8258000000000001</v>
      </c>
      <c r="M150" s="325">
        <f t="shared" si="23"/>
        <v>0</v>
      </c>
      <c r="N150" s="112">
        <f t="shared" si="29"/>
        <v>0</v>
      </c>
      <c r="O150" s="112">
        <f t="shared" si="30"/>
        <v>0</v>
      </c>
      <c r="S150" s="365">
        <v>717958</v>
      </c>
      <c r="T150" s="466" t="s">
        <v>1610</v>
      </c>
    </row>
    <row r="151" spans="1:20" s="21" customFormat="1" ht="15" customHeight="1" x14ac:dyDescent="0.2">
      <c r="A151" s="315" t="s">
        <v>1443</v>
      </c>
      <c r="B151" s="17">
        <v>113791</v>
      </c>
      <c r="C151" s="318">
        <v>713942</v>
      </c>
      <c r="D151" s="369" t="s">
        <v>333</v>
      </c>
      <c r="E151" s="17"/>
      <c r="F151" s="17">
        <v>63690</v>
      </c>
      <c r="G151" s="17" t="s">
        <v>1421</v>
      </c>
      <c r="H151" s="183" t="str">
        <f t="shared" si="31"/>
        <v>na</v>
      </c>
      <c r="I151" s="17">
        <f t="shared" si="32"/>
        <v>0</v>
      </c>
      <c r="J151" s="113">
        <f t="shared" si="34"/>
        <v>2.0758000000000001</v>
      </c>
      <c r="K151" s="325">
        <v>0.25</v>
      </c>
      <c r="L151" s="19">
        <f t="shared" si="28"/>
        <v>1.8258000000000001</v>
      </c>
      <c r="M151" s="325">
        <f t="shared" si="23"/>
        <v>0</v>
      </c>
      <c r="N151" s="112">
        <f t="shared" si="29"/>
        <v>0</v>
      </c>
      <c r="O151" s="112">
        <f t="shared" si="30"/>
        <v>0</v>
      </c>
      <c r="S151" s="318">
        <v>718123</v>
      </c>
      <c r="T151" s="470" t="s">
        <v>521</v>
      </c>
    </row>
    <row r="152" spans="1:20" s="21" customFormat="1" ht="15" customHeight="1" x14ac:dyDescent="0.2">
      <c r="A152" s="315" t="s">
        <v>1443</v>
      </c>
      <c r="B152" s="17">
        <v>113792</v>
      </c>
      <c r="C152" s="318">
        <v>716096</v>
      </c>
      <c r="D152" s="369" t="s">
        <v>333</v>
      </c>
      <c r="E152" s="17"/>
      <c r="F152" s="17">
        <v>63690</v>
      </c>
      <c r="G152" s="17" t="s">
        <v>1421</v>
      </c>
      <c r="H152" s="183" t="str">
        <f t="shared" si="31"/>
        <v>na</v>
      </c>
      <c r="I152" s="17">
        <f t="shared" si="32"/>
        <v>0</v>
      </c>
      <c r="J152" s="113">
        <f t="shared" si="34"/>
        <v>2.0758000000000001</v>
      </c>
      <c r="K152" s="325">
        <v>0.25</v>
      </c>
      <c r="L152" s="19">
        <f t="shared" si="28"/>
        <v>1.8258000000000001</v>
      </c>
      <c r="M152" s="325">
        <f t="shared" si="23"/>
        <v>0</v>
      </c>
      <c r="N152" s="112">
        <f t="shared" si="29"/>
        <v>0</v>
      </c>
      <c r="O152" s="112">
        <f t="shared" si="30"/>
        <v>0</v>
      </c>
      <c r="P152" s="90"/>
      <c r="Q152" s="90"/>
      <c r="S152" s="365">
        <v>718180</v>
      </c>
      <c r="T152" s="466" t="s">
        <v>1717</v>
      </c>
    </row>
    <row r="153" spans="1:20" s="21" customFormat="1" ht="15" customHeight="1" x14ac:dyDescent="0.2">
      <c r="A153" s="315" t="s">
        <v>1443</v>
      </c>
      <c r="B153" s="17"/>
      <c r="C153" s="318">
        <v>717753</v>
      </c>
      <c r="D153" s="369" t="s">
        <v>333</v>
      </c>
      <c r="E153" s="17"/>
      <c r="F153" s="17">
        <v>63690</v>
      </c>
      <c r="G153" s="17" t="s">
        <v>1421</v>
      </c>
      <c r="H153" s="183" t="str">
        <f t="shared" si="31"/>
        <v>na</v>
      </c>
      <c r="I153" s="17">
        <f t="shared" si="32"/>
        <v>0</v>
      </c>
      <c r="J153" s="113">
        <f t="shared" si="34"/>
        <v>2.0758000000000001</v>
      </c>
      <c r="K153" s="325">
        <v>0.25</v>
      </c>
      <c r="L153" s="19">
        <f t="shared" si="28"/>
        <v>1.8258000000000001</v>
      </c>
      <c r="M153" s="325">
        <f t="shared" si="23"/>
        <v>0</v>
      </c>
      <c r="N153" s="112">
        <f t="shared" si="29"/>
        <v>0</v>
      </c>
      <c r="O153" s="112">
        <f t="shared" si="30"/>
        <v>0</v>
      </c>
      <c r="P153" s="90"/>
      <c r="Q153" s="90"/>
      <c r="S153" s="365">
        <v>718234</v>
      </c>
      <c r="T153" s="466" t="s">
        <v>1613</v>
      </c>
    </row>
    <row r="154" spans="1:20" s="21" customFormat="1" ht="15" customHeight="1" x14ac:dyDescent="0.2">
      <c r="A154" s="315" t="s">
        <v>1443</v>
      </c>
      <c r="B154" s="17">
        <v>113794</v>
      </c>
      <c r="C154" s="318">
        <v>717951</v>
      </c>
      <c r="D154" s="369" t="s">
        <v>333</v>
      </c>
      <c r="E154" s="17"/>
      <c r="F154" s="17">
        <v>63690</v>
      </c>
      <c r="G154" s="17" t="s">
        <v>1421</v>
      </c>
      <c r="H154" s="183" t="str">
        <f t="shared" si="31"/>
        <v>na</v>
      </c>
      <c r="I154" s="17">
        <f t="shared" si="32"/>
        <v>0</v>
      </c>
      <c r="J154" s="113">
        <f t="shared" si="34"/>
        <v>2.0758000000000001</v>
      </c>
      <c r="K154" s="325">
        <v>0.25</v>
      </c>
      <c r="L154" s="19">
        <f t="shared" si="28"/>
        <v>1.8258000000000001</v>
      </c>
      <c r="M154" s="325">
        <f t="shared" si="23"/>
        <v>0</v>
      </c>
      <c r="N154" s="112">
        <f t="shared" si="29"/>
        <v>0</v>
      </c>
      <c r="O154" s="112">
        <f t="shared" si="30"/>
        <v>0</v>
      </c>
      <c r="P154" s="90"/>
      <c r="Q154" s="90"/>
      <c r="S154" s="318">
        <v>718274</v>
      </c>
      <c r="T154" s="470" t="s">
        <v>1445</v>
      </c>
    </row>
    <row r="155" spans="1:20" s="21" customFormat="1" ht="15" customHeight="1" x14ac:dyDescent="0.2">
      <c r="A155" s="315" t="s">
        <v>1444</v>
      </c>
      <c r="B155" s="17">
        <v>119529</v>
      </c>
      <c r="C155" s="318">
        <v>730081</v>
      </c>
      <c r="D155" s="470" t="s">
        <v>1448</v>
      </c>
      <c r="E155" s="17"/>
      <c r="F155" s="17">
        <v>37823</v>
      </c>
      <c r="G155" s="17" t="s">
        <v>1423</v>
      </c>
      <c r="H155" s="183" t="str">
        <f t="shared" si="31"/>
        <v>na</v>
      </c>
      <c r="I155" s="17">
        <f t="shared" si="32"/>
        <v>0</v>
      </c>
      <c r="J155" s="113">
        <f>+$J$3*0.99</f>
        <v>2.1186000000000003</v>
      </c>
      <c r="K155" s="325">
        <v>0.25</v>
      </c>
      <c r="L155" s="19">
        <f t="shared" si="28"/>
        <v>1.8686000000000003</v>
      </c>
      <c r="M155" s="325">
        <f t="shared" si="23"/>
        <v>0</v>
      </c>
      <c r="N155" s="112">
        <f t="shared" si="29"/>
        <v>0</v>
      </c>
      <c r="O155" s="112">
        <f t="shared" si="30"/>
        <v>0</v>
      </c>
      <c r="P155" s="90"/>
      <c r="Q155" s="90"/>
      <c r="S155" s="365">
        <v>718363</v>
      </c>
      <c r="T155" s="466" t="s">
        <v>1426</v>
      </c>
    </row>
    <row r="156" spans="1:20" s="21" customFormat="1" ht="15" customHeight="1" x14ac:dyDescent="0.2">
      <c r="A156" s="315" t="s">
        <v>1444</v>
      </c>
      <c r="B156" s="17">
        <v>109781</v>
      </c>
      <c r="C156" s="318">
        <v>730681</v>
      </c>
      <c r="D156" s="470" t="s">
        <v>1448</v>
      </c>
      <c r="E156" s="17"/>
      <c r="F156" s="17">
        <v>37823</v>
      </c>
      <c r="G156" s="17" t="s">
        <v>1423</v>
      </c>
      <c r="H156" s="183" t="str">
        <f t="shared" si="31"/>
        <v>na</v>
      </c>
      <c r="I156" s="17">
        <f t="shared" si="32"/>
        <v>0</v>
      </c>
      <c r="J156" s="113">
        <f>+$J$3*0.99</f>
        <v>2.1186000000000003</v>
      </c>
      <c r="K156" s="325">
        <v>0.25</v>
      </c>
      <c r="L156" s="19">
        <f t="shared" si="28"/>
        <v>1.8686000000000003</v>
      </c>
      <c r="M156" s="325">
        <f t="shared" si="23"/>
        <v>0</v>
      </c>
      <c r="N156" s="112">
        <f t="shared" ref="N156:N184" si="35">+L156*I156</f>
        <v>0</v>
      </c>
      <c r="O156" s="112">
        <f t="shared" ref="O156:O191" si="36">(+L156*I156)-M156</f>
        <v>0</v>
      </c>
      <c r="P156" s="90"/>
      <c r="Q156" s="90"/>
      <c r="S156" s="318">
        <v>718426</v>
      </c>
      <c r="T156" s="470" t="s">
        <v>476</v>
      </c>
    </row>
    <row r="157" spans="1:20" s="21" customFormat="1" ht="15" customHeight="1" x14ac:dyDescent="0.2">
      <c r="A157" s="315" t="s">
        <v>491</v>
      </c>
      <c r="B157" s="16">
        <v>137932</v>
      </c>
      <c r="C157" s="318">
        <v>730069</v>
      </c>
      <c r="D157" s="369" t="s">
        <v>499</v>
      </c>
      <c r="E157" s="17"/>
      <c r="F157" s="38" t="s">
        <v>500</v>
      </c>
      <c r="G157" s="10" t="s">
        <v>1423</v>
      </c>
      <c r="H157" s="183" t="str">
        <f t="shared" si="31"/>
        <v>na</v>
      </c>
      <c r="I157" s="17">
        <f t="shared" si="32"/>
        <v>0</v>
      </c>
      <c r="J157" s="113">
        <f>+$J$3*0.99</f>
        <v>2.1186000000000003</v>
      </c>
      <c r="K157" s="325">
        <v>0.25</v>
      </c>
      <c r="L157" s="19">
        <f t="shared" ref="L157:L168" si="37">+J157-K157</f>
        <v>1.8686000000000003</v>
      </c>
      <c r="M157" s="325">
        <f t="shared" si="23"/>
        <v>0</v>
      </c>
      <c r="N157" s="112">
        <f t="shared" si="35"/>
        <v>0</v>
      </c>
      <c r="O157" s="112">
        <f t="shared" si="36"/>
        <v>0</v>
      </c>
      <c r="P157" s="90"/>
      <c r="Q157" s="90"/>
      <c r="S157" s="365">
        <v>718431</v>
      </c>
      <c r="T157" s="466" t="s">
        <v>1717</v>
      </c>
    </row>
    <row r="158" spans="1:20" s="21" customFormat="1" ht="15" customHeight="1" x14ac:dyDescent="0.2">
      <c r="A158" s="179" t="s">
        <v>1443</v>
      </c>
      <c r="B158" s="134"/>
      <c r="C158" s="365">
        <v>717889</v>
      </c>
      <c r="D158" s="485" t="s">
        <v>1717</v>
      </c>
      <c r="E158" s="159"/>
      <c r="F158" s="359"/>
      <c r="G158" s="457" t="s">
        <v>380</v>
      </c>
      <c r="H158" s="488" t="str">
        <f t="shared" si="31"/>
        <v>na</v>
      </c>
      <c r="I158" s="159">
        <f t="shared" si="32"/>
        <v>0</v>
      </c>
      <c r="J158" s="486" t="e">
        <f>+'Special Pricing'!$G$361</f>
        <v>#DIV/0!</v>
      </c>
      <c r="K158" s="325">
        <v>0.25</v>
      </c>
      <c r="L158" s="744" t="e">
        <f t="shared" si="37"/>
        <v>#DIV/0!</v>
      </c>
      <c r="M158" s="543">
        <f>IF(H158&gt;=0,I158*0.00084,0)</f>
        <v>0</v>
      </c>
      <c r="N158" s="745" t="e">
        <f t="shared" si="35"/>
        <v>#DIV/0!</v>
      </c>
      <c r="O158" s="745" t="e">
        <f t="shared" si="36"/>
        <v>#DIV/0!</v>
      </c>
      <c r="P158" s="90"/>
      <c r="Q158" s="90"/>
      <c r="S158" s="365">
        <v>718528</v>
      </c>
      <c r="T158" s="466" t="s">
        <v>1426</v>
      </c>
    </row>
    <row r="159" spans="1:20" s="21" customFormat="1" ht="15" customHeight="1" x14ac:dyDescent="0.2">
      <c r="A159" s="179" t="s">
        <v>1443</v>
      </c>
      <c r="B159" s="134"/>
      <c r="C159" s="365">
        <v>718180</v>
      </c>
      <c r="D159" s="485" t="s">
        <v>1717</v>
      </c>
      <c r="E159" s="159"/>
      <c r="F159" s="359"/>
      <c r="G159" s="457" t="s">
        <v>380</v>
      </c>
      <c r="H159" s="488" t="str">
        <f t="shared" si="31"/>
        <v>na</v>
      </c>
      <c r="I159" s="159">
        <f t="shared" si="32"/>
        <v>0</v>
      </c>
      <c r="J159" s="486" t="e">
        <f>+'Special Pricing'!$G$361</f>
        <v>#DIV/0!</v>
      </c>
      <c r="K159" s="325">
        <v>0.25</v>
      </c>
      <c r="L159" s="744" t="e">
        <f t="shared" si="37"/>
        <v>#DIV/0!</v>
      </c>
      <c r="M159" s="543">
        <f t="shared" ref="M159:M175" si="38">IF(H159&gt;=0,I159*0.00084,0)</f>
        <v>0</v>
      </c>
      <c r="N159" s="745" t="e">
        <f t="shared" si="35"/>
        <v>#DIV/0!</v>
      </c>
      <c r="O159" s="745" t="e">
        <f t="shared" si="36"/>
        <v>#DIV/0!</v>
      </c>
      <c r="P159" s="90"/>
      <c r="Q159" s="90"/>
      <c r="S159" s="365">
        <v>718571</v>
      </c>
      <c r="T159" s="466" t="s">
        <v>1608</v>
      </c>
    </row>
    <row r="160" spans="1:20" s="21" customFormat="1" ht="15" customHeight="1" x14ac:dyDescent="0.2">
      <c r="A160" s="179" t="s">
        <v>1443</v>
      </c>
      <c r="B160" s="134"/>
      <c r="C160" s="365">
        <v>718431</v>
      </c>
      <c r="D160" s="485" t="s">
        <v>1717</v>
      </c>
      <c r="E160" s="159"/>
      <c r="F160" s="359"/>
      <c r="G160" s="457" t="s">
        <v>380</v>
      </c>
      <c r="H160" s="488" t="str">
        <f t="shared" si="31"/>
        <v>na</v>
      </c>
      <c r="I160" s="159">
        <f t="shared" si="32"/>
        <v>0</v>
      </c>
      <c r="J160" s="486" t="e">
        <f>+'Special Pricing'!$G$361</f>
        <v>#DIV/0!</v>
      </c>
      <c r="K160" s="325">
        <v>0.25</v>
      </c>
      <c r="L160" s="744" t="e">
        <f t="shared" si="37"/>
        <v>#DIV/0!</v>
      </c>
      <c r="M160" s="543">
        <f t="shared" si="38"/>
        <v>0</v>
      </c>
      <c r="N160" s="745" t="e">
        <f t="shared" si="35"/>
        <v>#DIV/0!</v>
      </c>
      <c r="O160" s="745" t="e">
        <f t="shared" si="36"/>
        <v>#DIV/0!</v>
      </c>
      <c r="P160" s="90"/>
      <c r="Q160" s="90"/>
      <c r="S160" s="318">
        <v>718600</v>
      </c>
      <c r="T160" s="470" t="s">
        <v>513</v>
      </c>
    </row>
    <row r="161" spans="1:20" s="21" customFormat="1" ht="15" customHeight="1" x14ac:dyDescent="0.2">
      <c r="A161" s="179" t="s">
        <v>1443</v>
      </c>
      <c r="B161" s="134"/>
      <c r="C161" s="365">
        <v>718641</v>
      </c>
      <c r="D161" s="485" t="s">
        <v>1717</v>
      </c>
      <c r="E161" s="159"/>
      <c r="F161" s="359"/>
      <c r="G161" s="457" t="s">
        <v>380</v>
      </c>
      <c r="H161" s="488" t="str">
        <f t="shared" ref="H161:H197" si="39">IF(ISNA(VLOOKUP(C161,gath9909,10,FALSE)),"na",VLOOKUP(C161,gath9909,10,FALSE))</f>
        <v>na</v>
      </c>
      <c r="I161" s="159">
        <f t="shared" ref="I161:I197" si="40">IF(ISNA(VLOOKUP(C161,gath9909,12,FALSE)),0,(VLOOKUP(C161,gath9909,12,FALSE)))</f>
        <v>0</v>
      </c>
      <c r="J161" s="486" t="e">
        <f>+'Special Pricing'!$G$361</f>
        <v>#DIV/0!</v>
      </c>
      <c r="K161" s="325">
        <v>0.25</v>
      </c>
      <c r="L161" s="744" t="e">
        <f t="shared" si="37"/>
        <v>#DIV/0!</v>
      </c>
      <c r="M161" s="543">
        <f t="shared" si="38"/>
        <v>0</v>
      </c>
      <c r="N161" s="745" t="e">
        <f t="shared" si="35"/>
        <v>#DIV/0!</v>
      </c>
      <c r="O161" s="745" t="e">
        <f t="shared" si="36"/>
        <v>#DIV/0!</v>
      </c>
      <c r="P161" s="90"/>
      <c r="Q161" s="90"/>
      <c r="S161" s="365">
        <v>718641</v>
      </c>
      <c r="T161" s="466" t="s">
        <v>1717</v>
      </c>
    </row>
    <row r="162" spans="1:20" s="21" customFormat="1" ht="15" customHeight="1" x14ac:dyDescent="0.2">
      <c r="A162" s="179" t="s">
        <v>1443</v>
      </c>
      <c r="B162" s="134"/>
      <c r="C162" s="365">
        <v>719038</v>
      </c>
      <c r="D162" s="485" t="s">
        <v>1717</v>
      </c>
      <c r="E162" s="159"/>
      <c r="F162" s="359"/>
      <c r="G162" s="457" t="s">
        <v>380</v>
      </c>
      <c r="H162" s="488" t="str">
        <f t="shared" si="39"/>
        <v>na</v>
      </c>
      <c r="I162" s="159">
        <f t="shared" si="40"/>
        <v>0</v>
      </c>
      <c r="J162" s="486" t="e">
        <f>+'Special Pricing'!$G$361</f>
        <v>#DIV/0!</v>
      </c>
      <c r="K162" s="325">
        <v>0.25</v>
      </c>
      <c r="L162" s="744" t="e">
        <f t="shared" si="37"/>
        <v>#DIV/0!</v>
      </c>
      <c r="M162" s="543">
        <f t="shared" si="38"/>
        <v>0</v>
      </c>
      <c r="N162" s="745" t="e">
        <f t="shared" si="35"/>
        <v>#DIV/0!</v>
      </c>
      <c r="O162" s="745" t="e">
        <f t="shared" si="36"/>
        <v>#DIV/0!</v>
      </c>
      <c r="P162" s="90"/>
      <c r="Q162" s="90"/>
      <c r="S162" s="365">
        <v>718691</v>
      </c>
      <c r="T162" s="466" t="s">
        <v>1608</v>
      </c>
    </row>
    <row r="163" spans="1:20" s="21" customFormat="1" ht="15" customHeight="1" x14ac:dyDescent="0.2">
      <c r="A163" s="179" t="s">
        <v>1443</v>
      </c>
      <c r="B163" s="134"/>
      <c r="C163" s="365">
        <v>719730</v>
      </c>
      <c r="D163" s="485" t="s">
        <v>1717</v>
      </c>
      <c r="E163" s="159"/>
      <c r="F163" s="359"/>
      <c r="G163" s="457" t="s">
        <v>380</v>
      </c>
      <c r="H163" s="488" t="str">
        <f t="shared" si="39"/>
        <v>na</v>
      </c>
      <c r="I163" s="159">
        <f t="shared" si="40"/>
        <v>0</v>
      </c>
      <c r="J163" s="486" t="e">
        <f>+'Special Pricing'!$G$361</f>
        <v>#DIV/0!</v>
      </c>
      <c r="K163" s="325">
        <v>0.25</v>
      </c>
      <c r="L163" s="744" t="e">
        <f t="shared" si="37"/>
        <v>#DIV/0!</v>
      </c>
      <c r="M163" s="543">
        <f t="shared" si="38"/>
        <v>0</v>
      </c>
      <c r="N163" s="745" t="e">
        <f t="shared" si="35"/>
        <v>#DIV/0!</v>
      </c>
      <c r="O163" s="745" t="e">
        <f t="shared" si="36"/>
        <v>#DIV/0!</v>
      </c>
      <c r="P163" s="90"/>
      <c r="Q163" s="90"/>
      <c r="S163" s="318">
        <v>718778</v>
      </c>
      <c r="T163" s="470" t="s">
        <v>472</v>
      </c>
    </row>
    <row r="164" spans="1:20" s="21" customFormat="1" ht="15" customHeight="1" x14ac:dyDescent="0.2">
      <c r="A164" s="179" t="s">
        <v>1443</v>
      </c>
      <c r="B164" s="134"/>
      <c r="C164" s="365">
        <v>719739</v>
      </c>
      <c r="D164" s="485" t="s">
        <v>1717</v>
      </c>
      <c r="E164" s="159"/>
      <c r="F164" s="359"/>
      <c r="G164" s="457" t="s">
        <v>380</v>
      </c>
      <c r="H164" s="488" t="str">
        <f t="shared" si="39"/>
        <v>na</v>
      </c>
      <c r="I164" s="159">
        <f t="shared" si="40"/>
        <v>0</v>
      </c>
      <c r="J164" s="486" t="e">
        <f>+'Special Pricing'!$G$361</f>
        <v>#DIV/0!</v>
      </c>
      <c r="K164" s="325">
        <v>0.25</v>
      </c>
      <c r="L164" s="744" t="e">
        <f t="shared" si="37"/>
        <v>#DIV/0!</v>
      </c>
      <c r="M164" s="543">
        <f t="shared" si="38"/>
        <v>0</v>
      </c>
      <c r="N164" s="745" t="e">
        <f t="shared" si="35"/>
        <v>#DIV/0!</v>
      </c>
      <c r="O164" s="745" t="e">
        <f t="shared" si="36"/>
        <v>#DIV/0!</v>
      </c>
      <c r="P164" s="90"/>
      <c r="Q164" s="90"/>
      <c r="S164" s="365">
        <v>718841</v>
      </c>
      <c r="T164" s="466" t="s">
        <v>1426</v>
      </c>
    </row>
    <row r="165" spans="1:20" s="21" customFormat="1" ht="15" customHeight="1" x14ac:dyDescent="0.2">
      <c r="A165" s="179" t="s">
        <v>1443</v>
      </c>
      <c r="B165" s="134"/>
      <c r="C165" s="365">
        <v>720484</v>
      </c>
      <c r="D165" s="485" t="s">
        <v>1717</v>
      </c>
      <c r="E165" s="159"/>
      <c r="F165" s="359"/>
      <c r="G165" s="457" t="s">
        <v>380</v>
      </c>
      <c r="H165" s="488" t="str">
        <f t="shared" si="39"/>
        <v>na</v>
      </c>
      <c r="I165" s="159">
        <f t="shared" si="40"/>
        <v>0</v>
      </c>
      <c r="J165" s="486" t="e">
        <f>+'Special Pricing'!$G$361</f>
        <v>#DIV/0!</v>
      </c>
      <c r="K165" s="325">
        <v>0.25</v>
      </c>
      <c r="L165" s="744" t="e">
        <f t="shared" si="37"/>
        <v>#DIV/0!</v>
      </c>
      <c r="M165" s="543">
        <f t="shared" si="38"/>
        <v>0</v>
      </c>
      <c r="N165" s="745" t="e">
        <f t="shared" si="35"/>
        <v>#DIV/0!</v>
      </c>
      <c r="O165" s="745" t="e">
        <f t="shared" si="36"/>
        <v>#DIV/0!</v>
      </c>
      <c r="P165" s="90"/>
      <c r="Q165" s="90"/>
      <c r="S165" s="318">
        <v>718864</v>
      </c>
      <c r="T165" s="470" t="s">
        <v>813</v>
      </c>
    </row>
    <row r="166" spans="1:20" s="21" customFormat="1" ht="15" customHeight="1" x14ac:dyDescent="0.2">
      <c r="A166" s="179" t="s">
        <v>1443</v>
      </c>
      <c r="B166" s="134"/>
      <c r="C166" s="365">
        <v>720677</v>
      </c>
      <c r="D166" s="485" t="s">
        <v>1717</v>
      </c>
      <c r="E166" s="159"/>
      <c r="F166" s="359"/>
      <c r="G166" s="457" t="s">
        <v>380</v>
      </c>
      <c r="H166" s="488" t="str">
        <f t="shared" si="39"/>
        <v>na</v>
      </c>
      <c r="I166" s="159">
        <f t="shared" si="40"/>
        <v>0</v>
      </c>
      <c r="J166" s="486" t="e">
        <f>+'Special Pricing'!$G$361</f>
        <v>#DIV/0!</v>
      </c>
      <c r="K166" s="325">
        <v>0.25</v>
      </c>
      <c r="L166" s="744" t="e">
        <f t="shared" si="37"/>
        <v>#DIV/0!</v>
      </c>
      <c r="M166" s="543">
        <f t="shared" si="38"/>
        <v>0</v>
      </c>
      <c r="N166" s="745" t="e">
        <f t="shared" si="35"/>
        <v>#DIV/0!</v>
      </c>
      <c r="O166" s="745" t="e">
        <f t="shared" si="36"/>
        <v>#DIV/0!</v>
      </c>
      <c r="P166" s="90"/>
      <c r="Q166" s="90"/>
      <c r="S166" s="365">
        <v>718948</v>
      </c>
      <c r="T166" s="466" t="s">
        <v>1613</v>
      </c>
    </row>
    <row r="167" spans="1:20" s="21" customFormat="1" ht="15" customHeight="1" x14ac:dyDescent="0.2">
      <c r="A167" s="179" t="s">
        <v>1443</v>
      </c>
      <c r="B167" s="134"/>
      <c r="C167" s="365">
        <v>722278</v>
      </c>
      <c r="D167" s="485" t="s">
        <v>1717</v>
      </c>
      <c r="E167" s="159"/>
      <c r="F167" s="359"/>
      <c r="G167" s="457" t="s">
        <v>380</v>
      </c>
      <c r="H167" s="488" t="str">
        <f t="shared" si="39"/>
        <v>na</v>
      </c>
      <c r="I167" s="159">
        <f t="shared" si="40"/>
        <v>0</v>
      </c>
      <c r="J167" s="486" t="e">
        <f>+'Special Pricing'!$G$361</f>
        <v>#DIV/0!</v>
      </c>
      <c r="K167" s="325">
        <v>0.25</v>
      </c>
      <c r="L167" s="744" t="e">
        <f t="shared" si="37"/>
        <v>#DIV/0!</v>
      </c>
      <c r="M167" s="543">
        <f t="shared" si="38"/>
        <v>0</v>
      </c>
      <c r="N167" s="745" t="e">
        <f t="shared" si="35"/>
        <v>#DIV/0!</v>
      </c>
      <c r="O167" s="745" t="e">
        <f t="shared" si="36"/>
        <v>#DIV/0!</v>
      </c>
      <c r="P167" s="90"/>
      <c r="Q167" s="90"/>
      <c r="S167" s="365">
        <v>718998</v>
      </c>
      <c r="T167" s="466" t="s">
        <v>1426</v>
      </c>
    </row>
    <row r="168" spans="1:20" s="21" customFormat="1" ht="15" customHeight="1" x14ac:dyDescent="0.2">
      <c r="A168" s="179" t="s">
        <v>1443</v>
      </c>
      <c r="B168" s="134"/>
      <c r="C168" s="365">
        <v>722279</v>
      </c>
      <c r="D168" s="485" t="s">
        <v>1717</v>
      </c>
      <c r="E168" s="159"/>
      <c r="F168" s="359"/>
      <c r="G168" s="457" t="s">
        <v>380</v>
      </c>
      <c r="H168" s="488" t="str">
        <f t="shared" si="39"/>
        <v>na</v>
      </c>
      <c r="I168" s="159">
        <f t="shared" si="40"/>
        <v>0</v>
      </c>
      <c r="J168" s="486" t="e">
        <f>+'Special Pricing'!$G$361</f>
        <v>#DIV/0!</v>
      </c>
      <c r="K168" s="325">
        <v>0.25</v>
      </c>
      <c r="L168" s="744" t="e">
        <f t="shared" si="37"/>
        <v>#DIV/0!</v>
      </c>
      <c r="M168" s="543">
        <f t="shared" si="38"/>
        <v>0</v>
      </c>
      <c r="N168" s="745" t="e">
        <f t="shared" si="35"/>
        <v>#DIV/0!</v>
      </c>
      <c r="O168" s="745" t="e">
        <f t="shared" si="36"/>
        <v>#DIV/0!</v>
      </c>
      <c r="P168" s="90"/>
      <c r="Q168" s="90"/>
      <c r="S168" s="318">
        <v>719029</v>
      </c>
      <c r="T168" s="470" t="s">
        <v>490</v>
      </c>
    </row>
    <row r="169" spans="1:20" s="21" customFormat="1" ht="15" customHeight="1" x14ac:dyDescent="0.2">
      <c r="A169" s="179" t="s">
        <v>1443</v>
      </c>
      <c r="B169" s="134"/>
      <c r="C169" s="365">
        <v>722377</v>
      </c>
      <c r="D169" s="485" t="s">
        <v>1717</v>
      </c>
      <c r="E169" s="159"/>
      <c r="F169" s="359"/>
      <c r="G169" s="457" t="s">
        <v>380</v>
      </c>
      <c r="H169" s="488" t="str">
        <f t="shared" si="39"/>
        <v>na</v>
      </c>
      <c r="I169" s="159">
        <f t="shared" si="40"/>
        <v>0</v>
      </c>
      <c r="J169" s="486" t="e">
        <f>+'Special Pricing'!$G$361</f>
        <v>#DIV/0!</v>
      </c>
      <c r="K169" s="325">
        <v>0.25</v>
      </c>
      <c r="L169" s="744" t="e">
        <f t="shared" ref="L169:L199" si="41">+J169-K169</f>
        <v>#DIV/0!</v>
      </c>
      <c r="M169" s="543">
        <f t="shared" si="38"/>
        <v>0</v>
      </c>
      <c r="N169" s="745" t="e">
        <f t="shared" si="35"/>
        <v>#DIV/0!</v>
      </c>
      <c r="O169" s="745" t="e">
        <f t="shared" si="36"/>
        <v>#DIV/0!</v>
      </c>
      <c r="P169" s="90"/>
      <c r="Q169" s="90"/>
      <c r="S169" s="365">
        <v>719038</v>
      </c>
      <c r="T169" s="466" t="s">
        <v>1717</v>
      </c>
    </row>
    <row r="170" spans="1:20" s="21" customFormat="1" ht="15" customHeight="1" x14ac:dyDescent="0.2">
      <c r="A170" s="179" t="s">
        <v>1443</v>
      </c>
      <c r="B170" s="134"/>
      <c r="C170" s="365">
        <v>723662</v>
      </c>
      <c r="D170" s="485" t="s">
        <v>1717</v>
      </c>
      <c r="E170" s="159"/>
      <c r="F170" s="359"/>
      <c r="G170" s="457" t="s">
        <v>380</v>
      </c>
      <c r="H170" s="488" t="str">
        <f t="shared" si="39"/>
        <v>na</v>
      </c>
      <c r="I170" s="159">
        <f t="shared" si="40"/>
        <v>0</v>
      </c>
      <c r="J170" s="486" t="e">
        <f>+'Special Pricing'!$G$361</f>
        <v>#DIV/0!</v>
      </c>
      <c r="K170" s="325">
        <v>0.25</v>
      </c>
      <c r="L170" s="744" t="e">
        <f t="shared" si="41"/>
        <v>#DIV/0!</v>
      </c>
      <c r="M170" s="543">
        <f t="shared" si="38"/>
        <v>0</v>
      </c>
      <c r="N170" s="745" t="e">
        <f t="shared" si="35"/>
        <v>#DIV/0!</v>
      </c>
      <c r="O170" s="745" t="e">
        <f t="shared" si="36"/>
        <v>#DIV/0!</v>
      </c>
      <c r="S170" s="366">
        <v>719053</v>
      </c>
      <c r="T170" s="466" t="s">
        <v>23</v>
      </c>
    </row>
    <row r="171" spans="1:20" s="21" customFormat="1" ht="15" customHeight="1" x14ac:dyDescent="0.2">
      <c r="A171" s="179" t="s">
        <v>1443</v>
      </c>
      <c r="B171" s="134"/>
      <c r="C171" s="365">
        <v>724326</v>
      </c>
      <c r="D171" s="485" t="s">
        <v>1717</v>
      </c>
      <c r="E171" s="159"/>
      <c r="F171" s="359"/>
      <c r="G171" s="457" t="s">
        <v>380</v>
      </c>
      <c r="H171" s="488" t="str">
        <f t="shared" si="39"/>
        <v>na</v>
      </c>
      <c r="I171" s="159">
        <f t="shared" si="40"/>
        <v>0</v>
      </c>
      <c r="J171" s="486" t="e">
        <f>+'Special Pricing'!$G$361</f>
        <v>#DIV/0!</v>
      </c>
      <c r="K171" s="325">
        <v>0.25</v>
      </c>
      <c r="L171" s="744" t="e">
        <f t="shared" si="41"/>
        <v>#DIV/0!</v>
      </c>
      <c r="M171" s="543">
        <f t="shared" si="38"/>
        <v>0</v>
      </c>
      <c r="N171" s="745" t="e">
        <f t="shared" si="35"/>
        <v>#DIV/0!</v>
      </c>
      <c r="O171" s="745" t="e">
        <f t="shared" si="36"/>
        <v>#DIV/0!</v>
      </c>
      <c r="S171" s="318">
        <v>719078</v>
      </c>
      <c r="T171" s="470" t="s">
        <v>813</v>
      </c>
    </row>
    <row r="172" spans="1:20" s="21" customFormat="1" ht="15" customHeight="1" x14ac:dyDescent="0.2">
      <c r="A172" s="179" t="s">
        <v>1443</v>
      </c>
      <c r="B172" s="134"/>
      <c r="C172" s="365">
        <v>724831</v>
      </c>
      <c r="D172" s="485" t="s">
        <v>1717</v>
      </c>
      <c r="E172" s="159"/>
      <c r="F172" s="359"/>
      <c r="G172" s="457" t="s">
        <v>380</v>
      </c>
      <c r="H172" s="488" t="str">
        <f t="shared" si="39"/>
        <v>na</v>
      </c>
      <c r="I172" s="159">
        <f t="shared" si="40"/>
        <v>0</v>
      </c>
      <c r="J172" s="486" t="e">
        <f>+'Special Pricing'!$G$361</f>
        <v>#DIV/0!</v>
      </c>
      <c r="K172" s="325">
        <v>0.25</v>
      </c>
      <c r="L172" s="744" t="e">
        <f t="shared" si="41"/>
        <v>#DIV/0!</v>
      </c>
      <c r="M172" s="543">
        <f t="shared" si="38"/>
        <v>0</v>
      </c>
      <c r="N172" s="745" t="e">
        <f t="shared" si="35"/>
        <v>#DIV/0!</v>
      </c>
      <c r="O172" s="745" t="e">
        <f t="shared" si="36"/>
        <v>#DIV/0!</v>
      </c>
      <c r="S172" s="318">
        <v>719157</v>
      </c>
      <c r="T172" s="470" t="s">
        <v>490</v>
      </c>
    </row>
    <row r="173" spans="1:20" s="21" customFormat="1" ht="15" customHeight="1" x14ac:dyDescent="0.2">
      <c r="A173" s="179" t="s">
        <v>1443</v>
      </c>
      <c r="B173" s="134"/>
      <c r="C173" s="365">
        <v>725156</v>
      </c>
      <c r="D173" s="485" t="s">
        <v>1717</v>
      </c>
      <c r="E173" s="159"/>
      <c r="F173" s="359"/>
      <c r="G173" s="457" t="s">
        <v>380</v>
      </c>
      <c r="H173" s="488" t="str">
        <f t="shared" si="39"/>
        <v>na</v>
      </c>
      <c r="I173" s="159">
        <f t="shared" si="40"/>
        <v>0</v>
      </c>
      <c r="J173" s="486" t="e">
        <f>+'Special Pricing'!$G$361</f>
        <v>#DIV/0!</v>
      </c>
      <c r="K173" s="325">
        <v>0.25</v>
      </c>
      <c r="L173" s="744" t="e">
        <f t="shared" si="41"/>
        <v>#DIV/0!</v>
      </c>
      <c r="M173" s="543">
        <f t="shared" si="38"/>
        <v>0</v>
      </c>
      <c r="N173" s="745" t="e">
        <f t="shared" si="35"/>
        <v>#DIV/0!</v>
      </c>
      <c r="O173" s="745" t="e">
        <f t="shared" si="36"/>
        <v>#DIV/0!</v>
      </c>
      <c r="S173" s="365">
        <v>719206</v>
      </c>
      <c r="T173" s="466" t="s">
        <v>1499</v>
      </c>
    </row>
    <row r="174" spans="1:20" s="21" customFormat="1" ht="15" customHeight="1" x14ac:dyDescent="0.2">
      <c r="A174" s="179" t="s">
        <v>1443</v>
      </c>
      <c r="B174" s="134"/>
      <c r="C174" s="365">
        <v>726731</v>
      </c>
      <c r="D174" s="485" t="s">
        <v>1717</v>
      </c>
      <c r="E174" s="159"/>
      <c r="F174" s="359"/>
      <c r="G174" s="457" t="s">
        <v>380</v>
      </c>
      <c r="H174" s="488" t="str">
        <f t="shared" si="39"/>
        <v>na</v>
      </c>
      <c r="I174" s="159">
        <f t="shared" si="40"/>
        <v>0</v>
      </c>
      <c r="J174" s="486" t="e">
        <f>+'Special Pricing'!$G$361</f>
        <v>#DIV/0!</v>
      </c>
      <c r="K174" s="325">
        <v>0.25</v>
      </c>
      <c r="L174" s="744" t="e">
        <f t="shared" si="41"/>
        <v>#DIV/0!</v>
      </c>
      <c r="M174" s="543">
        <f t="shared" si="38"/>
        <v>0</v>
      </c>
      <c r="N174" s="745" t="e">
        <f t="shared" si="35"/>
        <v>#DIV/0!</v>
      </c>
      <c r="O174" s="745" t="e">
        <f t="shared" si="36"/>
        <v>#DIV/0!</v>
      </c>
      <c r="S174" s="365">
        <v>719213</v>
      </c>
      <c r="T174" s="466" t="s">
        <v>1426</v>
      </c>
    </row>
    <row r="175" spans="1:20" s="21" customFormat="1" ht="15" customHeight="1" x14ac:dyDescent="0.2">
      <c r="A175" s="179" t="s">
        <v>1443</v>
      </c>
      <c r="B175" s="134"/>
      <c r="C175" s="365">
        <v>727143</v>
      </c>
      <c r="D175" s="485" t="s">
        <v>1717</v>
      </c>
      <c r="E175" s="159"/>
      <c r="F175" s="359"/>
      <c r="G175" s="457" t="s">
        <v>380</v>
      </c>
      <c r="H175" s="488" t="str">
        <f t="shared" si="39"/>
        <v>na</v>
      </c>
      <c r="I175" s="159">
        <f t="shared" si="40"/>
        <v>0</v>
      </c>
      <c r="J175" s="486" t="e">
        <f>+'Special Pricing'!$G$361</f>
        <v>#DIV/0!</v>
      </c>
      <c r="K175" s="325">
        <v>0.25</v>
      </c>
      <c r="L175" s="744" t="e">
        <f t="shared" si="41"/>
        <v>#DIV/0!</v>
      </c>
      <c r="M175" s="543">
        <f t="shared" si="38"/>
        <v>0</v>
      </c>
      <c r="N175" s="745" t="e">
        <f t="shared" si="35"/>
        <v>#DIV/0!</v>
      </c>
      <c r="O175" s="745" t="e">
        <f t="shared" si="36"/>
        <v>#DIV/0!</v>
      </c>
      <c r="S175" s="318">
        <v>719216</v>
      </c>
      <c r="T175" s="470" t="s">
        <v>1426</v>
      </c>
    </row>
    <row r="176" spans="1:20" ht="15" customHeight="1" x14ac:dyDescent="0.2">
      <c r="A176" s="179" t="s">
        <v>1443</v>
      </c>
      <c r="B176" s="89"/>
      <c r="C176" s="365">
        <v>732214</v>
      </c>
      <c r="D176" s="485" t="s">
        <v>1717</v>
      </c>
      <c r="E176" s="159"/>
      <c r="F176" s="359"/>
      <c r="G176" s="457" t="s">
        <v>380</v>
      </c>
      <c r="H176" s="488" t="str">
        <f t="shared" si="39"/>
        <v>na</v>
      </c>
      <c r="I176" s="159">
        <f t="shared" si="40"/>
        <v>0</v>
      </c>
      <c r="J176" s="486" t="e">
        <f>+'Special Pricing'!$G$361</f>
        <v>#DIV/0!</v>
      </c>
      <c r="K176" s="325">
        <v>0.25</v>
      </c>
      <c r="L176" s="744" t="e">
        <f t="shared" si="41"/>
        <v>#DIV/0!</v>
      </c>
      <c r="M176" s="543">
        <f>IF(H176&gt;=0,I176*0.00083,0)</f>
        <v>0</v>
      </c>
      <c r="N176" s="745" t="e">
        <f t="shared" si="35"/>
        <v>#DIV/0!</v>
      </c>
      <c r="O176" s="745" t="e">
        <f t="shared" si="36"/>
        <v>#DIV/0!</v>
      </c>
      <c r="P176" s="21"/>
      <c r="Q176" s="21"/>
      <c r="S176" s="365">
        <v>719228</v>
      </c>
      <c r="T176" s="466" t="s">
        <v>1499</v>
      </c>
    </row>
    <row r="177" spans="1:20" s="21" customFormat="1" ht="15" customHeight="1" x14ac:dyDescent="0.2">
      <c r="A177" s="179" t="s">
        <v>1443</v>
      </c>
      <c r="B177" s="17">
        <v>113629</v>
      </c>
      <c r="C177" s="365">
        <v>706202</v>
      </c>
      <c r="D177" s="474" t="s">
        <v>1191</v>
      </c>
      <c r="E177" s="474" t="s">
        <v>1192</v>
      </c>
      <c r="F177" s="16"/>
      <c r="G177" s="17" t="s">
        <v>1456</v>
      </c>
      <c r="H177" s="183" t="str">
        <f t="shared" si="39"/>
        <v>na</v>
      </c>
      <c r="I177" s="17">
        <f t="shared" si="40"/>
        <v>0</v>
      </c>
      <c r="J177" s="113">
        <f t="shared" ref="J177:J182" si="42">+$J$3*0.95</f>
        <v>2.0329999999999999</v>
      </c>
      <c r="K177" s="325">
        <v>0.25</v>
      </c>
      <c r="L177" s="19">
        <f>+J177-K177</f>
        <v>1.7829999999999999</v>
      </c>
      <c r="M177" s="325">
        <f>IF(H177&gt;=0,I177*0.001,0)</f>
        <v>0</v>
      </c>
      <c r="N177" s="112">
        <f>+L177*I177</f>
        <v>0</v>
      </c>
      <c r="O177" s="112">
        <f t="shared" si="36"/>
        <v>0</v>
      </c>
      <c r="S177" s="365">
        <v>720214</v>
      </c>
      <c r="T177" s="466" t="s">
        <v>1426</v>
      </c>
    </row>
    <row r="178" spans="1:20" s="21" customFormat="1" ht="15" customHeight="1" x14ac:dyDescent="0.2">
      <c r="A178" s="179" t="s">
        <v>1443</v>
      </c>
      <c r="B178" s="17">
        <v>113629</v>
      </c>
      <c r="C178" s="365">
        <v>706283</v>
      </c>
      <c r="D178" s="474" t="s">
        <v>1191</v>
      </c>
      <c r="E178" s="474" t="s">
        <v>1192</v>
      </c>
      <c r="F178" s="16"/>
      <c r="G178" s="17" t="s">
        <v>1456</v>
      </c>
      <c r="H178" s="183" t="str">
        <f t="shared" si="39"/>
        <v>na</v>
      </c>
      <c r="I178" s="17">
        <f t="shared" si="40"/>
        <v>0</v>
      </c>
      <c r="J178" s="113">
        <f t="shared" si="42"/>
        <v>2.0329999999999999</v>
      </c>
      <c r="K178" s="325">
        <v>0.25</v>
      </c>
      <c r="L178" s="19">
        <f>+J178-K178</f>
        <v>1.7829999999999999</v>
      </c>
      <c r="M178" s="325">
        <f>IF(H178&gt;=0,I178*0.001,0)</f>
        <v>0</v>
      </c>
      <c r="N178" s="112">
        <f>+L178*I178</f>
        <v>0</v>
      </c>
      <c r="O178" s="112">
        <f t="shared" si="36"/>
        <v>0</v>
      </c>
      <c r="S178" s="365">
        <v>720220</v>
      </c>
      <c r="T178" s="466" t="s">
        <v>1626</v>
      </c>
    </row>
    <row r="179" spans="1:20" s="21" customFormat="1" ht="15" customHeight="1" x14ac:dyDescent="0.2">
      <c r="A179" s="315" t="s">
        <v>1443</v>
      </c>
      <c r="B179" s="17">
        <v>109766</v>
      </c>
      <c r="C179" s="318">
        <v>724072</v>
      </c>
      <c r="D179" s="470" t="s">
        <v>502</v>
      </c>
      <c r="E179" s="17"/>
      <c r="F179" s="17">
        <v>41251</v>
      </c>
      <c r="G179" s="17" t="s">
        <v>503</v>
      </c>
      <c r="H179" s="183" t="str">
        <f t="shared" si="39"/>
        <v>na</v>
      </c>
      <c r="I179" s="17">
        <f t="shared" si="40"/>
        <v>0</v>
      </c>
      <c r="J179" s="113">
        <f t="shared" si="42"/>
        <v>2.0329999999999999</v>
      </c>
      <c r="K179" s="325">
        <v>0.25</v>
      </c>
      <c r="L179" s="19">
        <f t="shared" si="41"/>
        <v>1.7829999999999999</v>
      </c>
      <c r="M179" s="325">
        <f t="shared" ref="M179:M218" si="43">IF(H179&gt;=0,I179*0.001,0)</f>
        <v>0</v>
      </c>
      <c r="N179" s="112">
        <f t="shared" si="35"/>
        <v>0</v>
      </c>
      <c r="O179" s="112">
        <f t="shared" si="36"/>
        <v>0</v>
      </c>
      <c r="S179" s="365">
        <v>719237</v>
      </c>
      <c r="T179" s="466" t="s">
        <v>1618</v>
      </c>
    </row>
    <row r="180" spans="1:20" s="21" customFormat="1" ht="15" customHeight="1" x14ac:dyDescent="0.2">
      <c r="A180" s="315" t="s">
        <v>1443</v>
      </c>
      <c r="B180" s="17">
        <v>113776</v>
      </c>
      <c r="C180" s="318">
        <v>726078</v>
      </c>
      <c r="D180" s="470" t="s">
        <v>502</v>
      </c>
      <c r="E180" s="17"/>
      <c r="F180" s="17">
        <v>41251</v>
      </c>
      <c r="G180" s="17" t="s">
        <v>503</v>
      </c>
      <c r="H180" s="183" t="str">
        <f t="shared" si="39"/>
        <v>na</v>
      </c>
      <c r="I180" s="17">
        <f t="shared" si="40"/>
        <v>0</v>
      </c>
      <c r="J180" s="113">
        <f t="shared" si="42"/>
        <v>2.0329999999999999</v>
      </c>
      <c r="K180" s="325">
        <v>0.25</v>
      </c>
      <c r="L180" s="19">
        <f t="shared" si="41"/>
        <v>1.7829999999999999</v>
      </c>
      <c r="M180" s="325">
        <f t="shared" si="43"/>
        <v>0</v>
      </c>
      <c r="N180" s="112">
        <f t="shared" si="35"/>
        <v>0</v>
      </c>
      <c r="O180" s="112">
        <f t="shared" si="36"/>
        <v>0</v>
      </c>
      <c r="S180" s="318">
        <v>719287</v>
      </c>
      <c r="T180" s="470" t="s">
        <v>514</v>
      </c>
    </row>
    <row r="181" spans="1:20" s="21" customFormat="1" ht="15" customHeight="1" x14ac:dyDescent="0.2">
      <c r="A181" s="315" t="s">
        <v>1443</v>
      </c>
      <c r="B181" s="17">
        <v>113777</v>
      </c>
      <c r="C181" s="318">
        <v>726865</v>
      </c>
      <c r="D181" s="470" t="s">
        <v>502</v>
      </c>
      <c r="E181" s="17"/>
      <c r="F181" s="17">
        <v>41251</v>
      </c>
      <c r="G181" s="17" t="s">
        <v>503</v>
      </c>
      <c r="H181" s="183" t="str">
        <f>IF(ISNA(VLOOKUP(C181,gath9909,10,FALSE)),"na",VLOOKUP(C181,gath9909,10,FALSE))</f>
        <v>na</v>
      </c>
      <c r="I181" s="17">
        <f>IF(ISNA(VLOOKUP(C181,gath9909,12,FALSE)),0,(VLOOKUP(C181,gath9909,12,FALSE)))</f>
        <v>0</v>
      </c>
      <c r="J181" s="113">
        <f t="shared" si="42"/>
        <v>2.0329999999999999</v>
      </c>
      <c r="K181" s="325">
        <v>0.25</v>
      </c>
      <c r="L181" s="19">
        <f>+J181-K181</f>
        <v>1.7829999999999999</v>
      </c>
      <c r="M181" s="325">
        <f>IF(H181&gt;=0,I181*0.001,0)</f>
        <v>0</v>
      </c>
      <c r="N181" s="112">
        <f>+L181*I181</f>
        <v>0</v>
      </c>
      <c r="O181" s="112">
        <f>(+L181*I181)-M181</f>
        <v>0</v>
      </c>
      <c r="S181" s="318">
        <v>719397</v>
      </c>
      <c r="T181" s="470" t="s">
        <v>536</v>
      </c>
    </row>
    <row r="182" spans="1:20" s="21" customFormat="1" ht="15" customHeight="1" x14ac:dyDescent="0.2">
      <c r="A182" s="315" t="s">
        <v>1443</v>
      </c>
      <c r="B182" s="17">
        <v>113777</v>
      </c>
      <c r="C182" s="318">
        <v>736129</v>
      </c>
      <c r="D182" s="470" t="s">
        <v>502</v>
      </c>
      <c r="E182" s="17"/>
      <c r="F182" s="17">
        <v>41251</v>
      </c>
      <c r="G182" s="17" t="s">
        <v>503</v>
      </c>
      <c r="H182" s="183" t="str">
        <f t="shared" si="39"/>
        <v>na</v>
      </c>
      <c r="I182" s="17">
        <f t="shared" si="40"/>
        <v>0</v>
      </c>
      <c r="J182" s="113">
        <f t="shared" si="42"/>
        <v>2.0329999999999999</v>
      </c>
      <c r="K182" s="325">
        <v>0.25</v>
      </c>
      <c r="L182" s="19">
        <f t="shared" si="41"/>
        <v>1.7829999999999999</v>
      </c>
      <c r="M182" s="325">
        <f t="shared" si="43"/>
        <v>0</v>
      </c>
      <c r="N182" s="112">
        <f t="shared" si="35"/>
        <v>0</v>
      </c>
      <c r="O182" s="112">
        <f t="shared" si="36"/>
        <v>0</v>
      </c>
      <c r="S182" s="318">
        <v>719397</v>
      </c>
      <c r="T182" s="470" t="s">
        <v>536</v>
      </c>
    </row>
    <row r="183" spans="1:20" s="21" customFormat="1" ht="15" customHeight="1" x14ac:dyDescent="0.2">
      <c r="A183" s="315" t="s">
        <v>1443</v>
      </c>
      <c r="B183" s="17">
        <v>109761</v>
      </c>
      <c r="C183" s="318">
        <v>720783</v>
      </c>
      <c r="D183" s="470" t="s">
        <v>351</v>
      </c>
      <c r="E183" s="17"/>
      <c r="F183" s="17">
        <v>42103</v>
      </c>
      <c r="G183" s="17" t="s">
        <v>473</v>
      </c>
      <c r="H183" s="183" t="str">
        <f t="shared" si="39"/>
        <v>na</v>
      </c>
      <c r="I183" s="17">
        <f t="shared" si="40"/>
        <v>0</v>
      </c>
      <c r="J183" s="113">
        <f t="shared" ref="J183:J188" si="44">+$J$3-0.08</f>
        <v>2.06</v>
      </c>
      <c r="K183" s="325">
        <v>0.25</v>
      </c>
      <c r="L183" s="19">
        <f t="shared" si="41"/>
        <v>1.81</v>
      </c>
      <c r="M183" s="325">
        <f t="shared" si="43"/>
        <v>0</v>
      </c>
      <c r="N183" s="112">
        <f t="shared" si="35"/>
        <v>0</v>
      </c>
      <c r="O183" s="112">
        <f t="shared" si="36"/>
        <v>0</v>
      </c>
      <c r="S183" s="318">
        <v>719438</v>
      </c>
      <c r="T183" s="470" t="s">
        <v>813</v>
      </c>
    </row>
    <row r="184" spans="1:20" s="21" customFormat="1" ht="15" customHeight="1" x14ac:dyDescent="0.2">
      <c r="A184" s="315" t="s">
        <v>1443</v>
      </c>
      <c r="B184" s="17">
        <v>113778</v>
      </c>
      <c r="C184" s="318">
        <v>721271</v>
      </c>
      <c r="D184" s="470" t="s">
        <v>351</v>
      </c>
      <c r="E184" s="17"/>
      <c r="F184" s="17">
        <v>42103</v>
      </c>
      <c r="G184" s="17" t="s">
        <v>473</v>
      </c>
      <c r="H184" s="183" t="str">
        <f t="shared" si="39"/>
        <v>na</v>
      </c>
      <c r="I184" s="17">
        <f t="shared" si="40"/>
        <v>0</v>
      </c>
      <c r="J184" s="113">
        <f t="shared" si="44"/>
        <v>2.06</v>
      </c>
      <c r="K184" s="325">
        <v>0.25</v>
      </c>
      <c r="L184" s="19">
        <f t="shared" si="41"/>
        <v>1.81</v>
      </c>
      <c r="M184" s="325">
        <f t="shared" si="43"/>
        <v>0</v>
      </c>
      <c r="N184" s="112">
        <f t="shared" si="35"/>
        <v>0</v>
      </c>
      <c r="O184" s="112">
        <f t="shared" si="36"/>
        <v>0</v>
      </c>
      <c r="P184" s="90"/>
      <c r="Q184" s="90"/>
      <c r="S184" s="318">
        <v>719441</v>
      </c>
      <c r="T184" s="470" t="s">
        <v>813</v>
      </c>
    </row>
    <row r="185" spans="1:20" s="21" customFormat="1" ht="15" customHeight="1" x14ac:dyDescent="0.2">
      <c r="A185" s="315" t="s">
        <v>1443</v>
      </c>
      <c r="B185" s="17">
        <v>113779</v>
      </c>
      <c r="C185" s="318">
        <v>722153</v>
      </c>
      <c r="D185" s="470" t="s">
        <v>351</v>
      </c>
      <c r="E185" s="17"/>
      <c r="F185" s="17">
        <v>42103</v>
      </c>
      <c r="G185" s="17" t="s">
        <v>473</v>
      </c>
      <c r="H185" s="183" t="str">
        <f t="shared" si="39"/>
        <v>na</v>
      </c>
      <c r="I185" s="17">
        <f t="shared" si="40"/>
        <v>0</v>
      </c>
      <c r="J185" s="113">
        <f t="shared" si="44"/>
        <v>2.06</v>
      </c>
      <c r="K185" s="325">
        <v>0.25</v>
      </c>
      <c r="L185" s="19">
        <f t="shared" si="41"/>
        <v>1.81</v>
      </c>
      <c r="M185" s="325">
        <f t="shared" si="43"/>
        <v>0</v>
      </c>
      <c r="N185" s="112">
        <f t="shared" ref="N185:N207" si="45">+L185*I185</f>
        <v>0</v>
      </c>
      <c r="O185" s="112">
        <f t="shared" si="36"/>
        <v>0</v>
      </c>
      <c r="P185" s="90"/>
      <c r="Q185" s="90"/>
      <c r="S185" s="365">
        <v>719444</v>
      </c>
      <c r="T185" s="466" t="s">
        <v>1604</v>
      </c>
    </row>
    <row r="186" spans="1:20" s="21" customFormat="1" ht="15" customHeight="1" x14ac:dyDescent="0.2">
      <c r="A186" s="315" t="s">
        <v>468</v>
      </c>
      <c r="B186" s="17"/>
      <c r="C186" s="318">
        <v>723160</v>
      </c>
      <c r="D186" s="470" t="s">
        <v>351</v>
      </c>
      <c r="E186" s="17"/>
      <c r="F186" s="17">
        <v>42103</v>
      </c>
      <c r="G186" s="17" t="s">
        <v>473</v>
      </c>
      <c r="H186" s="183" t="str">
        <f t="shared" si="39"/>
        <v>na</v>
      </c>
      <c r="I186" s="17">
        <f t="shared" si="40"/>
        <v>0</v>
      </c>
      <c r="J186" s="113">
        <f t="shared" si="44"/>
        <v>2.06</v>
      </c>
      <c r="K186" s="325">
        <v>0.25</v>
      </c>
      <c r="L186" s="19">
        <f t="shared" si="41"/>
        <v>1.81</v>
      </c>
      <c r="M186" s="325">
        <f t="shared" si="43"/>
        <v>0</v>
      </c>
      <c r="N186" s="112">
        <f t="shared" si="45"/>
        <v>0</v>
      </c>
      <c r="O186" s="112">
        <f t="shared" si="36"/>
        <v>0</v>
      </c>
      <c r="P186" s="90"/>
      <c r="Q186" s="90"/>
      <c r="S186" s="365">
        <v>719567</v>
      </c>
      <c r="T186" s="466" t="s">
        <v>1426</v>
      </c>
    </row>
    <row r="187" spans="1:20" s="21" customFormat="1" ht="15" customHeight="1" x14ac:dyDescent="0.2">
      <c r="A187" s="315" t="s">
        <v>1443</v>
      </c>
      <c r="B187" s="17">
        <v>113780</v>
      </c>
      <c r="C187" s="318">
        <v>723521</v>
      </c>
      <c r="D187" s="470" t="s">
        <v>351</v>
      </c>
      <c r="E187" s="17"/>
      <c r="F187" s="17">
        <v>42103</v>
      </c>
      <c r="G187" s="17" t="s">
        <v>473</v>
      </c>
      <c r="H187" s="183" t="str">
        <f>IF(ISNA(VLOOKUP(C187,gath9909,10,FALSE)),"na",VLOOKUP(C187,gath9909,10,FALSE))</f>
        <v>na</v>
      </c>
      <c r="I187" s="17">
        <f>IF(ISNA(VLOOKUP(C187,gath9909,12,FALSE)),0,(VLOOKUP(C187,gath9909,12,FALSE)))</f>
        <v>0</v>
      </c>
      <c r="J187" s="113">
        <f t="shared" si="44"/>
        <v>2.06</v>
      </c>
      <c r="K187" s="325">
        <v>0.25</v>
      </c>
      <c r="L187" s="19">
        <f>+J187-K187</f>
        <v>1.81</v>
      </c>
      <c r="M187" s="325">
        <f>IF(H187&gt;=0,I187*0.001,0)</f>
        <v>0</v>
      </c>
      <c r="N187" s="112">
        <f>+L187*I187</f>
        <v>0</v>
      </c>
      <c r="O187" s="112">
        <f>(+L187*I187)-M187</f>
        <v>0</v>
      </c>
      <c r="P187" s="90"/>
      <c r="Q187" s="90"/>
      <c r="S187" s="318">
        <v>719608</v>
      </c>
      <c r="T187" s="470" t="s">
        <v>484</v>
      </c>
    </row>
    <row r="188" spans="1:20" s="21" customFormat="1" ht="15" customHeight="1" x14ac:dyDescent="0.2">
      <c r="A188" s="315" t="s">
        <v>1443</v>
      </c>
      <c r="B188" s="17">
        <v>113780</v>
      </c>
      <c r="C188" s="318">
        <v>724642</v>
      </c>
      <c r="D188" s="470" t="s">
        <v>351</v>
      </c>
      <c r="E188" s="17"/>
      <c r="F188" s="17">
        <v>42103</v>
      </c>
      <c r="G188" s="17" t="s">
        <v>473</v>
      </c>
      <c r="H188" s="183" t="str">
        <f t="shared" si="39"/>
        <v>na</v>
      </c>
      <c r="I188" s="17">
        <f t="shared" si="40"/>
        <v>0</v>
      </c>
      <c r="J188" s="113">
        <f t="shared" si="44"/>
        <v>2.06</v>
      </c>
      <c r="K188" s="325">
        <v>0.25</v>
      </c>
      <c r="L188" s="19">
        <f t="shared" si="41"/>
        <v>1.81</v>
      </c>
      <c r="M188" s="325">
        <f t="shared" si="43"/>
        <v>0</v>
      </c>
      <c r="N188" s="112">
        <f t="shared" si="45"/>
        <v>0</v>
      </c>
      <c r="O188" s="112">
        <f t="shared" si="36"/>
        <v>0</v>
      </c>
      <c r="P188" s="90"/>
      <c r="Q188" s="90"/>
      <c r="S188" s="318">
        <v>719608</v>
      </c>
      <c r="T188" s="470" t="s">
        <v>484</v>
      </c>
    </row>
    <row r="189" spans="1:20" s="21" customFormat="1" ht="15" customHeight="1" x14ac:dyDescent="0.2">
      <c r="A189" s="315" t="s">
        <v>1443</v>
      </c>
      <c r="B189" s="17">
        <v>114833</v>
      </c>
      <c r="C189" s="318">
        <v>722696</v>
      </c>
      <c r="D189" s="470" t="s">
        <v>355</v>
      </c>
      <c r="E189" s="17"/>
      <c r="F189" s="17">
        <v>44778</v>
      </c>
      <c r="G189" s="17">
        <v>2.38</v>
      </c>
      <c r="H189" s="183" t="str">
        <f t="shared" si="39"/>
        <v>na</v>
      </c>
      <c r="I189" s="17">
        <f t="shared" si="40"/>
        <v>0</v>
      </c>
      <c r="J189" s="113">
        <v>2.38</v>
      </c>
      <c r="K189" s="325">
        <v>0.25</v>
      </c>
      <c r="L189" s="19">
        <f t="shared" si="41"/>
        <v>2.13</v>
      </c>
      <c r="M189" s="325">
        <f t="shared" si="43"/>
        <v>0</v>
      </c>
      <c r="N189" s="112">
        <f t="shared" si="45"/>
        <v>0</v>
      </c>
      <c r="O189" s="112">
        <f t="shared" si="36"/>
        <v>0</v>
      </c>
      <c r="P189" s="90"/>
      <c r="Q189" s="90"/>
      <c r="S189" s="318">
        <v>719658</v>
      </c>
      <c r="T189" s="369" t="s">
        <v>469</v>
      </c>
    </row>
    <row r="190" spans="1:20" s="21" customFormat="1" ht="15" customHeight="1" x14ac:dyDescent="0.2">
      <c r="A190" s="315" t="s">
        <v>1443</v>
      </c>
      <c r="B190" s="17">
        <v>115587</v>
      </c>
      <c r="C190" s="318">
        <v>730583</v>
      </c>
      <c r="D190" s="470" t="s">
        <v>355</v>
      </c>
      <c r="E190" s="17"/>
      <c r="F190" s="17">
        <v>44778</v>
      </c>
      <c r="G190" s="17">
        <v>2.38</v>
      </c>
      <c r="H190" s="183" t="str">
        <f t="shared" si="39"/>
        <v>na</v>
      </c>
      <c r="I190" s="17">
        <f t="shared" si="40"/>
        <v>0</v>
      </c>
      <c r="J190" s="113">
        <v>2.38</v>
      </c>
      <c r="K190" s="325">
        <v>0.25</v>
      </c>
      <c r="L190" s="19">
        <f t="shared" si="41"/>
        <v>2.13</v>
      </c>
      <c r="M190" s="325">
        <f t="shared" si="43"/>
        <v>0</v>
      </c>
      <c r="N190" s="112">
        <f t="shared" si="45"/>
        <v>0</v>
      </c>
      <c r="O190" s="112">
        <f t="shared" si="36"/>
        <v>0</v>
      </c>
      <c r="P190" s="90"/>
      <c r="Q190" s="90"/>
      <c r="S190" s="365">
        <v>719730</v>
      </c>
      <c r="T190" s="466" t="s">
        <v>1717</v>
      </c>
    </row>
    <row r="191" spans="1:20" s="21" customFormat="1" ht="15" customHeight="1" x14ac:dyDescent="0.2">
      <c r="A191" s="315" t="s">
        <v>1443</v>
      </c>
      <c r="B191" s="17">
        <v>115588</v>
      </c>
      <c r="C191" s="318">
        <v>730584</v>
      </c>
      <c r="D191" s="470" t="s">
        <v>355</v>
      </c>
      <c r="E191" s="17"/>
      <c r="F191" s="17">
        <v>44778</v>
      </c>
      <c r="G191" s="17">
        <v>2.38</v>
      </c>
      <c r="H191" s="183" t="str">
        <f t="shared" si="39"/>
        <v>na</v>
      </c>
      <c r="I191" s="17">
        <f t="shared" si="40"/>
        <v>0</v>
      </c>
      <c r="J191" s="113">
        <v>2.38</v>
      </c>
      <c r="K191" s="325">
        <v>0.25</v>
      </c>
      <c r="L191" s="19">
        <f t="shared" si="41"/>
        <v>2.13</v>
      </c>
      <c r="M191" s="325">
        <f t="shared" si="43"/>
        <v>0</v>
      </c>
      <c r="N191" s="112">
        <f t="shared" si="45"/>
        <v>0</v>
      </c>
      <c r="O191" s="112">
        <f t="shared" si="36"/>
        <v>0</v>
      </c>
      <c r="P191" s="90"/>
      <c r="Q191" s="90"/>
      <c r="S191" s="365">
        <v>719739</v>
      </c>
      <c r="T191" s="466" t="s">
        <v>1717</v>
      </c>
    </row>
    <row r="192" spans="1:20" s="21" customFormat="1" ht="15" customHeight="1" x14ac:dyDescent="0.2">
      <c r="A192" s="315" t="s">
        <v>1443</v>
      </c>
      <c r="B192" s="17">
        <v>115589</v>
      </c>
      <c r="C192" s="318">
        <v>731244</v>
      </c>
      <c r="D192" s="470" t="s">
        <v>355</v>
      </c>
      <c r="E192" s="17"/>
      <c r="F192" s="17">
        <v>44778</v>
      </c>
      <c r="G192" s="17">
        <v>2.38</v>
      </c>
      <c r="H192" s="183" t="str">
        <f t="shared" si="39"/>
        <v>na</v>
      </c>
      <c r="I192" s="17">
        <f t="shared" si="40"/>
        <v>0</v>
      </c>
      <c r="J192" s="113">
        <v>2.38</v>
      </c>
      <c r="K192" s="325">
        <v>0.25</v>
      </c>
      <c r="L192" s="19">
        <f t="shared" si="41"/>
        <v>2.13</v>
      </c>
      <c r="M192" s="325">
        <f t="shared" si="43"/>
        <v>0</v>
      </c>
      <c r="N192" s="112">
        <f t="shared" si="45"/>
        <v>0</v>
      </c>
      <c r="O192" s="112">
        <f t="shared" ref="O192:O216" si="46">(+L192*I192)-M192</f>
        <v>0</v>
      </c>
      <c r="P192" s="90"/>
      <c r="Q192" s="90"/>
      <c r="S192" s="318">
        <v>719757</v>
      </c>
      <c r="T192" s="470" t="s">
        <v>813</v>
      </c>
    </row>
    <row r="193" spans="1:20" s="21" customFormat="1" ht="15" customHeight="1" x14ac:dyDescent="0.2">
      <c r="A193" s="315" t="s">
        <v>1443</v>
      </c>
      <c r="B193" s="17">
        <v>115590</v>
      </c>
      <c r="C193" s="318">
        <v>733694</v>
      </c>
      <c r="D193" s="470" t="s">
        <v>355</v>
      </c>
      <c r="E193" s="17"/>
      <c r="F193" s="17">
        <v>44778</v>
      </c>
      <c r="G193" s="17">
        <v>2.38</v>
      </c>
      <c r="H193" s="183" t="str">
        <f t="shared" si="39"/>
        <v>na</v>
      </c>
      <c r="I193" s="17">
        <f t="shared" si="40"/>
        <v>0</v>
      </c>
      <c r="J193" s="113">
        <v>2.38</v>
      </c>
      <c r="K193" s="325">
        <v>0.25</v>
      </c>
      <c r="L193" s="19">
        <f t="shared" si="41"/>
        <v>2.13</v>
      </c>
      <c r="M193" s="325">
        <f t="shared" si="43"/>
        <v>0</v>
      </c>
      <c r="N193" s="112">
        <f>+L193*I193</f>
        <v>0</v>
      </c>
      <c r="O193" s="112">
        <f t="shared" si="46"/>
        <v>0</v>
      </c>
      <c r="S193" s="365">
        <v>719842</v>
      </c>
      <c r="T193" s="466" t="s">
        <v>1622</v>
      </c>
    </row>
    <row r="194" spans="1:20" s="21" customFormat="1" ht="15" customHeight="1" x14ac:dyDescent="0.2">
      <c r="A194" s="315" t="s">
        <v>1443</v>
      </c>
      <c r="B194" s="17">
        <v>115591</v>
      </c>
      <c r="C194" s="318">
        <v>734123</v>
      </c>
      <c r="D194" s="470" t="s">
        <v>355</v>
      </c>
      <c r="E194" s="17"/>
      <c r="F194" s="17">
        <v>44778</v>
      </c>
      <c r="G194" s="17">
        <v>2.38</v>
      </c>
      <c r="H194" s="183" t="str">
        <f t="shared" si="39"/>
        <v>na</v>
      </c>
      <c r="I194" s="17">
        <f t="shared" si="40"/>
        <v>0</v>
      </c>
      <c r="J194" s="113">
        <v>2.38</v>
      </c>
      <c r="K194" s="325">
        <v>0.25</v>
      </c>
      <c r="L194" s="19">
        <f t="shared" si="41"/>
        <v>2.13</v>
      </c>
      <c r="M194" s="325">
        <f t="shared" si="43"/>
        <v>0</v>
      </c>
      <c r="N194" s="112">
        <f t="shared" si="45"/>
        <v>0</v>
      </c>
      <c r="O194" s="112">
        <f t="shared" si="46"/>
        <v>0</v>
      </c>
      <c r="P194" s="90"/>
      <c r="Q194" s="90"/>
      <c r="S194" s="365">
        <v>719860</v>
      </c>
      <c r="T194" s="466" t="s">
        <v>1426</v>
      </c>
    </row>
    <row r="195" spans="1:20" s="21" customFormat="1" ht="15" customHeight="1" x14ac:dyDescent="0.2">
      <c r="A195" s="315" t="s">
        <v>1443</v>
      </c>
      <c r="B195" s="17">
        <v>109806</v>
      </c>
      <c r="C195" s="318">
        <v>722914</v>
      </c>
      <c r="D195" s="470" t="s">
        <v>504</v>
      </c>
      <c r="E195" s="17"/>
      <c r="F195" s="17">
        <v>64794</v>
      </c>
      <c r="G195" s="17" t="s">
        <v>505</v>
      </c>
      <c r="H195" s="183" t="str">
        <f t="shared" si="39"/>
        <v>na</v>
      </c>
      <c r="I195" s="17">
        <f t="shared" si="40"/>
        <v>0</v>
      </c>
      <c r="J195" s="113">
        <f>+$J$3*0.97</f>
        <v>2.0758000000000001</v>
      </c>
      <c r="K195" s="325">
        <v>0.25</v>
      </c>
      <c r="L195" s="19">
        <f t="shared" si="41"/>
        <v>1.8258000000000001</v>
      </c>
      <c r="M195" s="325">
        <f t="shared" si="43"/>
        <v>0</v>
      </c>
      <c r="N195" s="112">
        <f t="shared" si="45"/>
        <v>0</v>
      </c>
      <c r="O195" s="112">
        <f t="shared" si="46"/>
        <v>0</v>
      </c>
      <c r="S195" s="365">
        <v>719887</v>
      </c>
      <c r="T195" s="466" t="s">
        <v>1517</v>
      </c>
    </row>
    <row r="196" spans="1:20" s="21" customFormat="1" ht="15" customHeight="1" x14ac:dyDescent="0.2">
      <c r="A196" s="315" t="s">
        <v>1444</v>
      </c>
      <c r="B196" s="17">
        <v>109782</v>
      </c>
      <c r="C196" s="318">
        <v>724681</v>
      </c>
      <c r="D196" s="470" t="s">
        <v>504</v>
      </c>
      <c r="E196" s="17"/>
      <c r="F196" s="17">
        <v>64794</v>
      </c>
      <c r="G196" s="17" t="s">
        <v>505</v>
      </c>
      <c r="H196" s="183" t="str">
        <f t="shared" si="39"/>
        <v>na</v>
      </c>
      <c r="I196" s="17">
        <f t="shared" si="40"/>
        <v>0</v>
      </c>
      <c r="J196" s="113">
        <f>+$J$3*0.97</f>
        <v>2.0758000000000001</v>
      </c>
      <c r="K196" s="325">
        <v>0.25</v>
      </c>
      <c r="L196" s="19">
        <f t="shared" si="41"/>
        <v>1.8258000000000001</v>
      </c>
      <c r="M196" s="325">
        <f t="shared" si="43"/>
        <v>0</v>
      </c>
      <c r="N196" s="112">
        <f t="shared" si="45"/>
        <v>0</v>
      </c>
      <c r="O196" s="112">
        <f t="shared" si="46"/>
        <v>0</v>
      </c>
      <c r="S196" s="318">
        <v>720047</v>
      </c>
      <c r="T196" s="470" t="s">
        <v>546</v>
      </c>
    </row>
    <row r="197" spans="1:20" s="21" customFormat="1" ht="15" customHeight="1" x14ac:dyDescent="0.2">
      <c r="A197" s="179" t="s">
        <v>1444</v>
      </c>
      <c r="B197" s="17"/>
      <c r="C197" s="365">
        <v>720550</v>
      </c>
      <c r="D197" s="466" t="s">
        <v>1627</v>
      </c>
      <c r="E197" s="17"/>
      <c r="F197" s="16"/>
      <c r="G197" s="17" t="s">
        <v>1424</v>
      </c>
      <c r="H197" s="183" t="str">
        <f t="shared" si="39"/>
        <v>na</v>
      </c>
      <c r="I197" s="17">
        <f t="shared" si="40"/>
        <v>0</v>
      </c>
      <c r="J197" s="113">
        <f t="shared" ref="J197:J204" si="47">+$J$3</f>
        <v>2.14</v>
      </c>
      <c r="K197" s="325">
        <v>0.25</v>
      </c>
      <c r="L197" s="19">
        <f t="shared" si="41"/>
        <v>1.8900000000000001</v>
      </c>
      <c r="M197" s="325">
        <f t="shared" si="43"/>
        <v>0</v>
      </c>
      <c r="N197" s="112">
        <f t="shared" si="45"/>
        <v>0</v>
      </c>
      <c r="O197" s="112">
        <f t="shared" si="46"/>
        <v>0</v>
      </c>
      <c r="S197" s="365">
        <v>720049</v>
      </c>
      <c r="T197" s="466" t="s">
        <v>1500</v>
      </c>
    </row>
    <row r="198" spans="1:20" s="21" customFormat="1" ht="15" customHeight="1" x14ac:dyDescent="0.2">
      <c r="A198" s="179" t="s">
        <v>1444</v>
      </c>
      <c r="B198" s="17">
        <v>113903</v>
      </c>
      <c r="C198" s="365">
        <v>720551</v>
      </c>
      <c r="D198" s="466" t="s">
        <v>1627</v>
      </c>
      <c r="E198" s="17"/>
      <c r="F198" s="16"/>
      <c r="G198" s="17" t="s">
        <v>1424</v>
      </c>
      <c r="H198" s="183" t="str">
        <f t="shared" ref="H198:H222" si="48">IF(ISNA(VLOOKUP(C198,gath9909,10,FALSE)),"na",VLOOKUP(C198,gath9909,10,FALSE))</f>
        <v>na</v>
      </c>
      <c r="I198" s="17">
        <f t="shared" ref="I198:I222" si="49">IF(ISNA(VLOOKUP(C198,gath9909,12,FALSE)),0,(VLOOKUP(C198,gath9909,12,FALSE)))</f>
        <v>0</v>
      </c>
      <c r="J198" s="113">
        <f t="shared" si="47"/>
        <v>2.14</v>
      </c>
      <c r="K198" s="325">
        <v>0.25</v>
      </c>
      <c r="L198" s="19">
        <f t="shared" si="41"/>
        <v>1.8900000000000001</v>
      </c>
      <c r="M198" s="325">
        <f t="shared" si="43"/>
        <v>0</v>
      </c>
      <c r="N198" s="112">
        <f t="shared" si="45"/>
        <v>0</v>
      </c>
      <c r="O198" s="112">
        <f t="shared" si="46"/>
        <v>0</v>
      </c>
      <c r="S198" s="365">
        <v>720074</v>
      </c>
      <c r="T198" s="466" t="s">
        <v>1499</v>
      </c>
    </row>
    <row r="199" spans="1:20" s="21" customFormat="1" ht="15" customHeight="1" x14ac:dyDescent="0.2">
      <c r="A199" s="179" t="s">
        <v>1444</v>
      </c>
      <c r="B199" s="17"/>
      <c r="C199" s="365">
        <v>722039</v>
      </c>
      <c r="D199" s="466" t="s">
        <v>1627</v>
      </c>
      <c r="E199" s="17"/>
      <c r="F199" s="16"/>
      <c r="G199" s="17" t="s">
        <v>1424</v>
      </c>
      <c r="H199" s="183" t="str">
        <f t="shared" si="48"/>
        <v>na</v>
      </c>
      <c r="I199" s="17">
        <f t="shared" si="49"/>
        <v>0</v>
      </c>
      <c r="J199" s="113">
        <f t="shared" si="47"/>
        <v>2.14</v>
      </c>
      <c r="K199" s="325">
        <v>0.25</v>
      </c>
      <c r="L199" s="19">
        <f t="shared" si="41"/>
        <v>1.8900000000000001</v>
      </c>
      <c r="M199" s="325">
        <f t="shared" si="43"/>
        <v>0</v>
      </c>
      <c r="N199" s="112">
        <f t="shared" si="45"/>
        <v>0</v>
      </c>
      <c r="O199" s="112">
        <f t="shared" si="46"/>
        <v>0</v>
      </c>
      <c r="S199" s="365">
        <v>720079</v>
      </c>
      <c r="T199" s="466" t="s">
        <v>1426</v>
      </c>
    </row>
    <row r="200" spans="1:20" s="21" customFormat="1" ht="15" customHeight="1" x14ac:dyDescent="0.2">
      <c r="A200" s="179" t="s">
        <v>1444</v>
      </c>
      <c r="B200" s="17">
        <v>133422</v>
      </c>
      <c r="C200" s="365">
        <v>722489</v>
      </c>
      <c r="D200" s="466" t="s">
        <v>1627</v>
      </c>
      <c r="E200" s="17"/>
      <c r="F200" s="16"/>
      <c r="G200" s="17" t="s">
        <v>1424</v>
      </c>
      <c r="H200" s="183" t="str">
        <f t="shared" si="48"/>
        <v>na</v>
      </c>
      <c r="I200" s="17">
        <f t="shared" si="49"/>
        <v>0</v>
      </c>
      <c r="J200" s="113">
        <f t="shared" si="47"/>
        <v>2.14</v>
      </c>
      <c r="K200" s="325">
        <v>0.25</v>
      </c>
      <c r="L200" s="19">
        <f t="shared" ref="L200:L207" si="50">+J200-K200</f>
        <v>1.8900000000000001</v>
      </c>
      <c r="M200" s="325">
        <f t="shared" si="43"/>
        <v>0</v>
      </c>
      <c r="N200" s="112">
        <f t="shared" si="45"/>
        <v>0</v>
      </c>
      <c r="O200" s="112">
        <f t="shared" si="46"/>
        <v>0</v>
      </c>
      <c r="S200" s="318">
        <v>720086</v>
      </c>
      <c r="T200" s="470" t="s">
        <v>813</v>
      </c>
    </row>
    <row r="201" spans="1:20" s="21" customFormat="1" ht="15" customHeight="1" x14ac:dyDescent="0.2">
      <c r="A201" s="179" t="s">
        <v>1497</v>
      </c>
      <c r="B201" s="17">
        <v>124605</v>
      </c>
      <c r="C201" s="365">
        <v>722626</v>
      </c>
      <c r="D201" s="466" t="s">
        <v>1627</v>
      </c>
      <c r="E201" s="17"/>
      <c r="F201" s="16"/>
      <c r="G201" s="17" t="s">
        <v>1424</v>
      </c>
      <c r="H201" s="183" t="str">
        <f t="shared" si="48"/>
        <v>na</v>
      </c>
      <c r="I201" s="17">
        <f t="shared" si="49"/>
        <v>0</v>
      </c>
      <c r="J201" s="113">
        <f t="shared" si="47"/>
        <v>2.14</v>
      </c>
      <c r="K201" s="325">
        <v>0.25</v>
      </c>
      <c r="L201" s="19">
        <f t="shared" si="50"/>
        <v>1.8900000000000001</v>
      </c>
      <c r="M201" s="325">
        <f t="shared" si="43"/>
        <v>0</v>
      </c>
      <c r="N201" s="112">
        <f t="shared" si="45"/>
        <v>0</v>
      </c>
      <c r="O201" s="112">
        <f t="shared" si="46"/>
        <v>0</v>
      </c>
      <c r="S201" s="366">
        <v>720118</v>
      </c>
      <c r="T201" s="466" t="s">
        <v>1618</v>
      </c>
    </row>
    <row r="202" spans="1:20" s="21" customFormat="1" ht="15" customHeight="1" x14ac:dyDescent="0.2">
      <c r="A202" s="179" t="s">
        <v>1444</v>
      </c>
      <c r="B202" s="134"/>
      <c r="C202" s="365">
        <v>730061</v>
      </c>
      <c r="D202" s="466" t="s">
        <v>1627</v>
      </c>
      <c r="E202" s="17"/>
      <c r="F202" s="16"/>
      <c r="G202" s="17" t="s">
        <v>1424</v>
      </c>
      <c r="H202" s="183" t="str">
        <f t="shared" si="48"/>
        <v>na</v>
      </c>
      <c r="I202" s="17">
        <f t="shared" si="49"/>
        <v>0</v>
      </c>
      <c r="J202" s="113">
        <f t="shared" si="47"/>
        <v>2.14</v>
      </c>
      <c r="K202" s="325">
        <v>0.25</v>
      </c>
      <c r="L202" s="19">
        <f t="shared" si="50"/>
        <v>1.8900000000000001</v>
      </c>
      <c r="M202" s="325">
        <f t="shared" si="43"/>
        <v>0</v>
      </c>
      <c r="N202" s="112">
        <f t="shared" si="45"/>
        <v>0</v>
      </c>
      <c r="O202" s="112">
        <f t="shared" si="46"/>
        <v>0</v>
      </c>
      <c r="S202" s="318">
        <v>720153</v>
      </c>
      <c r="T202" s="470" t="s">
        <v>531</v>
      </c>
    </row>
    <row r="203" spans="1:20" s="21" customFormat="1" ht="15" customHeight="1" x14ac:dyDescent="0.2">
      <c r="A203" s="179" t="s">
        <v>1497</v>
      </c>
      <c r="B203" s="134"/>
      <c r="C203" s="365">
        <v>730074</v>
      </c>
      <c r="D203" s="466" t="s">
        <v>1627</v>
      </c>
      <c r="E203" s="17"/>
      <c r="F203" s="16"/>
      <c r="G203" s="17" t="s">
        <v>1424</v>
      </c>
      <c r="H203" s="183" t="str">
        <f t="shared" si="48"/>
        <v>na</v>
      </c>
      <c r="I203" s="17">
        <f t="shared" si="49"/>
        <v>0</v>
      </c>
      <c r="J203" s="113">
        <f t="shared" si="47"/>
        <v>2.14</v>
      </c>
      <c r="K203" s="325">
        <v>0.25</v>
      </c>
      <c r="L203" s="19">
        <f t="shared" si="50"/>
        <v>1.8900000000000001</v>
      </c>
      <c r="M203" s="325">
        <f t="shared" si="43"/>
        <v>0</v>
      </c>
      <c r="N203" s="112">
        <f t="shared" si="45"/>
        <v>0</v>
      </c>
      <c r="O203" s="112">
        <f t="shared" si="46"/>
        <v>0</v>
      </c>
      <c r="S203" s="318">
        <v>720164</v>
      </c>
      <c r="T203" s="470" t="s">
        <v>541</v>
      </c>
    </row>
    <row r="204" spans="1:20" s="21" customFormat="1" ht="15" customHeight="1" x14ac:dyDescent="0.2">
      <c r="A204" s="179" t="s">
        <v>1444</v>
      </c>
      <c r="B204" s="134"/>
      <c r="C204" s="365">
        <v>733958</v>
      </c>
      <c r="D204" s="466" t="s">
        <v>1627</v>
      </c>
      <c r="E204" s="17"/>
      <c r="F204" s="16"/>
      <c r="G204" s="17" t="s">
        <v>1424</v>
      </c>
      <c r="H204" s="183" t="str">
        <f t="shared" si="48"/>
        <v>na</v>
      </c>
      <c r="I204" s="17">
        <f t="shared" si="49"/>
        <v>0</v>
      </c>
      <c r="J204" s="113">
        <f t="shared" si="47"/>
        <v>2.14</v>
      </c>
      <c r="K204" s="325">
        <v>0.25</v>
      </c>
      <c r="L204" s="19">
        <f t="shared" si="50"/>
        <v>1.8900000000000001</v>
      </c>
      <c r="M204" s="325">
        <f t="shared" si="43"/>
        <v>0</v>
      </c>
      <c r="N204" s="112">
        <f t="shared" si="45"/>
        <v>0</v>
      </c>
      <c r="O204" s="112">
        <f t="shared" si="46"/>
        <v>0</v>
      </c>
      <c r="S204" s="318">
        <v>720186</v>
      </c>
      <c r="T204" s="470" t="s">
        <v>472</v>
      </c>
    </row>
    <row r="205" spans="1:20" s="21" customFormat="1" ht="15" customHeight="1" x14ac:dyDescent="0.2">
      <c r="A205" s="179" t="s">
        <v>1443</v>
      </c>
      <c r="B205" s="17">
        <v>109754</v>
      </c>
      <c r="C205" s="365">
        <v>706264</v>
      </c>
      <c r="D205" s="466" t="s">
        <v>1556</v>
      </c>
      <c r="E205" s="17"/>
      <c r="F205" s="16"/>
      <c r="G205" s="267" t="s">
        <v>1456</v>
      </c>
      <c r="H205" s="183" t="str">
        <f t="shared" si="48"/>
        <v>na</v>
      </c>
      <c r="I205" s="17">
        <f t="shared" si="49"/>
        <v>0</v>
      </c>
      <c r="J205" s="113">
        <f>+$J$3*0.95</f>
        <v>2.0329999999999999</v>
      </c>
      <c r="K205" s="325">
        <v>0.25</v>
      </c>
      <c r="L205" s="19">
        <f>+J205-K205</f>
        <v>1.7829999999999999</v>
      </c>
      <c r="M205" s="325">
        <f t="shared" si="43"/>
        <v>0</v>
      </c>
      <c r="N205" s="112">
        <f>+L205*I205</f>
        <v>0</v>
      </c>
      <c r="O205" s="112">
        <f t="shared" si="46"/>
        <v>0</v>
      </c>
      <c r="S205" s="318">
        <v>720229</v>
      </c>
      <c r="T205" s="470" t="s">
        <v>498</v>
      </c>
    </row>
    <row r="206" spans="1:20" s="21" customFormat="1" ht="15" customHeight="1" x14ac:dyDescent="0.2">
      <c r="A206" s="315" t="s">
        <v>1443</v>
      </c>
      <c r="B206" s="17">
        <v>110381</v>
      </c>
      <c r="C206" s="318">
        <v>730916</v>
      </c>
      <c r="D206" s="470" t="s">
        <v>506</v>
      </c>
      <c r="E206" s="17"/>
      <c r="F206" s="17">
        <v>51205</v>
      </c>
      <c r="G206" s="17" t="s">
        <v>507</v>
      </c>
      <c r="H206" s="183" t="str">
        <f t="shared" si="48"/>
        <v>na</v>
      </c>
      <c r="I206" s="17">
        <f t="shared" si="49"/>
        <v>0</v>
      </c>
      <c r="J206" s="113">
        <f>+$J$2*0.98</f>
        <v>2.0677999999999996</v>
      </c>
      <c r="K206" s="325">
        <v>0.25</v>
      </c>
      <c r="L206" s="19">
        <f t="shared" si="50"/>
        <v>1.8177999999999996</v>
      </c>
      <c r="M206" s="325">
        <f t="shared" si="43"/>
        <v>0</v>
      </c>
      <c r="N206" s="112">
        <f t="shared" si="45"/>
        <v>0</v>
      </c>
      <c r="O206" s="112">
        <f t="shared" si="46"/>
        <v>0</v>
      </c>
      <c r="S206" s="364">
        <v>720240</v>
      </c>
      <c r="T206" s="471" t="s">
        <v>1669</v>
      </c>
    </row>
    <row r="207" spans="1:20" s="21" customFormat="1" ht="15" customHeight="1" x14ac:dyDescent="0.2">
      <c r="A207" s="315" t="s">
        <v>1444</v>
      </c>
      <c r="B207" s="17"/>
      <c r="C207" s="318">
        <v>722629</v>
      </c>
      <c r="D207" s="470" t="s">
        <v>508</v>
      </c>
      <c r="E207" s="17"/>
      <c r="F207" s="17">
        <v>46570</v>
      </c>
      <c r="G207" s="17" t="s">
        <v>473</v>
      </c>
      <c r="H207" s="183" t="str">
        <f t="shared" si="48"/>
        <v>na</v>
      </c>
      <c r="I207" s="17">
        <f t="shared" si="49"/>
        <v>0</v>
      </c>
      <c r="J207" s="113">
        <f>+$J$3-0.08</f>
        <v>2.06</v>
      </c>
      <c r="K207" s="325">
        <v>0.25</v>
      </c>
      <c r="L207" s="19">
        <f t="shared" si="50"/>
        <v>1.81</v>
      </c>
      <c r="M207" s="325">
        <f t="shared" si="43"/>
        <v>0</v>
      </c>
      <c r="N207" s="112">
        <f t="shared" si="45"/>
        <v>0</v>
      </c>
      <c r="O207" s="112">
        <f t="shared" si="46"/>
        <v>0</v>
      </c>
      <c r="S207" s="365">
        <v>720326</v>
      </c>
      <c r="T207" s="466" t="s">
        <v>1517</v>
      </c>
    </row>
    <row r="208" spans="1:20" s="21" customFormat="1" ht="15" customHeight="1" x14ac:dyDescent="0.2">
      <c r="A208" s="315" t="s">
        <v>1443</v>
      </c>
      <c r="B208" s="75">
        <v>113785</v>
      </c>
      <c r="C208" s="364">
        <v>732037</v>
      </c>
      <c r="D208" s="471" t="s">
        <v>509</v>
      </c>
      <c r="E208" s="159"/>
      <c r="F208" s="159">
        <v>47902</v>
      </c>
      <c r="G208" s="159" t="s">
        <v>1360</v>
      </c>
      <c r="H208" s="488" t="str">
        <f t="shared" si="48"/>
        <v>na</v>
      </c>
      <c r="I208" s="159">
        <f t="shared" si="49"/>
        <v>0</v>
      </c>
      <c r="J208" s="421">
        <f>+'Special Pricing'!$G$421</f>
        <v>4.49</v>
      </c>
      <c r="K208" s="325">
        <v>0.25</v>
      </c>
      <c r="L208" s="19">
        <f t="shared" ref="L208:L237" si="51">+J208-K208</f>
        <v>4.24</v>
      </c>
      <c r="M208" s="325">
        <f t="shared" si="43"/>
        <v>0</v>
      </c>
      <c r="N208" s="112">
        <f t="shared" ref="N208:N237" si="52">+L208*I208</f>
        <v>0</v>
      </c>
      <c r="O208" s="112">
        <f t="shared" si="46"/>
        <v>0</v>
      </c>
      <c r="S208" s="318">
        <v>720491</v>
      </c>
      <c r="T208" s="470" t="s">
        <v>890</v>
      </c>
    </row>
    <row r="209" spans="1:20" s="21" customFormat="1" ht="15" customHeight="1" x14ac:dyDescent="0.2">
      <c r="A209" s="315" t="s">
        <v>1443</v>
      </c>
      <c r="B209" s="75">
        <v>113787</v>
      </c>
      <c r="C209" s="364">
        <v>733864</v>
      </c>
      <c r="D209" s="471" t="s">
        <v>509</v>
      </c>
      <c r="E209" s="159"/>
      <c r="F209" s="159">
        <v>47902</v>
      </c>
      <c r="G209" s="159" t="s">
        <v>1360</v>
      </c>
      <c r="H209" s="488" t="str">
        <f t="shared" si="48"/>
        <v>na</v>
      </c>
      <c r="I209" s="159">
        <f t="shared" si="49"/>
        <v>0</v>
      </c>
      <c r="J209" s="421">
        <f>+'Special Pricing'!$G$421</f>
        <v>4.49</v>
      </c>
      <c r="K209" s="325">
        <v>0.25</v>
      </c>
      <c r="L209" s="19">
        <f t="shared" si="51"/>
        <v>4.24</v>
      </c>
      <c r="M209" s="325">
        <f t="shared" si="43"/>
        <v>0</v>
      </c>
      <c r="N209" s="112">
        <f t="shared" si="52"/>
        <v>0</v>
      </c>
      <c r="O209" s="112">
        <f t="shared" si="46"/>
        <v>0</v>
      </c>
      <c r="S209" s="318">
        <v>720501</v>
      </c>
      <c r="T209" s="470" t="s">
        <v>535</v>
      </c>
    </row>
    <row r="210" spans="1:20" s="21" customFormat="1" ht="15" customHeight="1" x14ac:dyDescent="0.2">
      <c r="A210" s="315" t="s">
        <v>1443</v>
      </c>
      <c r="B210" s="75">
        <v>113622</v>
      </c>
      <c r="C210" s="318">
        <v>720761</v>
      </c>
      <c r="D210" s="470" t="s">
        <v>512</v>
      </c>
      <c r="E210" s="17"/>
      <c r="F210" s="17">
        <v>48052</v>
      </c>
      <c r="G210" s="17" t="s">
        <v>1423</v>
      </c>
      <c r="H210" s="183" t="str">
        <f t="shared" si="48"/>
        <v>na</v>
      </c>
      <c r="I210" s="17">
        <f t="shared" si="49"/>
        <v>0</v>
      </c>
      <c r="J210" s="113">
        <f>$J$3*0.99</f>
        <v>2.1186000000000003</v>
      </c>
      <c r="K210" s="325">
        <v>0.25</v>
      </c>
      <c r="L210" s="19">
        <f t="shared" si="51"/>
        <v>1.8686000000000003</v>
      </c>
      <c r="M210" s="325">
        <f t="shared" si="43"/>
        <v>0</v>
      </c>
      <c r="N210" s="112">
        <f t="shared" si="52"/>
        <v>0</v>
      </c>
      <c r="O210" s="112">
        <f t="shared" si="46"/>
        <v>0</v>
      </c>
      <c r="S210" s="318">
        <v>720548</v>
      </c>
      <c r="T210" s="470" t="s">
        <v>526</v>
      </c>
    </row>
    <row r="211" spans="1:20" ht="15" customHeight="1" x14ac:dyDescent="0.2">
      <c r="A211" s="179" t="s">
        <v>1443</v>
      </c>
      <c r="B211" s="89"/>
      <c r="C211" s="365">
        <v>731315</v>
      </c>
      <c r="D211" s="466" t="s">
        <v>1694</v>
      </c>
      <c r="E211" s="17"/>
      <c r="F211" s="16"/>
      <c r="G211" s="267" t="s">
        <v>1424</v>
      </c>
      <c r="H211" s="183" t="str">
        <f t="shared" si="48"/>
        <v>na</v>
      </c>
      <c r="I211" s="17">
        <f t="shared" si="49"/>
        <v>0</v>
      </c>
      <c r="J211" s="113">
        <f>+$J$3</f>
        <v>2.14</v>
      </c>
      <c r="K211" s="325">
        <v>0.25</v>
      </c>
      <c r="L211" s="19">
        <f t="shared" si="51"/>
        <v>1.8900000000000001</v>
      </c>
      <c r="M211" s="325">
        <f t="shared" si="43"/>
        <v>0</v>
      </c>
      <c r="N211" s="112">
        <f t="shared" si="52"/>
        <v>0</v>
      </c>
      <c r="O211" s="112">
        <f t="shared" si="46"/>
        <v>0</v>
      </c>
      <c r="P211" s="21"/>
      <c r="Q211" s="21"/>
      <c r="S211" s="365">
        <v>720550</v>
      </c>
      <c r="T211" s="466" t="s">
        <v>1627</v>
      </c>
    </row>
    <row r="212" spans="1:20" ht="15" customHeight="1" x14ac:dyDescent="0.2">
      <c r="A212" s="179" t="s">
        <v>1443</v>
      </c>
      <c r="B212" s="89"/>
      <c r="C212" s="365">
        <v>733208</v>
      </c>
      <c r="D212" s="466" t="s">
        <v>1694</v>
      </c>
      <c r="E212" s="17"/>
      <c r="F212" s="16"/>
      <c r="G212" s="267" t="s">
        <v>1424</v>
      </c>
      <c r="H212" s="183" t="str">
        <f t="shared" si="48"/>
        <v>na</v>
      </c>
      <c r="I212" s="17">
        <f t="shared" si="49"/>
        <v>0</v>
      </c>
      <c r="J212" s="113">
        <f>+$J$3</f>
        <v>2.14</v>
      </c>
      <c r="K212" s="325">
        <v>0.25</v>
      </c>
      <c r="L212" s="19">
        <f t="shared" si="51"/>
        <v>1.8900000000000001</v>
      </c>
      <c r="M212" s="325">
        <f t="shared" si="43"/>
        <v>0</v>
      </c>
      <c r="N212" s="112">
        <f t="shared" si="52"/>
        <v>0</v>
      </c>
      <c r="O212" s="112">
        <f t="shared" si="46"/>
        <v>0</v>
      </c>
      <c r="P212" s="21"/>
      <c r="Q212" s="21"/>
      <c r="S212" s="365">
        <v>720551</v>
      </c>
      <c r="T212" s="466" t="s">
        <v>1627</v>
      </c>
    </row>
    <row r="213" spans="1:20" ht="15" customHeight="1" x14ac:dyDescent="0.2">
      <c r="A213" s="179" t="s">
        <v>1444</v>
      </c>
      <c r="B213" s="75"/>
      <c r="C213" s="365">
        <v>704761</v>
      </c>
      <c r="D213" s="466" t="s">
        <v>1426</v>
      </c>
      <c r="E213" s="17"/>
      <c r="F213" s="16"/>
      <c r="G213" s="159" t="s">
        <v>1711</v>
      </c>
      <c r="H213" s="183" t="str">
        <f t="shared" si="48"/>
        <v>na</v>
      </c>
      <c r="I213" s="17">
        <f t="shared" si="49"/>
        <v>0</v>
      </c>
      <c r="J213" s="418" t="e">
        <f>+'Special Pricing'!$G$434</f>
        <v>#DIV/0!</v>
      </c>
      <c r="K213" s="325">
        <v>0.25</v>
      </c>
      <c r="L213" s="19" t="e">
        <f t="shared" si="51"/>
        <v>#DIV/0!</v>
      </c>
      <c r="M213" s="325">
        <f t="shared" si="43"/>
        <v>0</v>
      </c>
      <c r="N213" s="112" t="e">
        <f t="shared" si="52"/>
        <v>#DIV/0!</v>
      </c>
      <c r="O213" s="112" t="e">
        <f t="shared" si="46"/>
        <v>#DIV/0!</v>
      </c>
      <c r="P213" s="21"/>
      <c r="Q213" s="21"/>
      <c r="S213" s="318">
        <v>720563</v>
      </c>
      <c r="T213" s="470" t="s">
        <v>521</v>
      </c>
    </row>
    <row r="214" spans="1:20" ht="15" customHeight="1" x14ac:dyDescent="0.2">
      <c r="A214" s="179" t="s">
        <v>1444</v>
      </c>
      <c r="B214" s="75">
        <v>113630</v>
      </c>
      <c r="C214" s="365">
        <v>706353</v>
      </c>
      <c r="D214" s="466" t="s">
        <v>1426</v>
      </c>
      <c r="E214" s="17"/>
      <c r="F214" s="16"/>
      <c r="G214" s="159" t="s">
        <v>1711</v>
      </c>
      <c r="H214" s="183" t="str">
        <f t="shared" si="48"/>
        <v>na</v>
      </c>
      <c r="I214" s="17">
        <f t="shared" si="49"/>
        <v>0</v>
      </c>
      <c r="J214" s="418" t="e">
        <f>+'Special Pricing'!$G$434</f>
        <v>#DIV/0!</v>
      </c>
      <c r="K214" s="325">
        <v>0.25</v>
      </c>
      <c r="L214" s="19" t="e">
        <f t="shared" si="51"/>
        <v>#DIV/0!</v>
      </c>
      <c r="M214" s="325">
        <f t="shared" si="43"/>
        <v>0</v>
      </c>
      <c r="N214" s="112" t="e">
        <f t="shared" si="52"/>
        <v>#DIV/0!</v>
      </c>
      <c r="O214" s="112" t="e">
        <f t="shared" si="46"/>
        <v>#DIV/0!</v>
      </c>
      <c r="P214" s="21"/>
      <c r="Q214" s="21"/>
      <c r="S214" s="365">
        <v>720583</v>
      </c>
      <c r="T214" s="466" t="s">
        <v>1502</v>
      </c>
    </row>
    <row r="215" spans="1:20" ht="15" customHeight="1" x14ac:dyDescent="0.2">
      <c r="A215" s="179" t="s">
        <v>1497</v>
      </c>
      <c r="B215" s="75">
        <v>109744</v>
      </c>
      <c r="C215" s="365">
        <v>707350</v>
      </c>
      <c r="D215" s="466" t="s">
        <v>1426</v>
      </c>
      <c r="E215" s="17"/>
      <c r="F215" s="16"/>
      <c r="G215" s="159" t="s">
        <v>1711</v>
      </c>
      <c r="H215" s="183" t="str">
        <f t="shared" si="48"/>
        <v>na</v>
      </c>
      <c r="I215" s="17">
        <f t="shared" si="49"/>
        <v>0</v>
      </c>
      <c r="J215" s="418" t="e">
        <f>+'Special Pricing'!$G$434</f>
        <v>#DIV/0!</v>
      </c>
      <c r="K215" s="325">
        <v>0.25</v>
      </c>
      <c r="L215" s="19" t="e">
        <f t="shared" si="51"/>
        <v>#DIV/0!</v>
      </c>
      <c r="M215" s="325">
        <f t="shared" si="43"/>
        <v>0</v>
      </c>
      <c r="N215" s="112" t="e">
        <f t="shared" si="52"/>
        <v>#DIV/0!</v>
      </c>
      <c r="O215" s="112" t="e">
        <f t="shared" si="46"/>
        <v>#DIV/0!</v>
      </c>
      <c r="P215" s="21"/>
      <c r="Q215" s="21"/>
      <c r="S215" s="366">
        <v>720584</v>
      </c>
      <c r="T215" s="466" t="s">
        <v>1659</v>
      </c>
    </row>
    <row r="216" spans="1:20" ht="15" customHeight="1" x14ac:dyDescent="0.2">
      <c r="A216" s="179" t="s">
        <v>1443</v>
      </c>
      <c r="B216" s="75"/>
      <c r="C216" s="365">
        <v>708639</v>
      </c>
      <c r="D216" s="466" t="s">
        <v>1426</v>
      </c>
      <c r="E216" s="17"/>
      <c r="F216" s="16"/>
      <c r="G216" s="159" t="s">
        <v>1711</v>
      </c>
      <c r="H216" s="183" t="str">
        <f t="shared" si="48"/>
        <v>na</v>
      </c>
      <c r="I216" s="17">
        <f t="shared" si="49"/>
        <v>0</v>
      </c>
      <c r="J216" s="418" t="e">
        <f>+'Special Pricing'!$G$434</f>
        <v>#DIV/0!</v>
      </c>
      <c r="K216" s="325">
        <v>0.25</v>
      </c>
      <c r="L216" s="19" t="e">
        <f t="shared" si="51"/>
        <v>#DIV/0!</v>
      </c>
      <c r="M216" s="325">
        <f t="shared" si="43"/>
        <v>0</v>
      </c>
      <c r="N216" s="112" t="e">
        <f t="shared" si="52"/>
        <v>#DIV/0!</v>
      </c>
      <c r="O216" s="112" t="e">
        <f t="shared" si="46"/>
        <v>#DIV/0!</v>
      </c>
      <c r="P216" s="21"/>
      <c r="Q216" s="21"/>
      <c r="S216" s="318">
        <v>720660</v>
      </c>
      <c r="T216" s="470" t="s">
        <v>474</v>
      </c>
    </row>
    <row r="217" spans="1:20" ht="15" customHeight="1" x14ac:dyDescent="0.2">
      <c r="A217" s="179" t="s">
        <v>1444</v>
      </c>
      <c r="B217" s="75">
        <v>113653</v>
      </c>
      <c r="C217" s="365">
        <v>708751</v>
      </c>
      <c r="D217" s="466" t="s">
        <v>1426</v>
      </c>
      <c r="E217" s="17"/>
      <c r="F217" s="16"/>
      <c r="G217" s="159" t="s">
        <v>1711</v>
      </c>
      <c r="H217" s="183" t="str">
        <f t="shared" si="48"/>
        <v>na</v>
      </c>
      <c r="I217" s="17">
        <f t="shared" si="49"/>
        <v>0</v>
      </c>
      <c r="J217" s="418" t="e">
        <f>+'Special Pricing'!$G$434</f>
        <v>#DIV/0!</v>
      </c>
      <c r="K217" s="325">
        <v>0.25</v>
      </c>
      <c r="L217" s="19" t="e">
        <f t="shared" si="51"/>
        <v>#DIV/0!</v>
      </c>
      <c r="M217" s="325">
        <f t="shared" si="43"/>
        <v>0</v>
      </c>
      <c r="N217" s="112" t="e">
        <f t="shared" si="52"/>
        <v>#DIV/0!</v>
      </c>
      <c r="O217" s="112" t="e">
        <f t="shared" ref="O217:O281" si="53">(+L217*I217)-M217</f>
        <v>#DIV/0!</v>
      </c>
      <c r="P217" s="21"/>
      <c r="Q217" s="21"/>
      <c r="S217" s="365">
        <v>720677</v>
      </c>
      <c r="T217" s="466" t="s">
        <v>1717</v>
      </c>
    </row>
    <row r="218" spans="1:20" ht="15" customHeight="1" x14ac:dyDescent="0.2">
      <c r="A218" s="179" t="s">
        <v>1444</v>
      </c>
      <c r="B218" s="75">
        <v>109778</v>
      </c>
      <c r="C218" s="365">
        <v>709123</v>
      </c>
      <c r="D218" s="466" t="s">
        <v>1426</v>
      </c>
      <c r="E218" s="17"/>
      <c r="F218" s="16"/>
      <c r="G218" s="159" t="s">
        <v>1711</v>
      </c>
      <c r="H218" s="183" t="str">
        <f t="shared" si="48"/>
        <v>na</v>
      </c>
      <c r="I218" s="17">
        <f t="shared" si="49"/>
        <v>0</v>
      </c>
      <c r="J218" s="418" t="e">
        <f>+'Special Pricing'!$G$434</f>
        <v>#DIV/0!</v>
      </c>
      <c r="K218" s="325">
        <v>0.25</v>
      </c>
      <c r="L218" s="19" t="e">
        <f t="shared" si="51"/>
        <v>#DIV/0!</v>
      </c>
      <c r="M218" s="325">
        <f t="shared" si="43"/>
        <v>0</v>
      </c>
      <c r="N218" s="112" t="e">
        <f t="shared" si="52"/>
        <v>#DIV/0!</v>
      </c>
      <c r="O218" s="112" t="e">
        <f t="shared" si="53"/>
        <v>#DIV/0!</v>
      </c>
      <c r="S218" s="318">
        <v>720697</v>
      </c>
      <c r="T218" s="470" t="s">
        <v>545</v>
      </c>
    </row>
    <row r="219" spans="1:20" ht="15" customHeight="1" x14ac:dyDescent="0.2">
      <c r="A219" s="179" t="s">
        <v>1444</v>
      </c>
      <c r="B219" s="75"/>
      <c r="C219" s="365">
        <v>709257</v>
      </c>
      <c r="D219" s="466" t="s">
        <v>1426</v>
      </c>
      <c r="E219" s="17"/>
      <c r="F219" s="16"/>
      <c r="G219" s="159" t="s">
        <v>1711</v>
      </c>
      <c r="H219" s="183" t="str">
        <f t="shared" si="48"/>
        <v>na</v>
      </c>
      <c r="I219" s="17">
        <f t="shared" si="49"/>
        <v>0</v>
      </c>
      <c r="J219" s="418" t="e">
        <f>+'Special Pricing'!$G$434</f>
        <v>#DIV/0!</v>
      </c>
      <c r="K219" s="325">
        <v>0.25</v>
      </c>
      <c r="L219" s="19" t="e">
        <f t="shared" si="51"/>
        <v>#DIV/0!</v>
      </c>
      <c r="M219" s="325">
        <f t="shared" ref="M219:M283" si="54">IF(H219&gt;=0,I219*0.001,0)</f>
        <v>0</v>
      </c>
      <c r="N219" s="112" t="e">
        <f t="shared" si="52"/>
        <v>#DIV/0!</v>
      </c>
      <c r="O219" s="112" t="e">
        <f t="shared" si="53"/>
        <v>#DIV/0!</v>
      </c>
      <c r="P219" s="21"/>
      <c r="Q219" s="21"/>
      <c r="S219" s="365">
        <v>720732</v>
      </c>
      <c r="T219" s="466" t="s">
        <v>1499</v>
      </c>
    </row>
    <row r="220" spans="1:20" ht="15" customHeight="1" x14ac:dyDescent="0.2">
      <c r="A220" s="179" t="s">
        <v>1444</v>
      </c>
      <c r="B220" s="75">
        <v>109799</v>
      </c>
      <c r="C220" s="365">
        <v>709279</v>
      </c>
      <c r="D220" s="466" t="s">
        <v>1426</v>
      </c>
      <c r="E220" s="17"/>
      <c r="F220" s="16"/>
      <c r="G220" s="159" t="s">
        <v>1711</v>
      </c>
      <c r="H220" s="183" t="str">
        <f t="shared" si="48"/>
        <v>na</v>
      </c>
      <c r="I220" s="17">
        <f t="shared" si="49"/>
        <v>0</v>
      </c>
      <c r="J220" s="418" t="e">
        <f>+'Special Pricing'!$G$434</f>
        <v>#DIV/0!</v>
      </c>
      <c r="K220" s="325">
        <v>0.25</v>
      </c>
      <c r="L220" s="19" t="e">
        <f t="shared" si="51"/>
        <v>#DIV/0!</v>
      </c>
      <c r="M220" s="325">
        <f t="shared" si="54"/>
        <v>0</v>
      </c>
      <c r="N220" s="112" t="e">
        <f t="shared" si="52"/>
        <v>#DIV/0!</v>
      </c>
      <c r="O220" s="112" t="e">
        <f t="shared" si="53"/>
        <v>#DIV/0!</v>
      </c>
      <c r="P220" s="21"/>
      <c r="Q220" s="21"/>
      <c r="S220" s="318">
        <v>720761</v>
      </c>
      <c r="T220" s="470" t="s">
        <v>512</v>
      </c>
    </row>
    <row r="221" spans="1:20" ht="15" customHeight="1" x14ac:dyDescent="0.2">
      <c r="A221" s="179" t="s">
        <v>1443</v>
      </c>
      <c r="B221" s="75">
        <v>109781</v>
      </c>
      <c r="C221" s="365">
        <v>712344</v>
      </c>
      <c r="D221" s="466" t="s">
        <v>1426</v>
      </c>
      <c r="E221" s="17"/>
      <c r="F221" s="16"/>
      <c r="G221" s="159" t="s">
        <v>1711</v>
      </c>
      <c r="H221" s="183" t="str">
        <f t="shared" si="48"/>
        <v>na</v>
      </c>
      <c r="I221" s="17">
        <f t="shared" si="49"/>
        <v>0</v>
      </c>
      <c r="J221" s="418" t="e">
        <f>+'Special Pricing'!$G$434</f>
        <v>#DIV/0!</v>
      </c>
      <c r="K221" s="325">
        <v>0.25</v>
      </c>
      <c r="L221" s="19" t="e">
        <f t="shared" si="51"/>
        <v>#DIV/0!</v>
      </c>
      <c r="M221" s="325">
        <f t="shared" si="54"/>
        <v>0</v>
      </c>
      <c r="N221" s="112" t="e">
        <f t="shared" si="52"/>
        <v>#DIV/0!</v>
      </c>
      <c r="O221" s="112" t="e">
        <f t="shared" si="53"/>
        <v>#DIV/0!</v>
      </c>
      <c r="P221" s="21"/>
      <c r="Q221" s="21"/>
      <c r="S221" s="318">
        <v>720762</v>
      </c>
      <c r="T221" s="470" t="s">
        <v>484</v>
      </c>
    </row>
    <row r="222" spans="1:20" ht="15" customHeight="1" x14ac:dyDescent="0.2">
      <c r="A222" s="179" t="s">
        <v>1443</v>
      </c>
      <c r="B222" s="20"/>
      <c r="C222" s="365">
        <v>712995</v>
      </c>
      <c r="D222" s="466" t="s">
        <v>1426</v>
      </c>
      <c r="E222" s="17"/>
      <c r="F222" s="16"/>
      <c r="G222" s="159" t="s">
        <v>1711</v>
      </c>
      <c r="H222" s="183" t="str">
        <f t="shared" si="48"/>
        <v>na</v>
      </c>
      <c r="I222" s="17">
        <f t="shared" si="49"/>
        <v>0</v>
      </c>
      <c r="J222" s="418" t="e">
        <f>+'Special Pricing'!$G$434</f>
        <v>#DIV/0!</v>
      </c>
      <c r="K222" s="325">
        <v>0.25</v>
      </c>
      <c r="L222" s="19" t="e">
        <f t="shared" si="51"/>
        <v>#DIV/0!</v>
      </c>
      <c r="M222" s="325">
        <f t="shared" si="54"/>
        <v>0</v>
      </c>
      <c r="N222" s="112" t="e">
        <f t="shared" si="52"/>
        <v>#DIV/0!</v>
      </c>
      <c r="O222" s="112" t="e">
        <f t="shared" si="53"/>
        <v>#DIV/0!</v>
      </c>
      <c r="P222" s="21"/>
      <c r="Q222" s="21"/>
      <c r="S222" s="365">
        <v>720770</v>
      </c>
      <c r="T222" s="466" t="s">
        <v>1517</v>
      </c>
    </row>
    <row r="223" spans="1:20" ht="15" customHeight="1" x14ac:dyDescent="0.2">
      <c r="A223" s="179" t="s">
        <v>1443</v>
      </c>
      <c r="B223" s="75">
        <v>109766</v>
      </c>
      <c r="C223" s="365">
        <v>712997</v>
      </c>
      <c r="D223" s="466" t="s">
        <v>1426</v>
      </c>
      <c r="E223" s="17"/>
      <c r="F223" s="16"/>
      <c r="G223" s="159" t="s">
        <v>1711</v>
      </c>
      <c r="H223" s="183" t="str">
        <f t="shared" ref="H223:H254" si="55">IF(ISNA(VLOOKUP(C223,gath9909,10,FALSE)),"na",VLOOKUP(C223,gath9909,10,FALSE))</f>
        <v>na</v>
      </c>
      <c r="I223" s="17">
        <f t="shared" ref="I223:I254" si="56">IF(ISNA(VLOOKUP(C223,gath9909,12,FALSE)),0,(VLOOKUP(C223,gath9909,12,FALSE)))</f>
        <v>0</v>
      </c>
      <c r="J223" s="418" t="e">
        <f>+'Special Pricing'!$G$434</f>
        <v>#DIV/0!</v>
      </c>
      <c r="K223" s="325">
        <v>0.25</v>
      </c>
      <c r="L223" s="19" t="e">
        <f t="shared" si="51"/>
        <v>#DIV/0!</v>
      </c>
      <c r="M223" s="325">
        <f t="shared" si="54"/>
        <v>0</v>
      </c>
      <c r="N223" s="112" t="e">
        <f t="shared" si="52"/>
        <v>#DIV/0!</v>
      </c>
      <c r="O223" s="112" t="e">
        <f t="shared" si="53"/>
        <v>#DIV/0!</v>
      </c>
      <c r="P223" s="21"/>
      <c r="Q223" s="21"/>
      <c r="S223" s="318">
        <v>720783</v>
      </c>
      <c r="T223" s="470" t="s">
        <v>351</v>
      </c>
    </row>
    <row r="224" spans="1:20" ht="15" customHeight="1" x14ac:dyDescent="0.2">
      <c r="A224" s="179" t="s">
        <v>1497</v>
      </c>
      <c r="B224" s="75">
        <v>113776</v>
      </c>
      <c r="C224" s="365">
        <v>713017</v>
      </c>
      <c r="D224" s="466" t="s">
        <v>1426</v>
      </c>
      <c r="E224" s="17"/>
      <c r="F224" s="16"/>
      <c r="G224" s="159" t="s">
        <v>1711</v>
      </c>
      <c r="H224" s="183" t="str">
        <f t="shared" si="55"/>
        <v>na</v>
      </c>
      <c r="I224" s="17">
        <f t="shared" si="56"/>
        <v>0</v>
      </c>
      <c r="J224" s="418" t="e">
        <f>+'Special Pricing'!$G$434</f>
        <v>#DIV/0!</v>
      </c>
      <c r="K224" s="325">
        <v>0.25</v>
      </c>
      <c r="L224" s="19" t="e">
        <f t="shared" si="51"/>
        <v>#DIV/0!</v>
      </c>
      <c r="M224" s="325">
        <f t="shared" si="54"/>
        <v>0</v>
      </c>
      <c r="N224" s="112" t="e">
        <f t="shared" si="52"/>
        <v>#DIV/0!</v>
      </c>
      <c r="O224" s="112" t="e">
        <f t="shared" si="53"/>
        <v>#DIV/0!</v>
      </c>
      <c r="P224" s="21"/>
      <c r="Q224" s="21"/>
      <c r="S224" s="318">
        <v>720810</v>
      </c>
      <c r="T224" s="470" t="s">
        <v>480</v>
      </c>
    </row>
    <row r="225" spans="1:20" ht="15" customHeight="1" x14ac:dyDescent="0.2">
      <c r="A225" s="179" t="s">
        <v>1443</v>
      </c>
      <c r="B225" s="75">
        <v>113777</v>
      </c>
      <c r="C225" s="365">
        <v>713137</v>
      </c>
      <c r="D225" s="466" t="s">
        <v>1426</v>
      </c>
      <c r="E225" s="17"/>
      <c r="F225" s="16"/>
      <c r="G225" s="159" t="s">
        <v>1711</v>
      </c>
      <c r="H225" s="183" t="str">
        <f t="shared" si="55"/>
        <v>na</v>
      </c>
      <c r="I225" s="17">
        <f t="shared" si="56"/>
        <v>0</v>
      </c>
      <c r="J225" s="418" t="e">
        <f>+'Special Pricing'!$G$434</f>
        <v>#DIV/0!</v>
      </c>
      <c r="K225" s="325">
        <v>0.25</v>
      </c>
      <c r="L225" s="19" t="e">
        <f t="shared" si="51"/>
        <v>#DIV/0!</v>
      </c>
      <c r="M225" s="325">
        <f t="shared" si="54"/>
        <v>0</v>
      </c>
      <c r="N225" s="112" t="e">
        <f t="shared" si="52"/>
        <v>#DIV/0!</v>
      </c>
      <c r="O225" s="112" t="e">
        <f t="shared" si="53"/>
        <v>#DIV/0!</v>
      </c>
      <c r="P225" s="21"/>
      <c r="Q225" s="21"/>
      <c r="S225" s="318">
        <v>720842</v>
      </c>
      <c r="T225" s="470" t="s">
        <v>544</v>
      </c>
    </row>
    <row r="226" spans="1:20" ht="15" customHeight="1" x14ac:dyDescent="0.2">
      <c r="A226" s="179" t="s">
        <v>1443</v>
      </c>
      <c r="B226" s="75">
        <v>109761</v>
      </c>
      <c r="C226" s="365">
        <v>713350</v>
      </c>
      <c r="D226" s="466" t="s">
        <v>1426</v>
      </c>
      <c r="E226" s="17"/>
      <c r="F226" s="16"/>
      <c r="G226" s="159" t="s">
        <v>1711</v>
      </c>
      <c r="H226" s="183" t="str">
        <f t="shared" si="55"/>
        <v>na</v>
      </c>
      <c r="I226" s="17">
        <f t="shared" si="56"/>
        <v>0</v>
      </c>
      <c r="J226" s="418" t="e">
        <f>+'Special Pricing'!$G$434</f>
        <v>#DIV/0!</v>
      </c>
      <c r="K226" s="325">
        <v>0.25</v>
      </c>
      <c r="L226" s="19" t="e">
        <f t="shared" si="51"/>
        <v>#DIV/0!</v>
      </c>
      <c r="M226" s="325">
        <f t="shared" si="54"/>
        <v>0</v>
      </c>
      <c r="N226" s="112" t="e">
        <f t="shared" si="52"/>
        <v>#DIV/0!</v>
      </c>
      <c r="O226" s="112" t="e">
        <f t="shared" si="53"/>
        <v>#DIV/0!</v>
      </c>
      <c r="P226" s="21"/>
      <c r="Q226" s="21"/>
      <c r="S226" s="365">
        <v>720854</v>
      </c>
      <c r="T226" s="466" t="s">
        <v>1501</v>
      </c>
    </row>
    <row r="227" spans="1:20" ht="15" customHeight="1" x14ac:dyDescent="0.2">
      <c r="A227" s="179" t="s">
        <v>1443</v>
      </c>
      <c r="B227" s="75">
        <v>113778</v>
      </c>
      <c r="C227" s="365">
        <v>713406</v>
      </c>
      <c r="D227" s="466" t="s">
        <v>1426</v>
      </c>
      <c r="E227" s="17"/>
      <c r="F227" s="16"/>
      <c r="G227" s="159" t="s">
        <v>1711</v>
      </c>
      <c r="H227" s="183" t="str">
        <f t="shared" si="55"/>
        <v>na</v>
      </c>
      <c r="I227" s="17">
        <f t="shared" si="56"/>
        <v>0</v>
      </c>
      <c r="J227" s="418" t="e">
        <f>+'Special Pricing'!$G$434</f>
        <v>#DIV/0!</v>
      </c>
      <c r="K227" s="325">
        <v>0.25</v>
      </c>
      <c r="L227" s="19" t="e">
        <f t="shared" si="51"/>
        <v>#DIV/0!</v>
      </c>
      <c r="M227" s="325">
        <f t="shared" si="54"/>
        <v>0</v>
      </c>
      <c r="N227" s="112" t="e">
        <f t="shared" si="52"/>
        <v>#DIV/0!</v>
      </c>
      <c r="O227" s="112" t="e">
        <f t="shared" si="53"/>
        <v>#DIV/0!</v>
      </c>
      <c r="P227" s="21"/>
      <c r="Q227" s="21"/>
      <c r="S227" s="318">
        <v>720855</v>
      </c>
      <c r="T227" s="470" t="s">
        <v>516</v>
      </c>
    </row>
    <row r="228" spans="1:20" ht="15" customHeight="1" x14ac:dyDescent="0.2">
      <c r="A228" s="179" t="s">
        <v>1444</v>
      </c>
      <c r="B228" s="75">
        <v>113780</v>
      </c>
      <c r="C228" s="365">
        <v>716959</v>
      </c>
      <c r="D228" s="466" t="s">
        <v>1426</v>
      </c>
      <c r="E228" s="17"/>
      <c r="F228" s="16"/>
      <c r="G228" s="159" t="s">
        <v>1711</v>
      </c>
      <c r="H228" s="183" t="str">
        <f t="shared" si="55"/>
        <v>na</v>
      </c>
      <c r="I228" s="17">
        <f t="shared" si="56"/>
        <v>0</v>
      </c>
      <c r="J228" s="418" t="e">
        <f>+'Special Pricing'!$G$434</f>
        <v>#DIV/0!</v>
      </c>
      <c r="K228" s="325">
        <v>0.25</v>
      </c>
      <c r="L228" s="19" t="e">
        <f t="shared" si="51"/>
        <v>#DIV/0!</v>
      </c>
      <c r="M228" s="325">
        <f t="shared" si="54"/>
        <v>0</v>
      </c>
      <c r="N228" s="112" t="e">
        <f t="shared" si="52"/>
        <v>#DIV/0!</v>
      </c>
      <c r="O228" s="112" t="e">
        <f t="shared" si="53"/>
        <v>#DIV/0!</v>
      </c>
      <c r="P228" s="21"/>
      <c r="Q228" s="21"/>
      <c r="S228" s="365">
        <v>720867</v>
      </c>
      <c r="T228" s="466" t="s">
        <v>1622</v>
      </c>
    </row>
    <row r="229" spans="1:20" ht="15" customHeight="1" x14ac:dyDescent="0.2">
      <c r="A229" s="179" t="s">
        <v>1444</v>
      </c>
      <c r="B229" s="75">
        <v>114833</v>
      </c>
      <c r="C229" s="365">
        <v>716989</v>
      </c>
      <c r="D229" s="466" t="s">
        <v>1426</v>
      </c>
      <c r="E229" s="17"/>
      <c r="F229" s="16"/>
      <c r="G229" s="159" t="s">
        <v>1711</v>
      </c>
      <c r="H229" s="183" t="str">
        <f t="shared" si="55"/>
        <v>na</v>
      </c>
      <c r="I229" s="17">
        <f t="shared" si="56"/>
        <v>0</v>
      </c>
      <c r="J229" s="418" t="e">
        <f>+'Special Pricing'!$G$434</f>
        <v>#DIV/0!</v>
      </c>
      <c r="K229" s="325">
        <v>0.25</v>
      </c>
      <c r="L229" s="19" t="e">
        <f t="shared" si="51"/>
        <v>#DIV/0!</v>
      </c>
      <c r="M229" s="325">
        <f t="shared" si="54"/>
        <v>0</v>
      </c>
      <c r="N229" s="112" t="e">
        <f t="shared" si="52"/>
        <v>#DIV/0!</v>
      </c>
      <c r="O229" s="112" t="e">
        <f t="shared" si="53"/>
        <v>#DIV/0!</v>
      </c>
      <c r="P229" s="21"/>
      <c r="Q229" s="21"/>
      <c r="S229" s="327">
        <v>720887</v>
      </c>
      <c r="T229" s="475" t="s">
        <v>509</v>
      </c>
    </row>
    <row r="230" spans="1:20" ht="15" customHeight="1" x14ac:dyDescent="0.2">
      <c r="A230" s="179" t="s">
        <v>1497</v>
      </c>
      <c r="B230" s="75">
        <v>115587</v>
      </c>
      <c r="C230" s="365">
        <v>717036</v>
      </c>
      <c r="D230" s="466" t="s">
        <v>1426</v>
      </c>
      <c r="E230" s="17"/>
      <c r="F230" s="16"/>
      <c r="G230" s="159" t="s">
        <v>1711</v>
      </c>
      <c r="H230" s="183" t="str">
        <f t="shared" si="55"/>
        <v>na</v>
      </c>
      <c r="I230" s="17">
        <f t="shared" si="56"/>
        <v>0</v>
      </c>
      <c r="J230" s="418" t="e">
        <f>+'Special Pricing'!$G$434</f>
        <v>#DIV/0!</v>
      </c>
      <c r="K230" s="325">
        <v>0.25</v>
      </c>
      <c r="L230" s="19" t="e">
        <f t="shared" si="51"/>
        <v>#DIV/0!</v>
      </c>
      <c r="M230" s="325">
        <f t="shared" si="54"/>
        <v>0</v>
      </c>
      <c r="N230" s="112" t="e">
        <f t="shared" si="52"/>
        <v>#DIV/0!</v>
      </c>
      <c r="O230" s="112" t="e">
        <f t="shared" si="53"/>
        <v>#DIV/0!</v>
      </c>
      <c r="P230" s="21"/>
      <c r="Q230" s="21"/>
      <c r="S230" s="511">
        <v>720888</v>
      </c>
      <c r="T230" s="512" t="s">
        <v>887</v>
      </c>
    </row>
    <row r="231" spans="1:20" ht="15" customHeight="1" x14ac:dyDescent="0.2">
      <c r="A231" s="179" t="s">
        <v>1444</v>
      </c>
      <c r="B231" s="75">
        <v>115589</v>
      </c>
      <c r="C231" s="365">
        <v>717292</v>
      </c>
      <c r="D231" s="466" t="s">
        <v>1426</v>
      </c>
      <c r="E231" s="17"/>
      <c r="F231" s="16"/>
      <c r="G231" s="159" t="s">
        <v>1711</v>
      </c>
      <c r="H231" s="183" t="str">
        <f t="shared" si="55"/>
        <v>na</v>
      </c>
      <c r="I231" s="17">
        <f t="shared" si="56"/>
        <v>0</v>
      </c>
      <c r="J231" s="418" t="e">
        <f>+'Special Pricing'!$G$434</f>
        <v>#DIV/0!</v>
      </c>
      <c r="K231" s="325">
        <v>0.25</v>
      </c>
      <c r="L231" s="19" t="e">
        <f t="shared" si="51"/>
        <v>#DIV/0!</v>
      </c>
      <c r="M231" s="325">
        <f t="shared" si="54"/>
        <v>0</v>
      </c>
      <c r="N231" s="112" t="e">
        <f t="shared" si="52"/>
        <v>#DIV/0!</v>
      </c>
      <c r="O231" s="112" t="e">
        <f t="shared" si="53"/>
        <v>#DIV/0!</v>
      </c>
      <c r="P231" s="21"/>
      <c r="Q231" s="21"/>
      <c r="S231" s="511">
        <v>720888</v>
      </c>
      <c r="T231" s="512" t="s">
        <v>528</v>
      </c>
    </row>
    <row r="232" spans="1:20" ht="15" customHeight="1" x14ac:dyDescent="0.2">
      <c r="A232" s="179" t="s">
        <v>1497</v>
      </c>
      <c r="B232" s="75">
        <v>115590</v>
      </c>
      <c r="C232" s="365">
        <v>717400</v>
      </c>
      <c r="D232" s="466" t="s">
        <v>1426</v>
      </c>
      <c r="E232" s="17"/>
      <c r="F232" s="16"/>
      <c r="G232" s="159" t="s">
        <v>1711</v>
      </c>
      <c r="H232" s="183" t="str">
        <f t="shared" si="55"/>
        <v>na</v>
      </c>
      <c r="I232" s="17">
        <f t="shared" si="56"/>
        <v>0</v>
      </c>
      <c r="J232" s="418" t="e">
        <f>+'Special Pricing'!$G$434</f>
        <v>#DIV/0!</v>
      </c>
      <c r="K232" s="325">
        <v>0.25</v>
      </c>
      <c r="L232" s="19" t="e">
        <f t="shared" si="51"/>
        <v>#DIV/0!</v>
      </c>
      <c r="M232" s="325">
        <f t="shared" si="54"/>
        <v>0</v>
      </c>
      <c r="N232" s="112" t="e">
        <f t="shared" si="52"/>
        <v>#DIV/0!</v>
      </c>
      <c r="O232" s="112" t="e">
        <f t="shared" si="53"/>
        <v>#DIV/0!</v>
      </c>
      <c r="P232" s="21"/>
      <c r="Q232" s="21"/>
      <c r="S232" s="497">
        <v>720942</v>
      </c>
      <c r="T232" s="504" t="s">
        <v>811</v>
      </c>
    </row>
    <row r="233" spans="1:20" ht="15" customHeight="1" x14ac:dyDescent="0.2">
      <c r="A233" s="179" t="s">
        <v>1443</v>
      </c>
      <c r="B233" s="75">
        <v>110381</v>
      </c>
      <c r="C233" s="365">
        <v>717694</v>
      </c>
      <c r="D233" s="466" t="s">
        <v>1426</v>
      </c>
      <c r="E233" s="17"/>
      <c r="F233" s="16"/>
      <c r="G233" s="159" t="s">
        <v>1711</v>
      </c>
      <c r="H233" s="183" t="str">
        <f t="shared" si="55"/>
        <v>na</v>
      </c>
      <c r="I233" s="17">
        <f t="shared" si="56"/>
        <v>0</v>
      </c>
      <c r="J233" s="418" t="e">
        <f>+'Special Pricing'!$G$434</f>
        <v>#DIV/0!</v>
      </c>
      <c r="K233" s="325">
        <v>0.25</v>
      </c>
      <c r="L233" s="19" t="e">
        <f t="shared" si="51"/>
        <v>#DIV/0!</v>
      </c>
      <c r="M233" s="325">
        <f t="shared" si="54"/>
        <v>0</v>
      </c>
      <c r="N233" s="112" t="e">
        <f t="shared" si="52"/>
        <v>#DIV/0!</v>
      </c>
      <c r="O233" s="112" t="e">
        <f t="shared" si="53"/>
        <v>#DIV/0!</v>
      </c>
      <c r="P233" s="21"/>
      <c r="Q233" s="21"/>
      <c r="S233" s="365">
        <v>720955</v>
      </c>
      <c r="T233" s="466" t="s">
        <v>1608</v>
      </c>
    </row>
    <row r="234" spans="1:20" ht="15" customHeight="1" x14ac:dyDescent="0.2">
      <c r="A234" s="179" t="s">
        <v>1497</v>
      </c>
      <c r="B234" s="75">
        <v>109742</v>
      </c>
      <c r="C234" s="365">
        <v>717787</v>
      </c>
      <c r="D234" s="466" t="s">
        <v>1426</v>
      </c>
      <c r="E234" s="17"/>
      <c r="F234" s="16"/>
      <c r="G234" s="159" t="s">
        <v>1711</v>
      </c>
      <c r="H234" s="183" t="str">
        <f t="shared" si="55"/>
        <v>na</v>
      </c>
      <c r="I234" s="17">
        <f t="shared" si="56"/>
        <v>0</v>
      </c>
      <c r="J234" s="418" t="e">
        <f>+'Special Pricing'!$G$434</f>
        <v>#DIV/0!</v>
      </c>
      <c r="K234" s="325">
        <v>0.25</v>
      </c>
      <c r="L234" s="19" t="e">
        <f t="shared" si="51"/>
        <v>#DIV/0!</v>
      </c>
      <c r="M234" s="325">
        <f t="shared" si="54"/>
        <v>0</v>
      </c>
      <c r="N234" s="112" t="e">
        <f t="shared" si="52"/>
        <v>#DIV/0!</v>
      </c>
      <c r="O234" s="112" t="e">
        <f t="shared" si="53"/>
        <v>#DIV/0!</v>
      </c>
      <c r="P234" s="21"/>
      <c r="Q234" s="21"/>
      <c r="S234" s="365">
        <v>721020</v>
      </c>
      <c r="T234" s="466" t="s">
        <v>1426</v>
      </c>
    </row>
    <row r="235" spans="1:20" ht="15" customHeight="1" x14ac:dyDescent="0.2">
      <c r="A235" s="179" t="s">
        <v>1497</v>
      </c>
      <c r="B235" s="75">
        <v>113787</v>
      </c>
      <c r="C235" s="365">
        <v>717924</v>
      </c>
      <c r="D235" s="466" t="s">
        <v>1426</v>
      </c>
      <c r="E235" s="17"/>
      <c r="F235" s="16"/>
      <c r="G235" s="159" t="s">
        <v>1711</v>
      </c>
      <c r="H235" s="183" t="str">
        <f t="shared" si="55"/>
        <v>na</v>
      </c>
      <c r="I235" s="17">
        <f t="shared" si="56"/>
        <v>0</v>
      </c>
      <c r="J235" s="418" t="e">
        <f>+'Special Pricing'!$G$434</f>
        <v>#DIV/0!</v>
      </c>
      <c r="K235" s="325">
        <v>0.25</v>
      </c>
      <c r="L235" s="19" t="e">
        <f t="shared" si="51"/>
        <v>#DIV/0!</v>
      </c>
      <c r="M235" s="325">
        <f t="shared" si="54"/>
        <v>0</v>
      </c>
      <c r="N235" s="112" t="e">
        <f t="shared" si="52"/>
        <v>#DIV/0!</v>
      </c>
      <c r="O235" s="112" t="e">
        <f t="shared" si="53"/>
        <v>#DIV/0!</v>
      </c>
      <c r="P235" s="21"/>
      <c r="Q235" s="21"/>
      <c r="S235" s="365">
        <v>721038</v>
      </c>
      <c r="T235" s="466" t="s">
        <v>1499</v>
      </c>
    </row>
    <row r="236" spans="1:20" ht="15" customHeight="1" x14ac:dyDescent="0.2">
      <c r="A236" s="179" t="s">
        <v>1497</v>
      </c>
      <c r="B236" s="75">
        <v>109783</v>
      </c>
      <c r="C236" s="365">
        <v>718363</v>
      </c>
      <c r="D236" s="466" t="s">
        <v>1426</v>
      </c>
      <c r="E236" s="17"/>
      <c r="F236" s="16"/>
      <c r="G236" s="159" t="s">
        <v>1711</v>
      </c>
      <c r="H236" s="183" t="str">
        <f t="shared" si="55"/>
        <v>na</v>
      </c>
      <c r="I236" s="17">
        <f t="shared" si="56"/>
        <v>0</v>
      </c>
      <c r="J236" s="418" t="e">
        <f>+'Special Pricing'!$G$434</f>
        <v>#DIV/0!</v>
      </c>
      <c r="K236" s="325">
        <v>0.25</v>
      </c>
      <c r="L236" s="19" t="e">
        <f t="shared" si="51"/>
        <v>#DIV/0!</v>
      </c>
      <c r="M236" s="325">
        <f t="shared" si="54"/>
        <v>0</v>
      </c>
      <c r="N236" s="112" t="e">
        <f t="shared" si="52"/>
        <v>#DIV/0!</v>
      </c>
      <c r="O236" s="112" t="e">
        <f t="shared" si="53"/>
        <v>#DIV/0!</v>
      </c>
      <c r="P236" s="21"/>
      <c r="Q236" s="21"/>
      <c r="S236" s="365">
        <v>721054</v>
      </c>
      <c r="T236" s="466" t="s">
        <v>1630</v>
      </c>
    </row>
    <row r="237" spans="1:20" ht="15" customHeight="1" x14ac:dyDescent="0.2">
      <c r="A237" s="179" t="s">
        <v>1497</v>
      </c>
      <c r="B237" s="75">
        <v>113788</v>
      </c>
      <c r="C237" s="365">
        <v>718528</v>
      </c>
      <c r="D237" s="466" t="s">
        <v>1426</v>
      </c>
      <c r="E237" s="17"/>
      <c r="F237" s="16"/>
      <c r="G237" s="159" t="s">
        <v>1711</v>
      </c>
      <c r="H237" s="183" t="str">
        <f t="shared" si="55"/>
        <v>na</v>
      </c>
      <c r="I237" s="17">
        <f t="shared" si="56"/>
        <v>0</v>
      </c>
      <c r="J237" s="418" t="e">
        <f>+'Special Pricing'!$G$434</f>
        <v>#DIV/0!</v>
      </c>
      <c r="K237" s="325">
        <v>0.25</v>
      </c>
      <c r="L237" s="19" t="e">
        <f t="shared" si="51"/>
        <v>#DIV/0!</v>
      </c>
      <c r="M237" s="325">
        <f t="shared" si="54"/>
        <v>0</v>
      </c>
      <c r="N237" s="112" t="e">
        <f t="shared" si="52"/>
        <v>#DIV/0!</v>
      </c>
      <c r="O237" s="112" t="e">
        <f t="shared" si="53"/>
        <v>#DIV/0!</v>
      </c>
      <c r="P237" s="21"/>
      <c r="Q237" s="21"/>
      <c r="S237" s="365">
        <v>721057</v>
      </c>
      <c r="T237" s="466" t="s">
        <v>1517</v>
      </c>
    </row>
    <row r="238" spans="1:20" ht="15" customHeight="1" x14ac:dyDescent="0.2">
      <c r="A238" s="179" t="s">
        <v>1443</v>
      </c>
      <c r="B238" s="75">
        <v>108313</v>
      </c>
      <c r="C238" s="365">
        <v>718841</v>
      </c>
      <c r="D238" s="466" t="s">
        <v>1426</v>
      </c>
      <c r="E238" s="17"/>
      <c r="F238" s="16"/>
      <c r="G238" s="159" t="s">
        <v>1711</v>
      </c>
      <c r="H238" s="183" t="str">
        <f t="shared" si="55"/>
        <v>na</v>
      </c>
      <c r="I238" s="17">
        <f t="shared" si="56"/>
        <v>0</v>
      </c>
      <c r="J238" s="418" t="e">
        <f>+'Special Pricing'!$G$434</f>
        <v>#DIV/0!</v>
      </c>
      <c r="K238" s="325">
        <v>0.25</v>
      </c>
      <c r="L238" s="19" t="e">
        <f t="shared" ref="L238:L270" si="57">+J238-K238</f>
        <v>#DIV/0!</v>
      </c>
      <c r="M238" s="325">
        <f t="shared" si="54"/>
        <v>0</v>
      </c>
      <c r="N238" s="112" t="e">
        <f t="shared" ref="N238:N270" si="58">+L238*I238</f>
        <v>#DIV/0!</v>
      </c>
      <c r="O238" s="112" t="e">
        <f t="shared" si="53"/>
        <v>#DIV/0!</v>
      </c>
      <c r="P238" s="21"/>
      <c r="Q238" s="21"/>
      <c r="S238" s="365">
        <v>721064</v>
      </c>
      <c r="T238" s="466" t="s">
        <v>1426</v>
      </c>
    </row>
    <row r="239" spans="1:20" ht="15" customHeight="1" x14ac:dyDescent="0.2">
      <c r="A239" s="179" t="s">
        <v>1497</v>
      </c>
      <c r="B239" s="75">
        <v>109812</v>
      </c>
      <c r="C239" s="365">
        <v>718998</v>
      </c>
      <c r="D239" s="466" t="s">
        <v>1426</v>
      </c>
      <c r="E239" s="17"/>
      <c r="F239" s="16"/>
      <c r="G239" s="159" t="s">
        <v>1711</v>
      </c>
      <c r="H239" s="183" t="str">
        <f t="shared" si="55"/>
        <v>na</v>
      </c>
      <c r="I239" s="17">
        <f t="shared" si="56"/>
        <v>0</v>
      </c>
      <c r="J239" s="418" t="e">
        <f>+'Special Pricing'!$G$434</f>
        <v>#DIV/0!</v>
      </c>
      <c r="K239" s="325">
        <v>0.25</v>
      </c>
      <c r="L239" s="19" t="e">
        <f t="shared" si="57"/>
        <v>#DIV/0!</v>
      </c>
      <c r="M239" s="325">
        <f t="shared" si="54"/>
        <v>0</v>
      </c>
      <c r="N239" s="112" t="e">
        <f t="shared" si="58"/>
        <v>#DIV/0!</v>
      </c>
      <c r="O239" s="112" t="e">
        <f t="shared" si="53"/>
        <v>#DIV/0!</v>
      </c>
      <c r="P239" s="21"/>
      <c r="Q239" s="21"/>
      <c r="S239" s="318">
        <v>721075</v>
      </c>
      <c r="T239" s="470" t="s">
        <v>521</v>
      </c>
    </row>
    <row r="240" spans="1:20" ht="15" customHeight="1" x14ac:dyDescent="0.2">
      <c r="A240" s="179" t="s">
        <v>1444</v>
      </c>
      <c r="B240" s="317">
        <v>124138</v>
      </c>
      <c r="C240" s="365">
        <v>719213</v>
      </c>
      <c r="D240" s="466" t="s">
        <v>1426</v>
      </c>
      <c r="E240" s="17"/>
      <c r="F240" s="16"/>
      <c r="G240" s="159" t="s">
        <v>1711</v>
      </c>
      <c r="H240" s="183" t="str">
        <f t="shared" si="55"/>
        <v>na</v>
      </c>
      <c r="I240" s="17">
        <f t="shared" si="56"/>
        <v>0</v>
      </c>
      <c r="J240" s="418" t="e">
        <f>+'Special Pricing'!$G$434</f>
        <v>#DIV/0!</v>
      </c>
      <c r="K240" s="325">
        <v>0.25</v>
      </c>
      <c r="L240" s="19" t="e">
        <f t="shared" si="57"/>
        <v>#DIV/0!</v>
      </c>
      <c r="M240" s="325">
        <f t="shared" si="54"/>
        <v>0</v>
      </c>
      <c r="N240" s="112" t="e">
        <f t="shared" si="58"/>
        <v>#DIV/0!</v>
      </c>
      <c r="O240" s="112" t="e">
        <f t="shared" si="53"/>
        <v>#DIV/0!</v>
      </c>
      <c r="S240" s="365">
        <v>721076</v>
      </c>
      <c r="T240" s="466" t="s">
        <v>1631</v>
      </c>
    </row>
    <row r="241" spans="1:20" ht="15" customHeight="1" x14ac:dyDescent="0.2">
      <c r="A241" s="315" t="s">
        <v>1443</v>
      </c>
      <c r="B241" s="75"/>
      <c r="C241" s="318">
        <v>719216</v>
      </c>
      <c r="D241" s="470" t="s">
        <v>1426</v>
      </c>
      <c r="E241" s="17"/>
      <c r="F241" s="17">
        <v>48254</v>
      </c>
      <c r="G241" s="159" t="s">
        <v>1711</v>
      </c>
      <c r="H241" s="183" t="str">
        <f t="shared" si="55"/>
        <v>na</v>
      </c>
      <c r="I241" s="17">
        <f t="shared" si="56"/>
        <v>0</v>
      </c>
      <c r="J241" s="418" t="e">
        <f>+'Special Pricing'!$G$434</f>
        <v>#DIV/0!</v>
      </c>
      <c r="K241" s="325">
        <v>0.25</v>
      </c>
      <c r="L241" s="19" t="e">
        <f t="shared" si="57"/>
        <v>#DIV/0!</v>
      </c>
      <c r="M241" s="325">
        <f t="shared" si="54"/>
        <v>0</v>
      </c>
      <c r="N241" s="112" t="e">
        <f t="shared" si="58"/>
        <v>#DIV/0!</v>
      </c>
      <c r="O241" s="112" t="e">
        <f t="shared" si="53"/>
        <v>#DIV/0!</v>
      </c>
      <c r="P241" s="21"/>
      <c r="Q241" s="21"/>
      <c r="S241" s="318">
        <v>721141</v>
      </c>
      <c r="T241" s="470" t="s">
        <v>531</v>
      </c>
    </row>
    <row r="242" spans="1:20" ht="15" customHeight="1" x14ac:dyDescent="0.2">
      <c r="A242" s="179" t="s">
        <v>1497</v>
      </c>
      <c r="B242" s="75"/>
      <c r="C242" s="365">
        <v>719567</v>
      </c>
      <c r="D242" s="466" t="s">
        <v>1426</v>
      </c>
      <c r="E242" s="17"/>
      <c r="F242" s="16"/>
      <c r="G242" s="159" t="s">
        <v>1711</v>
      </c>
      <c r="H242" s="183" t="str">
        <f t="shared" si="55"/>
        <v>na</v>
      </c>
      <c r="I242" s="17">
        <f t="shared" si="56"/>
        <v>0</v>
      </c>
      <c r="J242" s="418" t="e">
        <f>+'Special Pricing'!$G$434</f>
        <v>#DIV/0!</v>
      </c>
      <c r="K242" s="325">
        <v>0.25</v>
      </c>
      <c r="L242" s="19" t="e">
        <f t="shared" si="57"/>
        <v>#DIV/0!</v>
      </c>
      <c r="M242" s="325">
        <f t="shared" si="54"/>
        <v>0</v>
      </c>
      <c r="N242" s="112" t="e">
        <f t="shared" si="58"/>
        <v>#DIV/0!</v>
      </c>
      <c r="O242" s="112" t="e">
        <f t="shared" si="53"/>
        <v>#DIV/0!</v>
      </c>
      <c r="P242" s="21"/>
      <c r="Q242" s="21"/>
      <c r="S242" s="365">
        <v>721206</v>
      </c>
      <c r="T242" s="466" t="s">
        <v>1630</v>
      </c>
    </row>
    <row r="243" spans="1:20" ht="15" customHeight="1" x14ac:dyDescent="0.2">
      <c r="A243" s="179" t="s">
        <v>1443</v>
      </c>
      <c r="B243" s="75">
        <v>123116</v>
      </c>
      <c r="C243" s="365">
        <v>719860</v>
      </c>
      <c r="D243" s="466" t="s">
        <v>1426</v>
      </c>
      <c r="E243" s="17"/>
      <c r="F243" s="16"/>
      <c r="G243" s="159" t="s">
        <v>1711</v>
      </c>
      <c r="H243" s="183" t="str">
        <f t="shared" si="55"/>
        <v>na</v>
      </c>
      <c r="I243" s="17">
        <f t="shared" si="56"/>
        <v>0</v>
      </c>
      <c r="J243" s="418" t="e">
        <f>+'Special Pricing'!$G$434</f>
        <v>#DIV/0!</v>
      </c>
      <c r="K243" s="325">
        <v>0.25</v>
      </c>
      <c r="L243" s="19" t="e">
        <f t="shared" si="57"/>
        <v>#DIV/0!</v>
      </c>
      <c r="M243" s="325">
        <f t="shared" si="54"/>
        <v>0</v>
      </c>
      <c r="N243" s="112" t="e">
        <f t="shared" si="58"/>
        <v>#DIV/0!</v>
      </c>
      <c r="O243" s="112" t="e">
        <f t="shared" si="53"/>
        <v>#DIV/0!</v>
      </c>
      <c r="P243" s="21"/>
      <c r="Q243" s="21"/>
      <c r="S243" s="365">
        <v>721265</v>
      </c>
      <c r="T243" s="466" t="s">
        <v>1618</v>
      </c>
    </row>
    <row r="244" spans="1:20" ht="15" customHeight="1" x14ac:dyDescent="0.2">
      <c r="A244" s="179" t="s">
        <v>1497</v>
      </c>
      <c r="B244" s="75">
        <v>113803</v>
      </c>
      <c r="C244" s="365">
        <v>720079</v>
      </c>
      <c r="D244" s="466" t="s">
        <v>1426</v>
      </c>
      <c r="E244" s="17"/>
      <c r="F244" s="16"/>
      <c r="G244" s="159" t="s">
        <v>1711</v>
      </c>
      <c r="H244" s="183" t="str">
        <f t="shared" si="55"/>
        <v>na</v>
      </c>
      <c r="I244" s="17">
        <f t="shared" si="56"/>
        <v>0</v>
      </c>
      <c r="J244" s="418" t="e">
        <f>+'Special Pricing'!$G$434</f>
        <v>#DIV/0!</v>
      </c>
      <c r="K244" s="325">
        <v>0.25</v>
      </c>
      <c r="L244" s="19" t="e">
        <f t="shared" si="57"/>
        <v>#DIV/0!</v>
      </c>
      <c r="M244" s="325">
        <f t="shared" si="54"/>
        <v>0</v>
      </c>
      <c r="N244" s="112" t="e">
        <f t="shared" si="58"/>
        <v>#DIV/0!</v>
      </c>
      <c r="O244" s="112" t="e">
        <f t="shared" si="53"/>
        <v>#DIV/0!</v>
      </c>
      <c r="P244" s="21"/>
      <c r="Q244" s="21"/>
      <c r="S244" s="318">
        <v>721271</v>
      </c>
      <c r="T244" s="470" t="s">
        <v>351</v>
      </c>
    </row>
    <row r="245" spans="1:20" ht="15" customHeight="1" x14ac:dyDescent="0.2">
      <c r="A245" s="179" t="s">
        <v>1443</v>
      </c>
      <c r="B245" s="75">
        <v>113804</v>
      </c>
      <c r="C245" s="365">
        <v>720214</v>
      </c>
      <c r="D245" s="466" t="s">
        <v>1426</v>
      </c>
      <c r="E245" s="17"/>
      <c r="F245" s="16"/>
      <c r="G245" s="159" t="s">
        <v>1711</v>
      </c>
      <c r="H245" s="183" t="str">
        <f t="shared" si="55"/>
        <v>na</v>
      </c>
      <c r="I245" s="17">
        <f t="shared" si="56"/>
        <v>0</v>
      </c>
      <c r="J245" s="418" t="e">
        <f>+'Special Pricing'!$G$434</f>
        <v>#DIV/0!</v>
      </c>
      <c r="K245" s="325">
        <v>0.25</v>
      </c>
      <c r="L245" s="19" t="e">
        <f t="shared" si="57"/>
        <v>#DIV/0!</v>
      </c>
      <c r="M245" s="325">
        <f t="shared" si="54"/>
        <v>0</v>
      </c>
      <c r="N245" s="112" t="e">
        <f t="shared" si="58"/>
        <v>#DIV/0!</v>
      </c>
      <c r="O245" s="112" t="e">
        <f t="shared" si="53"/>
        <v>#DIV/0!</v>
      </c>
      <c r="P245" s="21"/>
      <c r="Q245" s="21"/>
      <c r="S245" s="318">
        <v>721338</v>
      </c>
      <c r="T245" s="470" t="s">
        <v>474</v>
      </c>
    </row>
    <row r="246" spans="1:20" ht="15" customHeight="1" x14ac:dyDescent="0.2">
      <c r="A246" s="179" t="s">
        <v>1497</v>
      </c>
      <c r="B246" s="75"/>
      <c r="C246" s="365">
        <v>720340</v>
      </c>
      <c r="D246" s="466" t="s">
        <v>1426</v>
      </c>
      <c r="E246" s="17"/>
      <c r="F246" s="16"/>
      <c r="G246" s="159" t="s">
        <v>1711</v>
      </c>
      <c r="H246" s="183" t="str">
        <f t="shared" si="55"/>
        <v>na</v>
      </c>
      <c r="I246" s="17">
        <f t="shared" si="56"/>
        <v>0</v>
      </c>
      <c r="J246" s="418" t="e">
        <f>+'Special Pricing'!$G$434</f>
        <v>#DIV/0!</v>
      </c>
      <c r="K246" s="325">
        <v>0.25</v>
      </c>
      <c r="L246" s="19" t="e">
        <f t="shared" si="57"/>
        <v>#DIV/0!</v>
      </c>
      <c r="M246" s="325">
        <f t="shared" si="54"/>
        <v>0</v>
      </c>
      <c r="N246" s="112" t="e">
        <f t="shared" si="58"/>
        <v>#DIV/0!</v>
      </c>
      <c r="O246" s="112" t="e">
        <f t="shared" si="53"/>
        <v>#DIV/0!</v>
      </c>
      <c r="P246" s="21"/>
      <c r="Q246" s="21"/>
      <c r="S246" s="318">
        <v>721340</v>
      </c>
      <c r="T246" s="470" t="s">
        <v>537</v>
      </c>
    </row>
    <row r="247" spans="1:20" ht="15" customHeight="1" x14ac:dyDescent="0.2">
      <c r="A247" s="179" t="s">
        <v>1443</v>
      </c>
      <c r="B247" s="75"/>
      <c r="C247" s="365">
        <v>720507</v>
      </c>
      <c r="D247" s="466" t="s">
        <v>1426</v>
      </c>
      <c r="E247" s="17"/>
      <c r="F247" s="16"/>
      <c r="G247" s="159" t="s">
        <v>1711</v>
      </c>
      <c r="H247" s="183" t="str">
        <f t="shared" si="55"/>
        <v>na</v>
      </c>
      <c r="I247" s="17">
        <f t="shared" si="56"/>
        <v>0</v>
      </c>
      <c r="J247" s="418" t="e">
        <f>+'Special Pricing'!$G$434</f>
        <v>#DIV/0!</v>
      </c>
      <c r="K247" s="325">
        <v>0.25</v>
      </c>
      <c r="L247" s="19" t="e">
        <f t="shared" si="57"/>
        <v>#DIV/0!</v>
      </c>
      <c r="M247" s="325">
        <f t="shared" si="54"/>
        <v>0</v>
      </c>
      <c r="N247" s="112" t="e">
        <f t="shared" si="58"/>
        <v>#DIV/0!</v>
      </c>
      <c r="O247" s="112" t="e">
        <f t="shared" si="53"/>
        <v>#DIV/0!</v>
      </c>
      <c r="P247" s="21"/>
      <c r="Q247" s="21"/>
      <c r="S247" s="318">
        <v>721342</v>
      </c>
      <c r="T247" s="470" t="s">
        <v>546</v>
      </c>
    </row>
    <row r="248" spans="1:20" ht="15" customHeight="1" x14ac:dyDescent="0.2">
      <c r="A248" s="179" t="s">
        <v>1497</v>
      </c>
      <c r="B248" s="75">
        <v>113912</v>
      </c>
      <c r="C248" s="365">
        <v>721020</v>
      </c>
      <c r="D248" s="466" t="s">
        <v>1426</v>
      </c>
      <c r="E248" s="17"/>
      <c r="F248" s="16"/>
      <c r="G248" s="159" t="s">
        <v>1711</v>
      </c>
      <c r="H248" s="183" t="str">
        <f t="shared" si="55"/>
        <v>na</v>
      </c>
      <c r="I248" s="17">
        <f t="shared" si="56"/>
        <v>0</v>
      </c>
      <c r="J248" s="418" t="e">
        <f>+'Special Pricing'!$G$434</f>
        <v>#DIV/0!</v>
      </c>
      <c r="K248" s="325">
        <v>0.25</v>
      </c>
      <c r="L248" s="19" t="e">
        <f t="shared" si="57"/>
        <v>#DIV/0!</v>
      </c>
      <c r="M248" s="325">
        <f t="shared" si="54"/>
        <v>0</v>
      </c>
      <c r="N248" s="112" t="e">
        <f t="shared" si="58"/>
        <v>#DIV/0!</v>
      </c>
      <c r="O248" s="112" t="e">
        <f t="shared" si="53"/>
        <v>#DIV/0!</v>
      </c>
      <c r="S248" s="365">
        <v>721351</v>
      </c>
      <c r="T248" s="466" t="s">
        <v>1715</v>
      </c>
    </row>
    <row r="249" spans="1:20" ht="15" customHeight="1" x14ac:dyDescent="0.2">
      <c r="A249" s="179" t="s">
        <v>1444</v>
      </c>
      <c r="B249" s="75">
        <v>113928</v>
      </c>
      <c r="C249" s="365">
        <v>721064</v>
      </c>
      <c r="D249" s="466" t="s">
        <v>1426</v>
      </c>
      <c r="E249" s="17"/>
      <c r="F249" s="16"/>
      <c r="G249" s="159" t="s">
        <v>1711</v>
      </c>
      <c r="H249" s="183" t="str">
        <f t="shared" si="55"/>
        <v>na</v>
      </c>
      <c r="I249" s="17">
        <f t="shared" si="56"/>
        <v>0</v>
      </c>
      <c r="J249" s="418" t="e">
        <f>+'Special Pricing'!$G$434</f>
        <v>#DIV/0!</v>
      </c>
      <c r="K249" s="325">
        <v>0.25</v>
      </c>
      <c r="L249" s="19" t="e">
        <f t="shared" si="57"/>
        <v>#DIV/0!</v>
      </c>
      <c r="M249" s="325">
        <f t="shared" si="54"/>
        <v>0</v>
      </c>
      <c r="N249" s="112" t="e">
        <f t="shared" si="58"/>
        <v>#DIV/0!</v>
      </c>
      <c r="O249" s="112" t="e">
        <f t="shared" si="53"/>
        <v>#DIV/0!</v>
      </c>
      <c r="S249" s="365">
        <v>721405</v>
      </c>
      <c r="T249" s="466" t="s">
        <v>1658</v>
      </c>
    </row>
    <row r="250" spans="1:20" ht="15" customHeight="1" x14ac:dyDescent="0.2">
      <c r="A250" s="179" t="s">
        <v>1497</v>
      </c>
      <c r="B250" s="75">
        <v>115595</v>
      </c>
      <c r="C250" s="365">
        <v>721921</v>
      </c>
      <c r="D250" s="466" t="s">
        <v>1426</v>
      </c>
      <c r="E250" s="17"/>
      <c r="F250" s="16"/>
      <c r="G250" s="159" t="s">
        <v>1711</v>
      </c>
      <c r="H250" s="183" t="str">
        <f t="shared" si="55"/>
        <v>na</v>
      </c>
      <c r="I250" s="17">
        <f t="shared" si="56"/>
        <v>0</v>
      </c>
      <c r="J250" s="418" t="e">
        <f>+'Special Pricing'!$G$434</f>
        <v>#DIV/0!</v>
      </c>
      <c r="K250" s="325">
        <v>0.25</v>
      </c>
      <c r="L250" s="19" t="e">
        <f t="shared" si="57"/>
        <v>#DIV/0!</v>
      </c>
      <c r="M250" s="325">
        <f t="shared" si="54"/>
        <v>0</v>
      </c>
      <c r="N250" s="112" t="e">
        <f t="shared" si="58"/>
        <v>#DIV/0!</v>
      </c>
      <c r="O250" s="112" t="e">
        <f t="shared" si="53"/>
        <v>#DIV/0!</v>
      </c>
      <c r="S250" s="318">
        <v>721421</v>
      </c>
      <c r="T250" s="470" t="s">
        <v>529</v>
      </c>
    </row>
    <row r="251" spans="1:20" ht="15" customHeight="1" x14ac:dyDescent="0.2">
      <c r="A251" s="179" t="s">
        <v>1444</v>
      </c>
      <c r="B251" s="75">
        <v>115597</v>
      </c>
      <c r="C251" s="365">
        <v>721945</v>
      </c>
      <c r="D251" s="466" t="s">
        <v>1426</v>
      </c>
      <c r="E251" s="321"/>
      <c r="F251" s="16"/>
      <c r="G251" s="159" t="s">
        <v>1711</v>
      </c>
      <c r="H251" s="183" t="str">
        <f t="shared" si="55"/>
        <v>na</v>
      </c>
      <c r="I251" s="17">
        <f t="shared" si="56"/>
        <v>0</v>
      </c>
      <c r="J251" s="418" t="e">
        <f>+'Special Pricing'!$G$434</f>
        <v>#DIV/0!</v>
      </c>
      <c r="K251" s="325">
        <v>0.25</v>
      </c>
      <c r="L251" s="19" t="e">
        <f t="shared" si="57"/>
        <v>#DIV/0!</v>
      </c>
      <c r="M251" s="325">
        <f t="shared" si="54"/>
        <v>0</v>
      </c>
      <c r="N251" s="112" t="e">
        <f t="shared" si="58"/>
        <v>#DIV/0!</v>
      </c>
      <c r="O251" s="112" t="e">
        <f t="shared" si="53"/>
        <v>#DIV/0!</v>
      </c>
      <c r="S251" s="318">
        <v>721576</v>
      </c>
      <c r="T251" s="470" t="s">
        <v>513</v>
      </c>
    </row>
    <row r="252" spans="1:20" ht="15" customHeight="1" x14ac:dyDescent="0.2">
      <c r="A252" s="179" t="s">
        <v>1444</v>
      </c>
      <c r="B252" s="75">
        <v>126573</v>
      </c>
      <c r="C252" s="365">
        <v>721946</v>
      </c>
      <c r="D252" s="466" t="s">
        <v>1426</v>
      </c>
      <c r="E252" s="17"/>
      <c r="F252" s="16"/>
      <c r="G252" s="159" t="s">
        <v>1711</v>
      </c>
      <c r="H252" s="183" t="str">
        <f t="shared" si="55"/>
        <v>na</v>
      </c>
      <c r="I252" s="17">
        <f t="shared" si="56"/>
        <v>0</v>
      </c>
      <c r="J252" s="418" t="e">
        <f>+'Special Pricing'!$G$434</f>
        <v>#DIV/0!</v>
      </c>
      <c r="K252" s="325">
        <v>0.25</v>
      </c>
      <c r="L252" s="19" t="e">
        <f t="shared" si="57"/>
        <v>#DIV/0!</v>
      </c>
      <c r="M252" s="325">
        <f t="shared" si="54"/>
        <v>0</v>
      </c>
      <c r="N252" s="112" t="e">
        <f t="shared" si="58"/>
        <v>#DIV/0!</v>
      </c>
      <c r="O252" s="112" t="e">
        <f t="shared" si="53"/>
        <v>#DIV/0!</v>
      </c>
      <c r="P252" s="21"/>
      <c r="Q252" s="21"/>
      <c r="S252" s="511">
        <v>721810</v>
      </c>
      <c r="T252" s="512" t="s">
        <v>887</v>
      </c>
    </row>
    <row r="253" spans="1:20" ht="15" customHeight="1" x14ac:dyDescent="0.2">
      <c r="A253" s="179" t="s">
        <v>1443</v>
      </c>
      <c r="B253" s="75">
        <v>113624</v>
      </c>
      <c r="C253" s="365">
        <v>722437</v>
      </c>
      <c r="D253" s="466" t="s">
        <v>1426</v>
      </c>
      <c r="E253" s="17"/>
      <c r="F253" s="16"/>
      <c r="G253" s="159" t="s">
        <v>1711</v>
      </c>
      <c r="H253" s="183" t="str">
        <f t="shared" si="55"/>
        <v>na</v>
      </c>
      <c r="I253" s="17">
        <f t="shared" si="56"/>
        <v>0</v>
      </c>
      <c r="J253" s="418" t="e">
        <f>+'Special Pricing'!$G$434</f>
        <v>#DIV/0!</v>
      </c>
      <c r="K253" s="325">
        <v>0.25</v>
      </c>
      <c r="L253" s="19" t="e">
        <f t="shared" si="57"/>
        <v>#DIV/0!</v>
      </c>
      <c r="M253" s="325">
        <f t="shared" si="54"/>
        <v>0</v>
      </c>
      <c r="N253" s="112" t="e">
        <f t="shared" si="58"/>
        <v>#DIV/0!</v>
      </c>
      <c r="O253" s="112" t="e">
        <f t="shared" si="53"/>
        <v>#DIV/0!</v>
      </c>
      <c r="P253" s="21"/>
      <c r="Q253" s="21"/>
      <c r="S253" s="511">
        <v>721810</v>
      </c>
      <c r="T253" s="512" t="s">
        <v>528</v>
      </c>
    </row>
    <row r="254" spans="1:20" ht="15" customHeight="1" x14ac:dyDescent="0.2">
      <c r="A254" s="179" t="s">
        <v>1443</v>
      </c>
      <c r="B254" s="75">
        <v>109808</v>
      </c>
      <c r="C254" s="366">
        <v>722565</v>
      </c>
      <c r="D254" s="466" t="s">
        <v>1426</v>
      </c>
      <c r="E254" s="17"/>
      <c r="F254" s="16"/>
      <c r="G254" s="159" t="s">
        <v>1711</v>
      </c>
      <c r="H254" s="183" t="str">
        <f t="shared" si="55"/>
        <v>na</v>
      </c>
      <c r="I254" s="17">
        <f t="shared" si="56"/>
        <v>0</v>
      </c>
      <c r="J254" s="418" t="e">
        <f>+'Special Pricing'!$G$434</f>
        <v>#DIV/0!</v>
      </c>
      <c r="K254" s="325">
        <v>0.25</v>
      </c>
      <c r="L254" s="19" t="e">
        <f t="shared" si="57"/>
        <v>#DIV/0!</v>
      </c>
      <c r="M254" s="325">
        <f t="shared" si="54"/>
        <v>0</v>
      </c>
      <c r="N254" s="112" t="e">
        <f t="shared" si="58"/>
        <v>#DIV/0!</v>
      </c>
      <c r="O254" s="112" t="e">
        <f t="shared" si="53"/>
        <v>#DIV/0!</v>
      </c>
      <c r="P254" s="21"/>
      <c r="Q254" s="21"/>
      <c r="S254" s="365">
        <v>721843</v>
      </c>
      <c r="T254" s="466" t="s">
        <v>1604</v>
      </c>
    </row>
    <row r="255" spans="1:20" ht="15" customHeight="1" x14ac:dyDescent="0.2">
      <c r="A255" s="179" t="s">
        <v>1443</v>
      </c>
      <c r="B255" s="75">
        <v>109808</v>
      </c>
      <c r="C255" s="365">
        <v>722646</v>
      </c>
      <c r="D255" s="466" t="s">
        <v>1426</v>
      </c>
      <c r="E255" s="17"/>
      <c r="F255" s="16"/>
      <c r="G255" s="159" t="s">
        <v>1711</v>
      </c>
      <c r="H255" s="183" t="str">
        <f t="shared" ref="H255:H286" si="59">IF(ISNA(VLOOKUP(C255,gath9909,10,FALSE)),"na",VLOOKUP(C255,gath9909,10,FALSE))</f>
        <v>na</v>
      </c>
      <c r="I255" s="17">
        <f t="shared" ref="I255:I286" si="60">IF(ISNA(VLOOKUP(C255,gath9909,12,FALSE)),0,(VLOOKUP(C255,gath9909,12,FALSE)))</f>
        <v>0</v>
      </c>
      <c r="J255" s="418" t="e">
        <f>+'Special Pricing'!$G$434</f>
        <v>#DIV/0!</v>
      </c>
      <c r="K255" s="325">
        <v>0.25</v>
      </c>
      <c r="L255" s="19" t="e">
        <f t="shared" si="57"/>
        <v>#DIV/0!</v>
      </c>
      <c r="M255" s="325">
        <f t="shared" si="54"/>
        <v>0</v>
      </c>
      <c r="N255" s="112" t="e">
        <f t="shared" si="58"/>
        <v>#DIV/0!</v>
      </c>
      <c r="O255" s="112" t="e">
        <f t="shared" si="53"/>
        <v>#DIV/0!</v>
      </c>
      <c r="P255" s="21"/>
      <c r="Q255" s="21"/>
      <c r="S255" s="365">
        <v>721845</v>
      </c>
      <c r="T255" s="466" t="s">
        <v>1604</v>
      </c>
    </row>
    <row r="256" spans="1:20" s="21" customFormat="1" ht="15" customHeight="1" x14ac:dyDescent="0.2">
      <c r="A256" s="179" t="s">
        <v>1444</v>
      </c>
      <c r="B256" s="17">
        <v>124597</v>
      </c>
      <c r="C256" s="365">
        <v>723090</v>
      </c>
      <c r="D256" s="466" t="s">
        <v>1426</v>
      </c>
      <c r="E256" s="321"/>
      <c r="F256" s="16"/>
      <c r="G256" s="159" t="s">
        <v>1711</v>
      </c>
      <c r="H256" s="183" t="str">
        <f t="shared" si="59"/>
        <v>na</v>
      </c>
      <c r="I256" s="17">
        <f t="shared" si="60"/>
        <v>0</v>
      </c>
      <c r="J256" s="418" t="e">
        <f>+'Special Pricing'!$G$434</f>
        <v>#DIV/0!</v>
      </c>
      <c r="K256" s="325">
        <v>0.25</v>
      </c>
      <c r="L256" s="19" t="e">
        <f t="shared" si="57"/>
        <v>#DIV/0!</v>
      </c>
      <c r="M256" s="325">
        <f t="shared" si="54"/>
        <v>0</v>
      </c>
      <c r="N256" s="112" t="e">
        <f t="shared" si="58"/>
        <v>#DIV/0!</v>
      </c>
      <c r="O256" s="112" t="e">
        <f t="shared" si="53"/>
        <v>#DIV/0!</v>
      </c>
      <c r="S256" s="365">
        <v>721881</v>
      </c>
      <c r="T256" s="466" t="s">
        <v>1618</v>
      </c>
    </row>
    <row r="257" spans="1:20" ht="15" customHeight="1" x14ac:dyDescent="0.2">
      <c r="A257" s="179" t="s">
        <v>1497</v>
      </c>
      <c r="B257" s="75">
        <v>124003</v>
      </c>
      <c r="C257" s="365">
        <v>723165</v>
      </c>
      <c r="D257" s="466" t="s">
        <v>1426</v>
      </c>
      <c r="E257" s="17"/>
      <c r="F257" s="16"/>
      <c r="G257" s="159" t="s">
        <v>1711</v>
      </c>
      <c r="H257" s="183" t="str">
        <f t="shared" si="59"/>
        <v>na</v>
      </c>
      <c r="I257" s="17">
        <f t="shared" si="60"/>
        <v>0</v>
      </c>
      <c r="J257" s="418" t="e">
        <f>+'Special Pricing'!$G$434</f>
        <v>#DIV/0!</v>
      </c>
      <c r="K257" s="325">
        <v>0.25</v>
      </c>
      <c r="L257" s="19" t="e">
        <f t="shared" si="57"/>
        <v>#DIV/0!</v>
      </c>
      <c r="M257" s="325">
        <f t="shared" si="54"/>
        <v>0</v>
      </c>
      <c r="N257" s="112" t="e">
        <f t="shared" si="58"/>
        <v>#DIV/0!</v>
      </c>
      <c r="O257" s="112" t="e">
        <f t="shared" si="53"/>
        <v>#DIV/0!</v>
      </c>
      <c r="P257" s="21"/>
      <c r="Q257" s="21"/>
      <c r="S257" s="365">
        <v>721921</v>
      </c>
      <c r="T257" s="466" t="s">
        <v>1426</v>
      </c>
    </row>
    <row r="258" spans="1:20" ht="15" customHeight="1" x14ac:dyDescent="0.2">
      <c r="A258" s="179" t="s">
        <v>1444</v>
      </c>
      <c r="B258" s="75">
        <v>109788</v>
      </c>
      <c r="C258" s="366">
        <v>723269</v>
      </c>
      <c r="D258" s="466" t="s">
        <v>1426</v>
      </c>
      <c r="E258" s="17"/>
      <c r="F258" s="16"/>
      <c r="G258" s="159" t="s">
        <v>1711</v>
      </c>
      <c r="H258" s="183" t="str">
        <f t="shared" si="59"/>
        <v>na</v>
      </c>
      <c r="I258" s="17">
        <f t="shared" si="60"/>
        <v>0</v>
      </c>
      <c r="J258" s="418" t="e">
        <f>+'Special Pricing'!$G$434</f>
        <v>#DIV/0!</v>
      </c>
      <c r="K258" s="325">
        <v>0.25</v>
      </c>
      <c r="L258" s="19" t="e">
        <f t="shared" si="57"/>
        <v>#DIV/0!</v>
      </c>
      <c r="M258" s="325">
        <f t="shared" si="54"/>
        <v>0</v>
      </c>
      <c r="N258" s="112" t="e">
        <f t="shared" si="58"/>
        <v>#DIV/0!</v>
      </c>
      <c r="O258" s="112" t="e">
        <f t="shared" si="53"/>
        <v>#DIV/0!</v>
      </c>
      <c r="P258" s="21"/>
      <c r="Q258" s="21"/>
      <c r="S258" s="365">
        <v>721937</v>
      </c>
      <c r="T258" s="466" t="s">
        <v>1659</v>
      </c>
    </row>
    <row r="259" spans="1:20" s="21" customFormat="1" ht="15" customHeight="1" x14ac:dyDescent="0.2">
      <c r="A259" s="179" t="s">
        <v>1497</v>
      </c>
      <c r="B259" s="17">
        <v>109788</v>
      </c>
      <c r="C259" s="365">
        <v>724327</v>
      </c>
      <c r="D259" s="466" t="s">
        <v>1426</v>
      </c>
      <c r="E259" s="321"/>
      <c r="F259" s="16"/>
      <c r="G259" s="159" t="s">
        <v>1711</v>
      </c>
      <c r="H259" s="183" t="str">
        <f t="shared" si="59"/>
        <v>na</v>
      </c>
      <c r="I259" s="17">
        <f t="shared" si="60"/>
        <v>0</v>
      </c>
      <c r="J259" s="418" t="e">
        <f>+'Special Pricing'!$G$434</f>
        <v>#DIV/0!</v>
      </c>
      <c r="K259" s="325">
        <v>0.25</v>
      </c>
      <c r="L259" s="19" t="e">
        <f t="shared" si="57"/>
        <v>#DIV/0!</v>
      </c>
      <c r="M259" s="325">
        <f t="shared" si="54"/>
        <v>0</v>
      </c>
      <c r="N259" s="112" t="e">
        <f t="shared" si="58"/>
        <v>#DIV/0!</v>
      </c>
      <c r="O259" s="112" t="e">
        <f t="shared" si="53"/>
        <v>#DIV/0!</v>
      </c>
      <c r="S259" s="365">
        <v>721945</v>
      </c>
      <c r="T259" s="466" t="s">
        <v>1426</v>
      </c>
    </row>
    <row r="260" spans="1:20" ht="15" customHeight="1" x14ac:dyDescent="0.2">
      <c r="A260" s="179" t="s">
        <v>1497</v>
      </c>
      <c r="B260" s="75">
        <v>113893</v>
      </c>
      <c r="C260" s="365">
        <v>725897</v>
      </c>
      <c r="D260" s="466" t="s">
        <v>1426</v>
      </c>
      <c r="E260" s="17"/>
      <c r="F260" s="16"/>
      <c r="G260" s="159" t="s">
        <v>1711</v>
      </c>
      <c r="H260" s="183" t="str">
        <f t="shared" si="59"/>
        <v>na</v>
      </c>
      <c r="I260" s="17">
        <f t="shared" si="60"/>
        <v>0</v>
      </c>
      <c r="J260" s="418" t="e">
        <f>+'Special Pricing'!$G$434</f>
        <v>#DIV/0!</v>
      </c>
      <c r="K260" s="325">
        <v>0.25</v>
      </c>
      <c r="L260" s="19" t="e">
        <f t="shared" si="57"/>
        <v>#DIV/0!</v>
      </c>
      <c r="M260" s="325">
        <f t="shared" si="54"/>
        <v>0</v>
      </c>
      <c r="N260" s="112" t="e">
        <f t="shared" si="58"/>
        <v>#DIV/0!</v>
      </c>
      <c r="O260" s="112" t="e">
        <f t="shared" si="53"/>
        <v>#DIV/0!</v>
      </c>
      <c r="P260" s="21"/>
      <c r="Q260" s="21"/>
      <c r="S260" s="365">
        <v>721946</v>
      </c>
      <c r="T260" s="466" t="s">
        <v>1426</v>
      </c>
    </row>
    <row r="261" spans="1:20" ht="15" customHeight="1" x14ac:dyDescent="0.2">
      <c r="A261" s="179" t="s">
        <v>1444</v>
      </c>
      <c r="B261" s="75"/>
      <c r="C261" s="365">
        <v>725899</v>
      </c>
      <c r="D261" s="466" t="s">
        <v>1426</v>
      </c>
      <c r="E261" s="17"/>
      <c r="F261" s="16"/>
      <c r="G261" s="159" t="s">
        <v>1711</v>
      </c>
      <c r="H261" s="183" t="str">
        <f t="shared" si="59"/>
        <v>na</v>
      </c>
      <c r="I261" s="17">
        <f t="shared" si="60"/>
        <v>0</v>
      </c>
      <c r="J261" s="418" t="e">
        <f>+'Special Pricing'!$G$434</f>
        <v>#DIV/0!</v>
      </c>
      <c r="K261" s="325">
        <v>0.25</v>
      </c>
      <c r="L261" s="19" t="e">
        <f t="shared" si="57"/>
        <v>#DIV/0!</v>
      </c>
      <c r="M261" s="325">
        <f t="shared" si="54"/>
        <v>0</v>
      </c>
      <c r="N261" s="112" t="e">
        <f t="shared" si="58"/>
        <v>#DIV/0!</v>
      </c>
      <c r="O261" s="112" t="e">
        <f t="shared" si="53"/>
        <v>#DIV/0!</v>
      </c>
      <c r="P261" s="21"/>
      <c r="Q261" s="21"/>
      <c r="S261" s="318">
        <v>722023</v>
      </c>
      <c r="T261" s="470" t="s">
        <v>531</v>
      </c>
    </row>
    <row r="262" spans="1:20" ht="15" customHeight="1" x14ac:dyDescent="0.2">
      <c r="A262" s="179" t="s">
        <v>1444</v>
      </c>
      <c r="B262" s="75"/>
      <c r="C262" s="365">
        <v>726378</v>
      </c>
      <c r="D262" s="466" t="s">
        <v>1426</v>
      </c>
      <c r="E262" s="17"/>
      <c r="F262" s="16"/>
      <c r="G262" s="159" t="s">
        <v>1711</v>
      </c>
      <c r="H262" s="183" t="str">
        <f t="shared" si="59"/>
        <v>na</v>
      </c>
      <c r="I262" s="17">
        <f t="shared" si="60"/>
        <v>0</v>
      </c>
      <c r="J262" s="418" t="e">
        <f>+'Special Pricing'!$G$434</f>
        <v>#DIV/0!</v>
      </c>
      <c r="K262" s="325">
        <v>0.25</v>
      </c>
      <c r="L262" s="19" t="e">
        <f t="shared" si="57"/>
        <v>#DIV/0!</v>
      </c>
      <c r="M262" s="325">
        <f t="shared" si="54"/>
        <v>0</v>
      </c>
      <c r="N262" s="112" t="e">
        <f t="shared" si="58"/>
        <v>#DIV/0!</v>
      </c>
      <c r="O262" s="112" t="e">
        <f t="shared" si="53"/>
        <v>#DIV/0!</v>
      </c>
      <c r="P262" s="21"/>
      <c r="Q262" s="21"/>
      <c r="S262" s="365">
        <v>722031</v>
      </c>
      <c r="T262" s="466" t="s">
        <v>1499</v>
      </c>
    </row>
    <row r="263" spans="1:20" ht="15" customHeight="1" x14ac:dyDescent="0.2">
      <c r="A263" s="315" t="s">
        <v>1444</v>
      </c>
      <c r="B263" s="75"/>
      <c r="C263" s="318">
        <v>727187</v>
      </c>
      <c r="D263" s="470" t="s">
        <v>1426</v>
      </c>
      <c r="E263" s="17"/>
      <c r="F263" s="17">
        <v>48254</v>
      </c>
      <c r="G263" s="159" t="s">
        <v>1711</v>
      </c>
      <c r="H263" s="183" t="str">
        <f t="shared" si="59"/>
        <v>na</v>
      </c>
      <c r="I263" s="17">
        <f t="shared" si="60"/>
        <v>0</v>
      </c>
      <c r="J263" s="418" t="e">
        <f>+'Special Pricing'!$G$434</f>
        <v>#DIV/0!</v>
      </c>
      <c r="K263" s="325">
        <v>0.25</v>
      </c>
      <c r="L263" s="19" t="e">
        <f t="shared" si="57"/>
        <v>#DIV/0!</v>
      </c>
      <c r="M263" s="325">
        <f t="shared" si="54"/>
        <v>0</v>
      </c>
      <c r="N263" s="112" t="e">
        <f t="shared" si="58"/>
        <v>#DIV/0!</v>
      </c>
      <c r="O263" s="112" t="e">
        <f t="shared" si="53"/>
        <v>#DIV/0!</v>
      </c>
      <c r="P263" s="21"/>
      <c r="Q263" s="21"/>
      <c r="S263" s="365">
        <v>722039</v>
      </c>
      <c r="T263" s="466" t="s">
        <v>1627</v>
      </c>
    </row>
    <row r="264" spans="1:20" ht="15" customHeight="1" x14ac:dyDescent="0.2">
      <c r="A264" s="179" t="s">
        <v>1497</v>
      </c>
      <c r="B264" s="75"/>
      <c r="C264" s="365">
        <v>727763</v>
      </c>
      <c r="D264" s="466" t="s">
        <v>1426</v>
      </c>
      <c r="E264" s="17"/>
      <c r="F264" s="16"/>
      <c r="G264" s="159" t="s">
        <v>1711</v>
      </c>
      <c r="H264" s="183" t="str">
        <f t="shared" si="59"/>
        <v>na</v>
      </c>
      <c r="I264" s="17">
        <f t="shared" si="60"/>
        <v>0</v>
      </c>
      <c r="J264" s="418" t="e">
        <f>+'Special Pricing'!$G$434</f>
        <v>#DIV/0!</v>
      </c>
      <c r="K264" s="325">
        <v>0.25</v>
      </c>
      <c r="L264" s="19" t="e">
        <f t="shared" si="57"/>
        <v>#DIV/0!</v>
      </c>
      <c r="M264" s="325">
        <f t="shared" si="54"/>
        <v>0</v>
      </c>
      <c r="N264" s="112" t="e">
        <f t="shared" si="58"/>
        <v>#DIV/0!</v>
      </c>
      <c r="O264" s="112" t="e">
        <f t="shared" si="53"/>
        <v>#DIV/0!</v>
      </c>
      <c r="P264" s="21"/>
      <c r="Q264" s="21"/>
      <c r="S264" s="365">
        <v>722070</v>
      </c>
      <c r="T264" s="466" t="s">
        <v>1658</v>
      </c>
    </row>
    <row r="265" spans="1:20" s="21" customFormat="1" ht="15" customHeight="1" x14ac:dyDescent="0.2">
      <c r="A265" s="179" t="s">
        <v>1443</v>
      </c>
      <c r="B265" s="134"/>
      <c r="C265" s="696">
        <v>729472</v>
      </c>
      <c r="D265" s="466" t="s">
        <v>1426</v>
      </c>
      <c r="E265" s="328" t="s">
        <v>1978</v>
      </c>
      <c r="F265" s="16"/>
      <c r="G265" s="159" t="s">
        <v>1711</v>
      </c>
      <c r="H265" s="183" t="str">
        <f t="shared" si="59"/>
        <v>na</v>
      </c>
      <c r="I265" s="17">
        <f t="shared" si="60"/>
        <v>0</v>
      </c>
      <c r="J265" s="418" t="e">
        <f>+'Special Pricing'!$G$434</f>
        <v>#DIV/0!</v>
      </c>
      <c r="K265" s="325">
        <v>0.25</v>
      </c>
      <c r="L265" s="19" t="e">
        <f t="shared" si="57"/>
        <v>#DIV/0!</v>
      </c>
      <c r="M265" s="325">
        <f t="shared" si="54"/>
        <v>0</v>
      </c>
      <c r="N265" s="112" t="e">
        <f t="shared" si="58"/>
        <v>#DIV/0!</v>
      </c>
      <c r="O265" s="112" t="e">
        <f t="shared" si="53"/>
        <v>#DIV/0!</v>
      </c>
      <c r="S265" s="365">
        <v>710640</v>
      </c>
      <c r="T265" s="466" t="s">
        <v>1517</v>
      </c>
    </row>
    <row r="266" spans="1:20" ht="15" customHeight="1" x14ac:dyDescent="0.2">
      <c r="A266" s="179" t="s">
        <v>1444</v>
      </c>
      <c r="B266" s="89"/>
      <c r="C266" s="365">
        <v>730046</v>
      </c>
      <c r="D266" s="466" t="s">
        <v>1426</v>
      </c>
      <c r="E266" s="17"/>
      <c r="F266" s="16"/>
      <c r="G266" s="159" t="s">
        <v>1711</v>
      </c>
      <c r="H266" s="183" t="str">
        <f t="shared" si="59"/>
        <v>na</v>
      </c>
      <c r="I266" s="17">
        <f t="shared" si="60"/>
        <v>0</v>
      </c>
      <c r="J266" s="418" t="e">
        <f>+'Special Pricing'!$G$434</f>
        <v>#DIV/0!</v>
      </c>
      <c r="K266" s="325">
        <v>0.25</v>
      </c>
      <c r="L266" s="19" t="e">
        <f t="shared" si="57"/>
        <v>#DIV/0!</v>
      </c>
      <c r="M266" s="325">
        <f t="shared" si="54"/>
        <v>0</v>
      </c>
      <c r="N266" s="112" t="e">
        <f t="shared" si="58"/>
        <v>#DIV/0!</v>
      </c>
      <c r="O266" s="112" t="e">
        <f t="shared" si="53"/>
        <v>#DIV/0!</v>
      </c>
      <c r="P266" s="21"/>
      <c r="Q266" s="21"/>
      <c r="S266" s="365">
        <v>722101</v>
      </c>
      <c r="T266" s="466" t="s">
        <v>1664</v>
      </c>
    </row>
    <row r="267" spans="1:20" ht="15" customHeight="1" x14ac:dyDescent="0.2">
      <c r="A267" s="179" t="s">
        <v>1444</v>
      </c>
      <c r="B267" s="89"/>
      <c r="C267" s="365">
        <v>730228</v>
      </c>
      <c r="D267" s="466" t="s">
        <v>1426</v>
      </c>
      <c r="E267" s="17"/>
      <c r="F267" s="16"/>
      <c r="G267" s="159" t="s">
        <v>1711</v>
      </c>
      <c r="H267" s="183" t="str">
        <f t="shared" si="59"/>
        <v>na</v>
      </c>
      <c r="I267" s="17">
        <f t="shared" si="60"/>
        <v>0</v>
      </c>
      <c r="J267" s="418" t="e">
        <f>+'Special Pricing'!$G$434</f>
        <v>#DIV/0!</v>
      </c>
      <c r="K267" s="325">
        <v>0.25</v>
      </c>
      <c r="L267" s="19" t="e">
        <f t="shared" si="57"/>
        <v>#DIV/0!</v>
      </c>
      <c r="M267" s="325">
        <f t="shared" si="54"/>
        <v>0</v>
      </c>
      <c r="N267" s="112" t="e">
        <f t="shared" si="58"/>
        <v>#DIV/0!</v>
      </c>
      <c r="O267" s="112" t="e">
        <f t="shared" si="53"/>
        <v>#DIV/0!</v>
      </c>
      <c r="P267" s="21"/>
      <c r="Q267" s="21"/>
      <c r="S267" s="318">
        <v>722104</v>
      </c>
      <c r="T267" s="470" t="s">
        <v>475</v>
      </c>
    </row>
    <row r="268" spans="1:20" ht="15" customHeight="1" x14ac:dyDescent="0.2">
      <c r="A268" s="179" t="s">
        <v>1497</v>
      </c>
      <c r="B268" s="89"/>
      <c r="C268" s="365">
        <v>731314</v>
      </c>
      <c r="D268" s="466" t="s">
        <v>1426</v>
      </c>
      <c r="E268" s="17"/>
      <c r="F268" s="16"/>
      <c r="G268" s="159" t="s">
        <v>1711</v>
      </c>
      <c r="H268" s="183" t="str">
        <f t="shared" si="59"/>
        <v>na</v>
      </c>
      <c r="I268" s="17">
        <f t="shared" si="60"/>
        <v>0</v>
      </c>
      <c r="J268" s="418" t="e">
        <f>+'Special Pricing'!$G$434</f>
        <v>#DIV/0!</v>
      </c>
      <c r="K268" s="325">
        <v>0.25</v>
      </c>
      <c r="L268" s="19" t="e">
        <f t="shared" si="57"/>
        <v>#DIV/0!</v>
      </c>
      <c r="M268" s="325">
        <f t="shared" si="54"/>
        <v>0</v>
      </c>
      <c r="N268" s="112" t="e">
        <f t="shared" si="58"/>
        <v>#DIV/0!</v>
      </c>
      <c r="O268" s="112" t="e">
        <f t="shared" si="53"/>
        <v>#DIV/0!</v>
      </c>
      <c r="P268" s="21"/>
      <c r="Q268" s="21"/>
      <c r="S268" s="318">
        <v>722108</v>
      </c>
      <c r="T268" s="470" t="s">
        <v>531</v>
      </c>
    </row>
    <row r="269" spans="1:20" ht="15" customHeight="1" x14ac:dyDescent="0.2">
      <c r="A269" s="179" t="s">
        <v>1497</v>
      </c>
      <c r="B269" s="89"/>
      <c r="C269" s="365">
        <v>733021</v>
      </c>
      <c r="D269" s="466" t="s">
        <v>1426</v>
      </c>
      <c r="E269" s="17"/>
      <c r="F269" s="16"/>
      <c r="G269" s="159" t="s">
        <v>1711</v>
      </c>
      <c r="H269" s="183" t="str">
        <f t="shared" si="59"/>
        <v>na</v>
      </c>
      <c r="I269" s="17">
        <f t="shared" si="60"/>
        <v>0</v>
      </c>
      <c r="J269" s="418" t="e">
        <f>+'Special Pricing'!$G$434</f>
        <v>#DIV/0!</v>
      </c>
      <c r="K269" s="325">
        <v>0.25</v>
      </c>
      <c r="L269" s="19" t="e">
        <f t="shared" si="57"/>
        <v>#DIV/0!</v>
      </c>
      <c r="M269" s="325">
        <f t="shared" si="54"/>
        <v>0</v>
      </c>
      <c r="N269" s="112" t="e">
        <f t="shared" si="58"/>
        <v>#DIV/0!</v>
      </c>
      <c r="O269" s="112" t="e">
        <f t="shared" si="53"/>
        <v>#DIV/0!</v>
      </c>
      <c r="P269" s="21"/>
      <c r="Q269" s="21"/>
      <c r="S269" s="497">
        <v>722123</v>
      </c>
      <c r="T269" s="504" t="s">
        <v>811</v>
      </c>
    </row>
    <row r="270" spans="1:20" ht="15" customHeight="1" x14ac:dyDescent="0.2">
      <c r="A270" s="179" t="s">
        <v>1497</v>
      </c>
      <c r="B270" s="89"/>
      <c r="C270" s="365">
        <v>733372</v>
      </c>
      <c r="D270" s="466" t="s">
        <v>1426</v>
      </c>
      <c r="E270" s="17"/>
      <c r="F270" s="16"/>
      <c r="G270" s="159" t="s">
        <v>1711</v>
      </c>
      <c r="H270" s="183" t="str">
        <f t="shared" si="59"/>
        <v>na</v>
      </c>
      <c r="I270" s="17">
        <f t="shared" si="60"/>
        <v>0</v>
      </c>
      <c r="J270" s="418" t="e">
        <f>+'Special Pricing'!$G$434</f>
        <v>#DIV/0!</v>
      </c>
      <c r="K270" s="325">
        <v>0.25</v>
      </c>
      <c r="L270" s="19" t="e">
        <f t="shared" si="57"/>
        <v>#DIV/0!</v>
      </c>
      <c r="M270" s="325">
        <f t="shared" si="54"/>
        <v>0</v>
      </c>
      <c r="N270" s="112" t="e">
        <f t="shared" si="58"/>
        <v>#DIV/0!</v>
      </c>
      <c r="O270" s="112" t="e">
        <f t="shared" si="53"/>
        <v>#DIV/0!</v>
      </c>
      <c r="P270" s="21"/>
      <c r="Q270" s="21"/>
      <c r="S270" s="318">
        <v>722153</v>
      </c>
      <c r="T270" s="470" t="s">
        <v>351</v>
      </c>
    </row>
    <row r="271" spans="1:20" ht="15" customHeight="1" x14ac:dyDescent="0.2">
      <c r="A271" s="179" t="s">
        <v>1497</v>
      </c>
      <c r="B271" s="89"/>
      <c r="C271" s="366">
        <v>733985</v>
      </c>
      <c r="D271" s="466" t="s">
        <v>1426</v>
      </c>
      <c r="E271" s="17"/>
      <c r="F271" s="16"/>
      <c r="G271" s="159" t="s">
        <v>1711</v>
      </c>
      <c r="H271" s="183" t="str">
        <f t="shared" si="59"/>
        <v>na</v>
      </c>
      <c r="I271" s="17">
        <f t="shared" si="60"/>
        <v>0</v>
      </c>
      <c r="J271" s="418" t="e">
        <f>+'Special Pricing'!$G$434</f>
        <v>#DIV/0!</v>
      </c>
      <c r="K271" s="325">
        <v>0.25</v>
      </c>
      <c r="L271" s="19" t="e">
        <f t="shared" ref="L271:L340" si="61">+J271-K271</f>
        <v>#DIV/0!</v>
      </c>
      <c r="M271" s="325">
        <f t="shared" si="54"/>
        <v>0</v>
      </c>
      <c r="N271" s="112" t="e">
        <f t="shared" ref="N271:N340" si="62">+L271*I271</f>
        <v>#DIV/0!</v>
      </c>
      <c r="O271" s="112" t="e">
        <f t="shared" si="53"/>
        <v>#DIV/0!</v>
      </c>
      <c r="P271" s="21"/>
      <c r="Q271" s="21"/>
      <c r="S271" s="365">
        <v>722179</v>
      </c>
      <c r="T271" s="466" t="s">
        <v>1658</v>
      </c>
    </row>
    <row r="272" spans="1:20" ht="15" customHeight="1" x14ac:dyDescent="0.2">
      <c r="A272" s="315" t="s">
        <v>1444</v>
      </c>
      <c r="B272" s="75">
        <v>109783</v>
      </c>
      <c r="C272" s="318">
        <v>716742</v>
      </c>
      <c r="D272" s="470" t="s">
        <v>513</v>
      </c>
      <c r="E272" s="17"/>
      <c r="F272" s="17">
        <v>49060</v>
      </c>
      <c r="G272" s="584" t="s">
        <v>473</v>
      </c>
      <c r="H272" s="183" t="str">
        <f t="shared" si="59"/>
        <v>na</v>
      </c>
      <c r="I272" s="17">
        <f t="shared" si="60"/>
        <v>0</v>
      </c>
      <c r="J272" s="113">
        <f>+$J$3-0.08</f>
        <v>2.06</v>
      </c>
      <c r="K272" s="325">
        <v>0.25</v>
      </c>
      <c r="L272" s="19">
        <f t="shared" si="61"/>
        <v>1.81</v>
      </c>
      <c r="M272" s="325">
        <f t="shared" si="54"/>
        <v>0</v>
      </c>
      <c r="N272" s="112">
        <f t="shared" si="62"/>
        <v>0</v>
      </c>
      <c r="O272" s="112">
        <f t="shared" si="53"/>
        <v>0</v>
      </c>
      <c r="P272" s="21"/>
      <c r="Q272" s="21"/>
      <c r="S272" s="366">
        <v>722212</v>
      </c>
      <c r="T272" s="466" t="s">
        <v>1502</v>
      </c>
    </row>
    <row r="273" spans="1:20" ht="15" customHeight="1" x14ac:dyDescent="0.2">
      <c r="A273" s="315" t="s">
        <v>1444</v>
      </c>
      <c r="B273" s="75">
        <v>113788</v>
      </c>
      <c r="C273" s="318">
        <v>718600</v>
      </c>
      <c r="D273" s="470" t="s">
        <v>513</v>
      </c>
      <c r="E273" s="17"/>
      <c r="F273" s="17">
        <v>49060</v>
      </c>
      <c r="G273" s="584" t="s">
        <v>473</v>
      </c>
      <c r="H273" s="183" t="str">
        <f t="shared" si="59"/>
        <v>na</v>
      </c>
      <c r="I273" s="17">
        <f t="shared" si="60"/>
        <v>0</v>
      </c>
      <c r="J273" s="113">
        <f>+$J$3-0.08</f>
        <v>2.06</v>
      </c>
      <c r="K273" s="325">
        <v>0.25</v>
      </c>
      <c r="L273" s="19">
        <f t="shared" si="61"/>
        <v>1.81</v>
      </c>
      <c r="M273" s="325">
        <f t="shared" si="54"/>
        <v>0</v>
      </c>
      <c r="N273" s="112">
        <f t="shared" si="62"/>
        <v>0</v>
      </c>
      <c r="O273" s="112">
        <f t="shared" si="53"/>
        <v>0</v>
      </c>
      <c r="P273" s="21"/>
      <c r="Q273" s="21"/>
      <c r="S273" s="365">
        <v>722214</v>
      </c>
      <c r="T273" s="510" t="s">
        <v>1665</v>
      </c>
    </row>
    <row r="274" spans="1:20" ht="15" customHeight="1" x14ac:dyDescent="0.2">
      <c r="A274" s="315" t="s">
        <v>1444</v>
      </c>
      <c r="B274" s="75">
        <v>119531</v>
      </c>
      <c r="C274" s="318">
        <v>721576</v>
      </c>
      <c r="D274" s="470" t="s">
        <v>513</v>
      </c>
      <c r="E274" s="17"/>
      <c r="F274" s="17">
        <v>49060</v>
      </c>
      <c r="G274" s="584" t="s">
        <v>473</v>
      </c>
      <c r="H274" s="183" t="str">
        <f t="shared" si="59"/>
        <v>na</v>
      </c>
      <c r="I274" s="17">
        <f t="shared" si="60"/>
        <v>0</v>
      </c>
      <c r="J274" s="113">
        <f>+$J$3-0.08</f>
        <v>2.06</v>
      </c>
      <c r="K274" s="325">
        <v>0.25</v>
      </c>
      <c r="L274" s="19">
        <f t="shared" si="61"/>
        <v>1.81</v>
      </c>
      <c r="M274" s="325">
        <f t="shared" si="54"/>
        <v>0</v>
      </c>
      <c r="N274" s="112">
        <f t="shared" si="62"/>
        <v>0</v>
      </c>
      <c r="O274" s="112">
        <f t="shared" si="53"/>
        <v>0</v>
      </c>
      <c r="P274" s="21"/>
      <c r="Q274" s="21"/>
      <c r="S274" s="365">
        <v>722238</v>
      </c>
      <c r="T274" s="466" t="s">
        <v>1502</v>
      </c>
    </row>
    <row r="275" spans="1:20" ht="15" customHeight="1" x14ac:dyDescent="0.2">
      <c r="A275" s="179" t="s">
        <v>1497</v>
      </c>
      <c r="B275" s="495">
        <v>300606</v>
      </c>
      <c r="C275" s="366">
        <v>719053</v>
      </c>
      <c r="D275" s="466" t="s">
        <v>23</v>
      </c>
      <c r="E275" s="17"/>
      <c r="F275" s="16"/>
      <c r="G275" s="17" t="s">
        <v>2296</v>
      </c>
      <c r="H275" s="183" t="str">
        <f t="shared" si="59"/>
        <v>na</v>
      </c>
      <c r="I275" s="17">
        <f t="shared" si="60"/>
        <v>0</v>
      </c>
      <c r="J275" s="113">
        <f>+$J$3-0.02</f>
        <v>2.12</v>
      </c>
      <c r="K275" s="325">
        <v>0.25</v>
      </c>
      <c r="L275" s="19">
        <f t="shared" si="61"/>
        <v>1.87</v>
      </c>
      <c r="M275" s="325">
        <f t="shared" si="54"/>
        <v>0</v>
      </c>
      <c r="N275" s="112">
        <f t="shared" si="62"/>
        <v>0</v>
      </c>
      <c r="O275" s="112">
        <f t="shared" si="53"/>
        <v>0</v>
      </c>
      <c r="P275" s="21"/>
      <c r="Q275" s="21"/>
      <c r="S275" s="365">
        <v>722244</v>
      </c>
      <c r="T275" s="466" t="s">
        <v>1671</v>
      </c>
    </row>
    <row r="276" spans="1:20" ht="15" customHeight="1" x14ac:dyDescent="0.2">
      <c r="A276" s="179" t="s">
        <v>1444</v>
      </c>
      <c r="B276" s="75"/>
      <c r="C276" s="365">
        <v>708269</v>
      </c>
      <c r="D276" s="466" t="s">
        <v>1517</v>
      </c>
      <c r="E276" s="17"/>
      <c r="F276" s="16"/>
      <c r="G276" s="159" t="s">
        <v>1712</v>
      </c>
      <c r="H276" s="183" t="str">
        <f t="shared" si="59"/>
        <v>na</v>
      </c>
      <c r="I276" s="17">
        <f t="shared" si="60"/>
        <v>0</v>
      </c>
      <c r="J276" s="418" t="e">
        <f>+'Special Pricing'!$G$458</f>
        <v>#DIV/0!</v>
      </c>
      <c r="K276" s="325">
        <v>0.25</v>
      </c>
      <c r="L276" s="19" t="e">
        <f t="shared" si="61"/>
        <v>#DIV/0!</v>
      </c>
      <c r="M276" s="325">
        <f t="shared" si="54"/>
        <v>0</v>
      </c>
      <c r="N276" s="112" t="e">
        <f t="shared" si="62"/>
        <v>#DIV/0!</v>
      </c>
      <c r="O276" s="112" t="e">
        <f t="shared" si="53"/>
        <v>#DIV/0!</v>
      </c>
      <c r="P276" s="21"/>
      <c r="Q276" s="21"/>
      <c r="S276" s="365">
        <v>722278</v>
      </c>
      <c r="T276" s="466" t="s">
        <v>1717</v>
      </c>
    </row>
    <row r="277" spans="1:20" ht="15" customHeight="1" x14ac:dyDescent="0.2">
      <c r="A277" s="179" t="s">
        <v>1444</v>
      </c>
      <c r="B277" s="75"/>
      <c r="C277" s="365">
        <v>708733</v>
      </c>
      <c r="D277" s="477" t="s">
        <v>1517</v>
      </c>
      <c r="E277" s="17"/>
      <c r="F277" s="16"/>
      <c r="G277" s="159" t="s">
        <v>1712</v>
      </c>
      <c r="H277" s="183" t="str">
        <f t="shared" si="59"/>
        <v>na</v>
      </c>
      <c r="I277" s="17">
        <f t="shared" si="60"/>
        <v>0</v>
      </c>
      <c r="J277" s="418" t="e">
        <f>+'Special Pricing'!$G$458</f>
        <v>#DIV/0!</v>
      </c>
      <c r="K277" s="325">
        <v>0.25</v>
      </c>
      <c r="L277" s="19" t="e">
        <f t="shared" si="61"/>
        <v>#DIV/0!</v>
      </c>
      <c r="M277" s="325">
        <f t="shared" si="54"/>
        <v>0</v>
      </c>
      <c r="N277" s="112" t="e">
        <f t="shared" si="62"/>
        <v>#DIV/0!</v>
      </c>
      <c r="O277" s="112" t="e">
        <f t="shared" si="53"/>
        <v>#DIV/0!</v>
      </c>
      <c r="P277" s="21"/>
      <c r="Q277" s="21"/>
      <c r="S277" s="365">
        <v>722279</v>
      </c>
      <c r="T277" s="477" t="s">
        <v>1717</v>
      </c>
    </row>
    <row r="278" spans="1:20" ht="15" customHeight="1" x14ac:dyDescent="0.2">
      <c r="A278" s="179" t="s">
        <v>1444</v>
      </c>
      <c r="B278" s="75"/>
      <c r="C278" s="365">
        <v>708892</v>
      </c>
      <c r="D278" s="466" t="s">
        <v>1517</v>
      </c>
      <c r="E278" s="17"/>
      <c r="F278" s="16"/>
      <c r="G278" s="159" t="s">
        <v>1712</v>
      </c>
      <c r="H278" s="183" t="str">
        <f t="shared" si="59"/>
        <v>na</v>
      </c>
      <c r="I278" s="17">
        <f t="shared" si="60"/>
        <v>0</v>
      </c>
      <c r="J278" s="418" t="e">
        <f>+'Special Pricing'!$G$458</f>
        <v>#DIV/0!</v>
      </c>
      <c r="K278" s="325">
        <v>0.25</v>
      </c>
      <c r="L278" s="19" t="e">
        <f t="shared" si="61"/>
        <v>#DIV/0!</v>
      </c>
      <c r="M278" s="325">
        <f t="shared" si="54"/>
        <v>0</v>
      </c>
      <c r="N278" s="112" t="e">
        <f t="shared" si="62"/>
        <v>#DIV/0!</v>
      </c>
      <c r="O278" s="112" t="e">
        <f t="shared" si="53"/>
        <v>#DIV/0!</v>
      </c>
      <c r="P278" s="21"/>
      <c r="Q278" s="21"/>
      <c r="S278" s="318">
        <v>722302</v>
      </c>
      <c r="T278" s="470" t="s">
        <v>482</v>
      </c>
    </row>
    <row r="279" spans="1:20" ht="15" customHeight="1" x14ac:dyDescent="0.2">
      <c r="A279" s="179" t="s">
        <v>1444</v>
      </c>
      <c r="B279" s="75"/>
      <c r="C279" s="365">
        <v>709023</v>
      </c>
      <c r="D279" s="466" t="s">
        <v>1517</v>
      </c>
      <c r="E279" s="17"/>
      <c r="F279" s="16"/>
      <c r="G279" s="159" t="s">
        <v>1712</v>
      </c>
      <c r="H279" s="183" t="str">
        <f t="shared" si="59"/>
        <v>na</v>
      </c>
      <c r="I279" s="17">
        <f t="shared" si="60"/>
        <v>0</v>
      </c>
      <c r="J279" s="418" t="e">
        <f>+'Special Pricing'!$G$458</f>
        <v>#DIV/0!</v>
      </c>
      <c r="K279" s="325">
        <v>0.25</v>
      </c>
      <c r="L279" s="19" t="e">
        <f t="shared" si="61"/>
        <v>#DIV/0!</v>
      </c>
      <c r="M279" s="325">
        <f t="shared" si="54"/>
        <v>0</v>
      </c>
      <c r="N279" s="112" t="e">
        <f t="shared" si="62"/>
        <v>#DIV/0!</v>
      </c>
      <c r="O279" s="112" t="e">
        <f t="shared" si="53"/>
        <v>#DIV/0!</v>
      </c>
      <c r="P279" s="21"/>
      <c r="Q279" s="21"/>
      <c r="S279" s="365">
        <v>722321</v>
      </c>
      <c r="T279" s="466" t="s">
        <v>1499</v>
      </c>
    </row>
    <row r="280" spans="1:20" ht="15" customHeight="1" x14ac:dyDescent="0.2">
      <c r="A280" s="179" t="s">
        <v>1444</v>
      </c>
      <c r="B280" s="363"/>
      <c r="C280" s="365">
        <v>709093</v>
      </c>
      <c r="D280" s="466" t="s">
        <v>1517</v>
      </c>
      <c r="E280" s="17"/>
      <c r="F280" s="16"/>
      <c r="G280" s="159" t="s">
        <v>1712</v>
      </c>
      <c r="H280" s="183" t="str">
        <f t="shared" si="59"/>
        <v>na</v>
      </c>
      <c r="I280" s="17">
        <f t="shared" si="60"/>
        <v>0</v>
      </c>
      <c r="J280" s="418" t="e">
        <f>+'Special Pricing'!$G$458</f>
        <v>#DIV/0!</v>
      </c>
      <c r="K280" s="325">
        <v>0.25</v>
      </c>
      <c r="L280" s="19" t="e">
        <f t="shared" si="61"/>
        <v>#DIV/0!</v>
      </c>
      <c r="M280" s="325">
        <f t="shared" si="54"/>
        <v>0</v>
      </c>
      <c r="N280" s="112" t="e">
        <f t="shared" si="62"/>
        <v>#DIV/0!</v>
      </c>
      <c r="O280" s="112" t="e">
        <f t="shared" si="53"/>
        <v>#DIV/0!</v>
      </c>
      <c r="P280" s="21"/>
      <c r="Q280" s="21"/>
      <c r="S280" s="513">
        <v>722345</v>
      </c>
      <c r="T280" s="514" t="s">
        <v>1498</v>
      </c>
    </row>
    <row r="281" spans="1:20" ht="15" customHeight="1" x14ac:dyDescent="0.2">
      <c r="A281" s="223" t="s">
        <v>1444</v>
      </c>
      <c r="B281" s="17">
        <v>109768</v>
      </c>
      <c r="C281" s="367">
        <v>709278</v>
      </c>
      <c r="D281" s="477" t="s">
        <v>1517</v>
      </c>
      <c r="E281" s="17"/>
      <c r="F281" s="16"/>
      <c r="G281" s="159" t="s">
        <v>1712</v>
      </c>
      <c r="H281" s="183" t="str">
        <f t="shared" si="59"/>
        <v>na</v>
      </c>
      <c r="I281" s="17">
        <f t="shared" si="60"/>
        <v>0</v>
      </c>
      <c r="J281" s="418" t="e">
        <f>+'Special Pricing'!$G$458</f>
        <v>#DIV/0!</v>
      </c>
      <c r="K281" s="325">
        <v>0.25</v>
      </c>
      <c r="L281" s="19" t="e">
        <f t="shared" si="61"/>
        <v>#DIV/0!</v>
      </c>
      <c r="M281" s="325">
        <f t="shared" si="54"/>
        <v>0</v>
      </c>
      <c r="N281" s="112" t="e">
        <f t="shared" si="62"/>
        <v>#DIV/0!</v>
      </c>
      <c r="O281" s="112" t="e">
        <f t="shared" si="53"/>
        <v>#DIV/0!</v>
      </c>
      <c r="P281" s="21"/>
      <c r="Q281" s="21"/>
      <c r="S281" s="515">
        <v>722345</v>
      </c>
      <c r="T281" s="516" t="s">
        <v>1499</v>
      </c>
    </row>
    <row r="282" spans="1:20" ht="15" customHeight="1" x14ac:dyDescent="0.2">
      <c r="A282" s="223" t="s">
        <v>1444</v>
      </c>
      <c r="B282" s="17">
        <v>109835</v>
      </c>
      <c r="C282" s="367">
        <v>709503</v>
      </c>
      <c r="D282" s="477" t="s">
        <v>1517</v>
      </c>
      <c r="E282" s="17"/>
      <c r="F282" s="16"/>
      <c r="G282" s="159" t="s">
        <v>1712</v>
      </c>
      <c r="H282" s="183" t="str">
        <f t="shared" si="59"/>
        <v>na</v>
      </c>
      <c r="I282" s="17">
        <f t="shared" si="60"/>
        <v>0</v>
      </c>
      <c r="J282" s="418" t="e">
        <f>+'Special Pricing'!$G$458</f>
        <v>#DIV/0!</v>
      </c>
      <c r="K282" s="325">
        <v>0.25</v>
      </c>
      <c r="L282" s="19" t="e">
        <f t="shared" si="61"/>
        <v>#DIV/0!</v>
      </c>
      <c r="M282" s="325">
        <f t="shared" si="54"/>
        <v>0</v>
      </c>
      <c r="N282" s="112" t="e">
        <f t="shared" si="62"/>
        <v>#DIV/0!</v>
      </c>
      <c r="O282" s="112" t="e">
        <f t="shared" ref="O282:O351" si="63">(+L282*I282)-M282</f>
        <v>#DIV/0!</v>
      </c>
      <c r="P282" s="21"/>
      <c r="Q282" s="21"/>
      <c r="S282" s="367">
        <v>722377</v>
      </c>
      <c r="T282" s="477" t="s">
        <v>1717</v>
      </c>
    </row>
    <row r="283" spans="1:20" ht="15" customHeight="1" x14ac:dyDescent="0.2">
      <c r="A283" s="223" t="s">
        <v>1444</v>
      </c>
      <c r="B283" s="17"/>
      <c r="C283" s="367">
        <v>710639</v>
      </c>
      <c r="D283" s="477" t="s">
        <v>1517</v>
      </c>
      <c r="E283" s="17"/>
      <c r="F283" s="16"/>
      <c r="G283" s="159" t="s">
        <v>1712</v>
      </c>
      <c r="H283" s="183" t="str">
        <f t="shared" si="59"/>
        <v>na</v>
      </c>
      <c r="I283" s="17">
        <f t="shared" si="60"/>
        <v>0</v>
      </c>
      <c r="J283" s="418" t="e">
        <f>+'Special Pricing'!$G$458</f>
        <v>#DIV/0!</v>
      </c>
      <c r="K283" s="325">
        <v>0.25</v>
      </c>
      <c r="L283" s="19" t="e">
        <f t="shared" si="61"/>
        <v>#DIV/0!</v>
      </c>
      <c r="M283" s="325">
        <f t="shared" si="54"/>
        <v>0</v>
      </c>
      <c r="N283" s="112" t="e">
        <f t="shared" si="62"/>
        <v>#DIV/0!</v>
      </c>
      <c r="O283" s="112" t="e">
        <f t="shared" si="63"/>
        <v>#DIV/0!</v>
      </c>
      <c r="P283" s="21"/>
      <c r="Q283" s="21"/>
      <c r="S283" s="367">
        <v>722388</v>
      </c>
      <c r="T283" s="477" t="s">
        <v>1501</v>
      </c>
    </row>
    <row r="284" spans="1:20" ht="15" customHeight="1" x14ac:dyDescent="0.2">
      <c r="A284" s="223" t="s">
        <v>1444</v>
      </c>
      <c r="B284" s="17"/>
      <c r="C284" s="367">
        <v>710640</v>
      </c>
      <c r="D284" s="477" t="s">
        <v>1517</v>
      </c>
      <c r="E284" s="17"/>
      <c r="F284" s="16"/>
      <c r="G284" s="159" t="s">
        <v>1712</v>
      </c>
      <c r="H284" s="183" t="str">
        <f t="shared" si="59"/>
        <v>na</v>
      </c>
      <c r="I284" s="17">
        <f t="shared" si="60"/>
        <v>0</v>
      </c>
      <c r="J284" s="418" t="e">
        <f>+'Special Pricing'!$G$458</f>
        <v>#DIV/0!</v>
      </c>
      <c r="K284" s="325">
        <v>0.25</v>
      </c>
      <c r="L284" s="19" t="e">
        <f t="shared" si="61"/>
        <v>#DIV/0!</v>
      </c>
      <c r="M284" s="325">
        <f t="shared" ref="M284:M353" si="64">IF(H284&gt;=0,I284*0.001,0)</f>
        <v>0</v>
      </c>
      <c r="N284" s="112" t="e">
        <f t="shared" si="62"/>
        <v>#DIV/0!</v>
      </c>
      <c r="O284" s="112" t="e">
        <f t="shared" si="63"/>
        <v>#DIV/0!</v>
      </c>
      <c r="P284" s="21"/>
      <c r="Q284" s="21"/>
      <c r="S284" s="367">
        <v>722433</v>
      </c>
      <c r="T284" s="477" t="s">
        <v>1499</v>
      </c>
    </row>
    <row r="285" spans="1:20" ht="15" customHeight="1" x14ac:dyDescent="0.2">
      <c r="A285" s="223" t="s">
        <v>1444</v>
      </c>
      <c r="B285" s="17"/>
      <c r="C285" s="367">
        <v>710714</v>
      </c>
      <c r="D285" s="477" t="s">
        <v>1517</v>
      </c>
      <c r="E285" s="17"/>
      <c r="F285" s="16"/>
      <c r="G285" s="159" t="s">
        <v>1712</v>
      </c>
      <c r="H285" s="183" t="str">
        <f t="shared" si="59"/>
        <v>na</v>
      </c>
      <c r="I285" s="17">
        <f t="shared" si="60"/>
        <v>0</v>
      </c>
      <c r="J285" s="418" t="e">
        <f>+'Special Pricing'!$G$458</f>
        <v>#DIV/0!</v>
      </c>
      <c r="K285" s="325">
        <v>0.25</v>
      </c>
      <c r="L285" s="19" t="e">
        <f t="shared" si="61"/>
        <v>#DIV/0!</v>
      </c>
      <c r="M285" s="325">
        <f t="shared" si="64"/>
        <v>0</v>
      </c>
      <c r="N285" s="112" t="e">
        <f t="shared" si="62"/>
        <v>#DIV/0!</v>
      </c>
      <c r="O285" s="112" t="e">
        <f t="shared" si="63"/>
        <v>#DIV/0!</v>
      </c>
      <c r="P285" s="21"/>
      <c r="Q285" s="21"/>
      <c r="S285" s="367">
        <v>722437</v>
      </c>
      <c r="T285" s="477" t="s">
        <v>1426</v>
      </c>
    </row>
    <row r="286" spans="1:20" ht="15" customHeight="1" x14ac:dyDescent="0.2">
      <c r="A286" s="223" t="s">
        <v>1444</v>
      </c>
      <c r="B286" s="17">
        <v>110379</v>
      </c>
      <c r="C286" s="367">
        <v>710736</v>
      </c>
      <c r="D286" s="477" t="s">
        <v>1517</v>
      </c>
      <c r="E286" s="17"/>
      <c r="F286" s="16"/>
      <c r="G286" s="159" t="s">
        <v>1712</v>
      </c>
      <c r="H286" s="183" t="str">
        <f t="shared" si="59"/>
        <v>na</v>
      </c>
      <c r="I286" s="17">
        <f t="shared" si="60"/>
        <v>0</v>
      </c>
      <c r="J286" s="418" t="e">
        <f>+'Special Pricing'!$G$458</f>
        <v>#DIV/0!</v>
      </c>
      <c r="K286" s="325">
        <v>0.25</v>
      </c>
      <c r="L286" s="19" t="e">
        <f t="shared" si="61"/>
        <v>#DIV/0!</v>
      </c>
      <c r="M286" s="325">
        <f t="shared" si="64"/>
        <v>0</v>
      </c>
      <c r="N286" s="112" t="e">
        <f t="shared" si="62"/>
        <v>#DIV/0!</v>
      </c>
      <c r="O286" s="112" t="e">
        <f t="shared" si="63"/>
        <v>#DIV/0!</v>
      </c>
      <c r="P286" s="21"/>
      <c r="Q286" s="21"/>
      <c r="S286" s="368">
        <v>722443</v>
      </c>
      <c r="T286" s="477" t="s">
        <v>1502</v>
      </c>
    </row>
    <row r="287" spans="1:20" ht="15" customHeight="1" x14ac:dyDescent="0.2">
      <c r="A287" s="223" t="s">
        <v>1444</v>
      </c>
      <c r="B287" s="17">
        <v>109802</v>
      </c>
      <c r="C287" s="367">
        <v>711147</v>
      </c>
      <c r="D287" s="477" t="s">
        <v>1517</v>
      </c>
      <c r="E287" s="17"/>
      <c r="F287" s="16"/>
      <c r="G287" s="159" t="s">
        <v>1712</v>
      </c>
      <c r="H287" s="183" t="str">
        <f t="shared" ref="H287:H322" si="65">IF(ISNA(VLOOKUP(C287,gath9909,10,FALSE)),"na",VLOOKUP(C287,gath9909,10,FALSE))</f>
        <v>na</v>
      </c>
      <c r="I287" s="17">
        <f t="shared" ref="I287:I322" si="66">IF(ISNA(VLOOKUP(C287,gath9909,12,FALSE)),0,(VLOOKUP(C287,gath9909,12,FALSE)))</f>
        <v>0</v>
      </c>
      <c r="J287" s="418" t="e">
        <f>+'Special Pricing'!$G$458</f>
        <v>#DIV/0!</v>
      </c>
      <c r="K287" s="325">
        <v>0.25</v>
      </c>
      <c r="L287" s="19" t="e">
        <f t="shared" si="61"/>
        <v>#DIV/0!</v>
      </c>
      <c r="M287" s="325">
        <f t="shared" si="64"/>
        <v>0</v>
      </c>
      <c r="N287" s="112" t="e">
        <f t="shared" si="62"/>
        <v>#DIV/0!</v>
      </c>
      <c r="O287" s="112" t="e">
        <f t="shared" si="63"/>
        <v>#DIV/0!</v>
      </c>
      <c r="P287" s="21"/>
      <c r="Q287" s="21"/>
      <c r="S287" s="367">
        <v>722444</v>
      </c>
      <c r="T287" s="477" t="s">
        <v>1502</v>
      </c>
    </row>
    <row r="288" spans="1:20" ht="15" customHeight="1" x14ac:dyDescent="0.2">
      <c r="A288" s="223" t="s">
        <v>1444</v>
      </c>
      <c r="B288" s="17">
        <v>113775</v>
      </c>
      <c r="C288" s="367">
        <v>711345</v>
      </c>
      <c r="D288" s="477" t="s">
        <v>1517</v>
      </c>
      <c r="E288" s="17"/>
      <c r="F288" s="16"/>
      <c r="G288" s="159" t="s">
        <v>1712</v>
      </c>
      <c r="H288" s="183" t="str">
        <f t="shared" si="65"/>
        <v>na</v>
      </c>
      <c r="I288" s="17">
        <f t="shared" si="66"/>
        <v>0</v>
      </c>
      <c r="J288" s="418" t="e">
        <f>+'Special Pricing'!$G$458</f>
        <v>#DIV/0!</v>
      </c>
      <c r="K288" s="325">
        <v>0.25</v>
      </c>
      <c r="L288" s="19" t="e">
        <f t="shared" si="61"/>
        <v>#DIV/0!</v>
      </c>
      <c r="M288" s="325">
        <f t="shared" si="64"/>
        <v>0</v>
      </c>
      <c r="N288" s="112" t="e">
        <f t="shared" si="62"/>
        <v>#DIV/0!</v>
      </c>
      <c r="O288" s="112" t="e">
        <f t="shared" si="63"/>
        <v>#DIV/0!</v>
      </c>
      <c r="P288" s="21"/>
      <c r="Q288" s="21"/>
      <c r="S288" s="312">
        <v>722445</v>
      </c>
      <c r="T288" s="478" t="s">
        <v>478</v>
      </c>
    </row>
    <row r="289" spans="1:20" ht="15" customHeight="1" x14ac:dyDescent="0.2">
      <c r="A289" s="223" t="s">
        <v>1444</v>
      </c>
      <c r="B289" s="17">
        <v>109803</v>
      </c>
      <c r="C289" s="367">
        <v>711384</v>
      </c>
      <c r="D289" s="477" t="s">
        <v>1517</v>
      </c>
      <c r="E289" s="17"/>
      <c r="F289" s="16"/>
      <c r="G289" s="159" t="s">
        <v>1712</v>
      </c>
      <c r="H289" s="183" t="str">
        <f t="shared" si="65"/>
        <v>na</v>
      </c>
      <c r="I289" s="17">
        <f t="shared" si="66"/>
        <v>0</v>
      </c>
      <c r="J289" s="418" t="e">
        <f>+'Special Pricing'!$G$458</f>
        <v>#DIV/0!</v>
      </c>
      <c r="K289" s="325">
        <v>0.25</v>
      </c>
      <c r="L289" s="19" t="e">
        <f t="shared" si="61"/>
        <v>#DIV/0!</v>
      </c>
      <c r="M289" s="325">
        <f t="shared" si="64"/>
        <v>0</v>
      </c>
      <c r="N289" s="112" t="e">
        <f t="shared" si="62"/>
        <v>#DIV/0!</v>
      </c>
      <c r="O289" s="112" t="e">
        <f t="shared" si="63"/>
        <v>#DIV/0!</v>
      </c>
      <c r="S289" s="360">
        <v>722480</v>
      </c>
      <c r="T289" s="370" t="s">
        <v>811</v>
      </c>
    </row>
    <row r="290" spans="1:20" ht="15" customHeight="1" x14ac:dyDescent="0.2">
      <c r="A290" s="223" t="s">
        <v>1444</v>
      </c>
      <c r="B290" s="17">
        <v>109762</v>
      </c>
      <c r="C290" s="367">
        <v>711640</v>
      </c>
      <c r="D290" s="477" t="s">
        <v>1517</v>
      </c>
      <c r="E290" s="17"/>
      <c r="F290" s="16"/>
      <c r="G290" s="159" t="s">
        <v>1712</v>
      </c>
      <c r="H290" s="183" t="str">
        <f t="shared" si="65"/>
        <v>na</v>
      </c>
      <c r="I290" s="17">
        <f t="shared" si="66"/>
        <v>0</v>
      </c>
      <c r="J290" s="418" t="e">
        <f>+'Special Pricing'!$G$458</f>
        <v>#DIV/0!</v>
      </c>
      <c r="K290" s="325">
        <v>0.25</v>
      </c>
      <c r="L290" s="19" t="e">
        <f t="shared" si="61"/>
        <v>#DIV/0!</v>
      </c>
      <c r="M290" s="325">
        <f t="shared" si="64"/>
        <v>0</v>
      </c>
      <c r="N290" s="112" t="e">
        <f t="shared" si="62"/>
        <v>#DIV/0!</v>
      </c>
      <c r="O290" s="112" t="e">
        <f t="shared" si="63"/>
        <v>#DIV/0!</v>
      </c>
      <c r="S290" s="360">
        <v>722481</v>
      </c>
      <c r="T290" s="370" t="s">
        <v>811</v>
      </c>
    </row>
    <row r="291" spans="1:20" ht="15" customHeight="1" x14ac:dyDescent="0.2">
      <c r="A291" s="223" t="s">
        <v>1444</v>
      </c>
      <c r="B291" s="17">
        <v>113791</v>
      </c>
      <c r="C291" s="367">
        <v>712260</v>
      </c>
      <c r="D291" s="477" t="s">
        <v>1517</v>
      </c>
      <c r="E291" s="17"/>
      <c r="F291" s="16"/>
      <c r="G291" s="159" t="s">
        <v>1712</v>
      </c>
      <c r="H291" s="183" t="str">
        <f t="shared" si="65"/>
        <v>na</v>
      </c>
      <c r="I291" s="17">
        <f t="shared" si="66"/>
        <v>0</v>
      </c>
      <c r="J291" s="418" t="e">
        <f>+'Special Pricing'!$G$458</f>
        <v>#DIV/0!</v>
      </c>
      <c r="K291" s="325">
        <v>0.25</v>
      </c>
      <c r="L291" s="19" t="e">
        <f t="shared" si="61"/>
        <v>#DIV/0!</v>
      </c>
      <c r="M291" s="325">
        <f t="shared" si="64"/>
        <v>0</v>
      </c>
      <c r="N291" s="112" t="e">
        <f t="shared" si="62"/>
        <v>#DIV/0!</v>
      </c>
      <c r="O291" s="112" t="e">
        <f t="shared" si="63"/>
        <v>#DIV/0!</v>
      </c>
      <c r="S291" s="367">
        <v>722489</v>
      </c>
      <c r="T291" s="477" t="s">
        <v>1627</v>
      </c>
    </row>
    <row r="292" spans="1:20" ht="15" customHeight="1" x14ac:dyDescent="0.2">
      <c r="A292" s="223" t="s">
        <v>1444</v>
      </c>
      <c r="B292" s="17">
        <v>113792</v>
      </c>
      <c r="C292" s="367">
        <v>712261</v>
      </c>
      <c r="D292" s="477" t="s">
        <v>1517</v>
      </c>
      <c r="E292" s="17"/>
      <c r="F292" s="16"/>
      <c r="G292" s="159" t="s">
        <v>1712</v>
      </c>
      <c r="H292" s="183" t="str">
        <f t="shared" si="65"/>
        <v>na</v>
      </c>
      <c r="I292" s="17">
        <f t="shared" si="66"/>
        <v>0</v>
      </c>
      <c r="J292" s="418" t="e">
        <f>+'Special Pricing'!$G$458</f>
        <v>#DIV/0!</v>
      </c>
      <c r="K292" s="325">
        <v>0.25</v>
      </c>
      <c r="L292" s="19" t="e">
        <f t="shared" si="61"/>
        <v>#DIV/0!</v>
      </c>
      <c r="M292" s="325">
        <f t="shared" si="64"/>
        <v>0</v>
      </c>
      <c r="N292" s="112" t="e">
        <f t="shared" si="62"/>
        <v>#DIV/0!</v>
      </c>
      <c r="O292" s="112" t="e">
        <f t="shared" si="63"/>
        <v>#DIV/0!</v>
      </c>
      <c r="S292" s="368">
        <v>722522</v>
      </c>
      <c r="T292" s="477" t="s">
        <v>1618</v>
      </c>
    </row>
    <row r="293" spans="1:20" ht="15" customHeight="1" x14ac:dyDescent="0.2">
      <c r="A293" s="223" t="s">
        <v>1444</v>
      </c>
      <c r="B293" s="17"/>
      <c r="C293" s="367">
        <v>712262</v>
      </c>
      <c r="D293" s="477" t="s">
        <v>1517</v>
      </c>
      <c r="E293" s="17"/>
      <c r="F293" s="16"/>
      <c r="G293" s="159" t="s">
        <v>1712</v>
      </c>
      <c r="H293" s="183" t="str">
        <f t="shared" si="65"/>
        <v>na</v>
      </c>
      <c r="I293" s="17">
        <f t="shared" si="66"/>
        <v>0</v>
      </c>
      <c r="J293" s="418" t="e">
        <f>+'Special Pricing'!$G$458</f>
        <v>#DIV/0!</v>
      </c>
      <c r="K293" s="325">
        <v>0.25</v>
      </c>
      <c r="L293" s="19" t="e">
        <f t="shared" si="61"/>
        <v>#DIV/0!</v>
      </c>
      <c r="M293" s="325">
        <f t="shared" si="64"/>
        <v>0</v>
      </c>
      <c r="N293" s="112" t="e">
        <f t="shared" si="62"/>
        <v>#DIV/0!</v>
      </c>
      <c r="O293" s="112" t="e">
        <f t="shared" si="63"/>
        <v>#DIV/0!</v>
      </c>
      <c r="S293" s="368">
        <v>722565</v>
      </c>
      <c r="T293" s="477" t="s">
        <v>1426</v>
      </c>
    </row>
    <row r="294" spans="1:20" ht="15" customHeight="1" x14ac:dyDescent="0.2">
      <c r="A294" s="223" t="s">
        <v>1444</v>
      </c>
      <c r="B294" s="17">
        <v>113794</v>
      </c>
      <c r="C294" s="367">
        <v>712263</v>
      </c>
      <c r="D294" s="477" t="s">
        <v>1517</v>
      </c>
      <c r="E294" s="17"/>
      <c r="F294" s="16"/>
      <c r="G294" s="159" t="s">
        <v>1712</v>
      </c>
      <c r="H294" s="183" t="str">
        <f t="shared" si="65"/>
        <v>na</v>
      </c>
      <c r="I294" s="17">
        <f t="shared" si="66"/>
        <v>0</v>
      </c>
      <c r="J294" s="418" t="e">
        <f>+'Special Pricing'!$G$458</f>
        <v>#DIV/0!</v>
      </c>
      <c r="K294" s="325">
        <v>0.25</v>
      </c>
      <c r="L294" s="19" t="e">
        <f t="shared" si="61"/>
        <v>#DIV/0!</v>
      </c>
      <c r="M294" s="325">
        <f t="shared" si="64"/>
        <v>0</v>
      </c>
      <c r="N294" s="112" t="e">
        <f t="shared" si="62"/>
        <v>#DIV/0!</v>
      </c>
      <c r="O294" s="112" t="e">
        <f t="shared" si="63"/>
        <v>#DIV/0!</v>
      </c>
      <c r="S294" s="312">
        <v>722615</v>
      </c>
      <c r="T294" s="478" t="s">
        <v>543</v>
      </c>
    </row>
    <row r="295" spans="1:20" ht="15" customHeight="1" x14ac:dyDescent="0.2">
      <c r="A295" s="223" t="s">
        <v>1444</v>
      </c>
      <c r="B295" s="17">
        <v>119529</v>
      </c>
      <c r="C295" s="367">
        <v>712294</v>
      </c>
      <c r="D295" s="477" t="s">
        <v>1517</v>
      </c>
      <c r="E295" s="17"/>
      <c r="F295" s="16"/>
      <c r="G295" s="159" t="s">
        <v>1712</v>
      </c>
      <c r="H295" s="183" t="str">
        <f t="shared" si="65"/>
        <v>na</v>
      </c>
      <c r="I295" s="17">
        <f t="shared" si="66"/>
        <v>0</v>
      </c>
      <c r="J295" s="418" t="e">
        <f>+'Special Pricing'!$G$458</f>
        <v>#DIV/0!</v>
      </c>
      <c r="K295" s="325">
        <v>0.25</v>
      </c>
      <c r="L295" s="19" t="e">
        <f t="shared" si="61"/>
        <v>#DIV/0!</v>
      </c>
      <c r="M295" s="325">
        <f t="shared" si="64"/>
        <v>0</v>
      </c>
      <c r="N295" s="112" t="e">
        <f t="shared" si="62"/>
        <v>#DIV/0!</v>
      </c>
      <c r="O295" s="112" t="e">
        <f t="shared" si="63"/>
        <v>#DIV/0!</v>
      </c>
      <c r="S295" s="312">
        <v>722619</v>
      </c>
      <c r="T295" s="478" t="s">
        <v>813</v>
      </c>
    </row>
    <row r="296" spans="1:20" ht="15" customHeight="1" x14ac:dyDescent="0.2">
      <c r="A296" s="223" t="s">
        <v>1444</v>
      </c>
      <c r="B296" s="16">
        <v>137932</v>
      </c>
      <c r="C296" s="367">
        <v>712526</v>
      </c>
      <c r="D296" s="477" t="s">
        <v>1517</v>
      </c>
      <c r="E296" s="17"/>
      <c r="F296" s="16"/>
      <c r="G296" s="159" t="s">
        <v>1712</v>
      </c>
      <c r="H296" s="183" t="str">
        <f t="shared" si="65"/>
        <v>na</v>
      </c>
      <c r="I296" s="17">
        <f t="shared" si="66"/>
        <v>0</v>
      </c>
      <c r="J296" s="418" t="e">
        <f>+'Special Pricing'!$G$458</f>
        <v>#DIV/0!</v>
      </c>
      <c r="K296" s="325">
        <v>0.25</v>
      </c>
      <c r="L296" s="19" t="e">
        <f t="shared" si="61"/>
        <v>#DIV/0!</v>
      </c>
      <c r="M296" s="325">
        <f t="shared" si="64"/>
        <v>0</v>
      </c>
      <c r="N296" s="112" t="e">
        <f t="shared" si="62"/>
        <v>#DIV/0!</v>
      </c>
      <c r="O296" s="112" t="e">
        <f t="shared" si="63"/>
        <v>#DIV/0!</v>
      </c>
      <c r="S296" s="367">
        <v>722626</v>
      </c>
      <c r="T296" s="477" t="s">
        <v>1627</v>
      </c>
    </row>
    <row r="297" spans="1:20" ht="15" customHeight="1" x14ac:dyDescent="0.2">
      <c r="A297" s="223" t="s">
        <v>1444</v>
      </c>
      <c r="B297" s="17"/>
      <c r="C297" s="367">
        <v>716678</v>
      </c>
      <c r="D297" s="477" t="s">
        <v>1517</v>
      </c>
      <c r="E297" s="17"/>
      <c r="F297" s="16"/>
      <c r="G297" s="159" t="s">
        <v>1712</v>
      </c>
      <c r="H297" s="183" t="str">
        <f t="shared" si="65"/>
        <v>na</v>
      </c>
      <c r="I297" s="17">
        <f t="shared" si="66"/>
        <v>0</v>
      </c>
      <c r="J297" s="418" t="e">
        <f>+'Special Pricing'!$G$458</f>
        <v>#DIV/0!</v>
      </c>
      <c r="K297" s="325">
        <v>0.25</v>
      </c>
      <c r="L297" s="19" t="e">
        <f t="shared" si="61"/>
        <v>#DIV/0!</v>
      </c>
      <c r="M297" s="325">
        <f t="shared" si="64"/>
        <v>0</v>
      </c>
      <c r="N297" s="112" t="e">
        <f t="shared" si="62"/>
        <v>#DIV/0!</v>
      </c>
      <c r="O297" s="112" t="e">
        <f t="shared" si="63"/>
        <v>#DIV/0!</v>
      </c>
      <c r="S297" s="312">
        <v>722629</v>
      </c>
      <c r="T297" s="478" t="s">
        <v>508</v>
      </c>
    </row>
    <row r="298" spans="1:20" ht="15" customHeight="1" x14ac:dyDescent="0.2">
      <c r="A298" s="223" t="s">
        <v>1444</v>
      </c>
      <c r="B298" s="17">
        <v>109801</v>
      </c>
      <c r="C298" s="367">
        <v>719887</v>
      </c>
      <c r="D298" s="477" t="s">
        <v>1517</v>
      </c>
      <c r="E298" s="17"/>
      <c r="F298" s="16"/>
      <c r="G298" s="159" t="s">
        <v>1712</v>
      </c>
      <c r="H298" s="183" t="str">
        <f t="shared" si="65"/>
        <v>na</v>
      </c>
      <c r="I298" s="17">
        <f t="shared" si="66"/>
        <v>0</v>
      </c>
      <c r="J298" s="418" t="e">
        <f>+'Special Pricing'!$G$458</f>
        <v>#DIV/0!</v>
      </c>
      <c r="K298" s="325">
        <v>0.25</v>
      </c>
      <c r="L298" s="19" t="e">
        <f t="shared" si="61"/>
        <v>#DIV/0!</v>
      </c>
      <c r="M298" s="325">
        <f t="shared" si="64"/>
        <v>0</v>
      </c>
      <c r="N298" s="112" t="e">
        <f t="shared" si="62"/>
        <v>#DIV/0!</v>
      </c>
      <c r="O298" s="112" t="e">
        <f t="shared" si="63"/>
        <v>#DIV/0!</v>
      </c>
      <c r="S298" s="368">
        <v>722642</v>
      </c>
      <c r="T298" s="477" t="s">
        <v>24</v>
      </c>
    </row>
    <row r="299" spans="1:20" ht="15" customHeight="1" x14ac:dyDescent="0.2">
      <c r="A299" s="223" t="s">
        <v>1444</v>
      </c>
      <c r="B299" s="17">
        <v>109747</v>
      </c>
      <c r="C299" s="367">
        <v>720326</v>
      </c>
      <c r="D299" s="477" t="s">
        <v>1517</v>
      </c>
      <c r="E299" s="17"/>
      <c r="F299" s="16"/>
      <c r="G299" s="159" t="s">
        <v>1712</v>
      </c>
      <c r="H299" s="183" t="str">
        <f t="shared" si="65"/>
        <v>na</v>
      </c>
      <c r="I299" s="17">
        <f t="shared" si="66"/>
        <v>0</v>
      </c>
      <c r="J299" s="418" t="e">
        <f>+'Special Pricing'!$G$458</f>
        <v>#DIV/0!</v>
      </c>
      <c r="K299" s="325">
        <v>0.25</v>
      </c>
      <c r="L299" s="19" t="e">
        <f t="shared" si="61"/>
        <v>#DIV/0!</v>
      </c>
      <c r="M299" s="325">
        <f t="shared" si="64"/>
        <v>0</v>
      </c>
      <c r="N299" s="112" t="e">
        <f t="shared" si="62"/>
        <v>#DIV/0!</v>
      </c>
      <c r="O299" s="112" t="e">
        <f t="shared" si="63"/>
        <v>#DIV/0!</v>
      </c>
      <c r="S299" s="367">
        <v>722645</v>
      </c>
      <c r="T299" s="477" t="s">
        <v>1499</v>
      </c>
    </row>
    <row r="300" spans="1:20" ht="15" customHeight="1" x14ac:dyDescent="0.2">
      <c r="A300" s="362" t="s">
        <v>1444</v>
      </c>
      <c r="B300" s="75">
        <v>113921</v>
      </c>
      <c r="C300" s="367">
        <v>720770</v>
      </c>
      <c r="D300" s="477" t="s">
        <v>1517</v>
      </c>
      <c r="E300" s="17"/>
      <c r="F300" s="16"/>
      <c r="G300" s="159" t="s">
        <v>1712</v>
      </c>
      <c r="H300" s="183" t="str">
        <f t="shared" si="65"/>
        <v>na</v>
      </c>
      <c r="I300" s="17">
        <f t="shared" si="66"/>
        <v>0</v>
      </c>
      <c r="J300" s="418" t="e">
        <f>+'Special Pricing'!$G$458</f>
        <v>#DIV/0!</v>
      </c>
      <c r="K300" s="325">
        <v>0.25</v>
      </c>
      <c r="L300" s="19" t="e">
        <f t="shared" si="61"/>
        <v>#DIV/0!</v>
      </c>
      <c r="M300" s="325">
        <f t="shared" si="64"/>
        <v>0</v>
      </c>
      <c r="N300" s="112" t="e">
        <f t="shared" si="62"/>
        <v>#DIV/0!</v>
      </c>
      <c r="O300" s="112" t="e">
        <f t="shared" si="63"/>
        <v>#DIV/0!</v>
      </c>
      <c r="S300" s="367">
        <v>722646</v>
      </c>
      <c r="T300" s="477" t="s">
        <v>1426</v>
      </c>
    </row>
    <row r="301" spans="1:20" ht="15" customHeight="1" x14ac:dyDescent="0.2">
      <c r="A301" s="223" t="s">
        <v>1444</v>
      </c>
      <c r="B301" s="17">
        <v>113927</v>
      </c>
      <c r="C301" s="367">
        <v>721057</v>
      </c>
      <c r="D301" s="477" t="s">
        <v>1517</v>
      </c>
      <c r="E301" s="17"/>
      <c r="F301" s="16"/>
      <c r="G301" s="159" t="s">
        <v>1712</v>
      </c>
      <c r="H301" s="183" t="str">
        <f t="shared" si="65"/>
        <v>na</v>
      </c>
      <c r="I301" s="17">
        <f t="shared" si="66"/>
        <v>0</v>
      </c>
      <c r="J301" s="418" t="e">
        <f>+'Special Pricing'!$G$458</f>
        <v>#DIV/0!</v>
      </c>
      <c r="K301" s="325">
        <v>0.25</v>
      </c>
      <c r="L301" s="19" t="e">
        <f t="shared" si="61"/>
        <v>#DIV/0!</v>
      </c>
      <c r="M301" s="325">
        <f t="shared" si="64"/>
        <v>0</v>
      </c>
      <c r="N301" s="112" t="e">
        <f t="shared" si="62"/>
        <v>#DIV/0!</v>
      </c>
      <c r="O301" s="112" t="e">
        <f t="shared" si="63"/>
        <v>#DIV/0!</v>
      </c>
      <c r="S301" s="312">
        <v>722696</v>
      </c>
      <c r="T301" s="478" t="s">
        <v>355</v>
      </c>
    </row>
    <row r="302" spans="1:20" ht="15" customHeight="1" x14ac:dyDescent="0.2">
      <c r="A302" s="223" t="s">
        <v>1444</v>
      </c>
      <c r="B302" s="134"/>
      <c r="C302" s="367">
        <v>732986</v>
      </c>
      <c r="D302" s="477" t="s">
        <v>1517</v>
      </c>
      <c r="E302" s="17"/>
      <c r="F302" s="16"/>
      <c r="G302" s="159" t="s">
        <v>1712</v>
      </c>
      <c r="H302" s="183" t="str">
        <f t="shared" si="65"/>
        <v>na</v>
      </c>
      <c r="I302" s="17">
        <f t="shared" si="66"/>
        <v>0</v>
      </c>
      <c r="J302" s="418" t="e">
        <f>+'Special Pricing'!$G$458</f>
        <v>#DIV/0!</v>
      </c>
      <c r="K302" s="325">
        <v>0.25</v>
      </c>
      <c r="L302" s="19" t="e">
        <f t="shared" si="61"/>
        <v>#DIV/0!</v>
      </c>
      <c r="M302" s="325">
        <f t="shared" si="64"/>
        <v>0</v>
      </c>
      <c r="N302" s="112" t="e">
        <f t="shared" si="62"/>
        <v>#DIV/0!</v>
      </c>
      <c r="O302" s="112" t="e">
        <f t="shared" si="63"/>
        <v>#DIV/0!</v>
      </c>
      <c r="S302" s="367">
        <v>722735</v>
      </c>
      <c r="T302" s="477" t="s">
        <v>1499</v>
      </c>
    </row>
    <row r="303" spans="1:20" ht="15" customHeight="1" x14ac:dyDescent="0.2">
      <c r="A303" s="223" t="s">
        <v>1444</v>
      </c>
      <c r="B303" s="134"/>
      <c r="C303" s="367">
        <v>733013</v>
      </c>
      <c r="D303" s="477" t="s">
        <v>1517</v>
      </c>
      <c r="E303" s="17"/>
      <c r="F303" s="16"/>
      <c r="G303" s="159" t="s">
        <v>1712</v>
      </c>
      <c r="H303" s="183" t="str">
        <f t="shared" si="65"/>
        <v>na</v>
      </c>
      <c r="I303" s="17">
        <f t="shared" si="66"/>
        <v>0</v>
      </c>
      <c r="J303" s="418" t="e">
        <f>+'Special Pricing'!$G$458</f>
        <v>#DIV/0!</v>
      </c>
      <c r="K303" s="325">
        <v>0.25</v>
      </c>
      <c r="L303" s="19" t="e">
        <f t="shared" si="61"/>
        <v>#DIV/0!</v>
      </c>
      <c r="M303" s="325">
        <f t="shared" si="64"/>
        <v>0</v>
      </c>
      <c r="N303" s="112" t="e">
        <f t="shared" si="62"/>
        <v>#DIV/0!</v>
      </c>
      <c r="O303" s="112" t="e">
        <f t="shared" si="63"/>
        <v>#DIV/0!</v>
      </c>
      <c r="S303" s="360">
        <v>722752</v>
      </c>
      <c r="T303" s="370" t="s">
        <v>811</v>
      </c>
    </row>
    <row r="304" spans="1:20" ht="15" customHeight="1" x14ac:dyDescent="0.2">
      <c r="A304" s="223" t="s">
        <v>1444</v>
      </c>
      <c r="B304" s="134"/>
      <c r="C304" s="367">
        <v>733577</v>
      </c>
      <c r="D304" s="477" t="s">
        <v>1517</v>
      </c>
      <c r="E304" s="17"/>
      <c r="F304" s="16"/>
      <c r="G304" s="159" t="s">
        <v>1712</v>
      </c>
      <c r="H304" s="183" t="str">
        <f t="shared" si="65"/>
        <v>na</v>
      </c>
      <c r="I304" s="17">
        <f t="shared" si="66"/>
        <v>0</v>
      </c>
      <c r="J304" s="418" t="e">
        <f>+'Special Pricing'!$G$458</f>
        <v>#DIV/0!</v>
      </c>
      <c r="K304" s="325">
        <v>0.25</v>
      </c>
      <c r="L304" s="19" t="e">
        <f t="shared" si="61"/>
        <v>#DIV/0!</v>
      </c>
      <c r="M304" s="325">
        <f t="shared" si="64"/>
        <v>0</v>
      </c>
      <c r="N304" s="112" t="e">
        <f t="shared" si="62"/>
        <v>#DIV/0!</v>
      </c>
      <c r="O304" s="112" t="e">
        <f t="shared" si="63"/>
        <v>#DIV/0!</v>
      </c>
      <c r="S304" s="312">
        <v>722754</v>
      </c>
      <c r="T304" s="478" t="s">
        <v>536</v>
      </c>
    </row>
    <row r="305" spans="1:20" ht="15" customHeight="1" x14ac:dyDescent="0.2">
      <c r="A305" s="223" t="s">
        <v>1444</v>
      </c>
      <c r="B305" s="134"/>
      <c r="C305" s="367">
        <v>734457</v>
      </c>
      <c r="D305" s="477" t="s">
        <v>1517</v>
      </c>
      <c r="E305" s="17"/>
      <c r="F305" s="16"/>
      <c r="G305" s="159" t="s">
        <v>1712</v>
      </c>
      <c r="H305" s="183" t="str">
        <f t="shared" si="65"/>
        <v>na</v>
      </c>
      <c r="I305" s="17">
        <f t="shared" si="66"/>
        <v>0</v>
      </c>
      <c r="J305" s="418" t="e">
        <f>+'Special Pricing'!$G$458</f>
        <v>#DIV/0!</v>
      </c>
      <c r="K305" s="325">
        <v>0.25</v>
      </c>
      <c r="L305" s="19" t="e">
        <f t="shared" si="61"/>
        <v>#DIV/0!</v>
      </c>
      <c r="M305" s="325">
        <f t="shared" si="64"/>
        <v>0</v>
      </c>
      <c r="N305" s="112" t="e">
        <f t="shared" si="62"/>
        <v>#DIV/0!</v>
      </c>
      <c r="O305" s="112" t="e">
        <f t="shared" si="63"/>
        <v>#DIV/0!</v>
      </c>
      <c r="S305" s="367">
        <v>722792</v>
      </c>
      <c r="T305" s="477" t="s">
        <v>1676</v>
      </c>
    </row>
    <row r="306" spans="1:20" ht="15" customHeight="1" x14ac:dyDescent="0.2">
      <c r="A306" s="223" t="s">
        <v>1443</v>
      </c>
      <c r="B306" s="17">
        <v>109829</v>
      </c>
      <c r="C306" s="367">
        <v>722345</v>
      </c>
      <c r="D306" s="700" t="s">
        <v>1355</v>
      </c>
      <c r="E306" s="320" t="s">
        <v>1356</v>
      </c>
      <c r="F306" s="16"/>
      <c r="G306" s="17" t="s">
        <v>467</v>
      </c>
      <c r="H306" s="183" t="str">
        <f t="shared" si="65"/>
        <v>na</v>
      </c>
      <c r="I306" s="17">
        <f t="shared" si="66"/>
        <v>0</v>
      </c>
      <c r="J306" s="113">
        <f>+$J$3*0.99</f>
        <v>2.1186000000000003</v>
      </c>
      <c r="K306" s="325">
        <v>0.25</v>
      </c>
      <c r="L306" s="19">
        <f t="shared" si="61"/>
        <v>1.8686000000000003</v>
      </c>
      <c r="M306" s="325">
        <f t="shared" si="64"/>
        <v>0</v>
      </c>
      <c r="N306" s="112">
        <f t="shared" si="62"/>
        <v>0</v>
      </c>
      <c r="O306" s="112">
        <f t="shared" si="63"/>
        <v>0</v>
      </c>
      <c r="S306" s="360">
        <v>731780</v>
      </c>
      <c r="T306" s="370" t="s">
        <v>811</v>
      </c>
    </row>
    <row r="307" spans="1:20" ht="15" customHeight="1" x14ac:dyDescent="0.2">
      <c r="A307" s="223" t="s">
        <v>1443</v>
      </c>
      <c r="B307" s="17">
        <v>133423</v>
      </c>
      <c r="C307" s="367">
        <v>719842</v>
      </c>
      <c r="D307" s="477" t="s">
        <v>1622</v>
      </c>
      <c r="E307" s="17"/>
      <c r="F307" s="16"/>
      <c r="G307" s="159" t="s">
        <v>2304</v>
      </c>
      <c r="H307" s="183" t="str">
        <f t="shared" si="65"/>
        <v>na</v>
      </c>
      <c r="I307" s="17">
        <f t="shared" si="66"/>
        <v>0</v>
      </c>
      <c r="J307" s="418">
        <f>+'Special Pricing'!$G$471</f>
        <v>3.47</v>
      </c>
      <c r="K307" s="325">
        <v>0.25</v>
      </c>
      <c r="L307" s="19">
        <f t="shared" si="61"/>
        <v>3.22</v>
      </c>
      <c r="M307" s="325">
        <f t="shared" si="64"/>
        <v>0</v>
      </c>
      <c r="N307" s="112">
        <f t="shared" si="62"/>
        <v>0</v>
      </c>
      <c r="O307" s="112">
        <f>(+L307*I307)-M307</f>
        <v>0</v>
      </c>
      <c r="S307" s="367">
        <v>722796</v>
      </c>
      <c r="T307" s="477" t="s">
        <v>1513</v>
      </c>
    </row>
    <row r="308" spans="1:20" ht="15" customHeight="1" x14ac:dyDescent="0.2">
      <c r="A308" s="223" t="s">
        <v>1443</v>
      </c>
      <c r="B308" s="17">
        <v>113925</v>
      </c>
      <c r="C308" s="367">
        <v>720867</v>
      </c>
      <c r="D308" s="477" t="s">
        <v>1622</v>
      </c>
      <c r="E308" s="17"/>
      <c r="F308" s="16"/>
      <c r="G308" s="159" t="s">
        <v>2304</v>
      </c>
      <c r="H308" s="183" t="str">
        <f t="shared" si="65"/>
        <v>na</v>
      </c>
      <c r="I308" s="17">
        <f t="shared" si="66"/>
        <v>0</v>
      </c>
      <c r="J308" s="418">
        <f>+'Special Pricing'!$G$471</f>
        <v>3.47</v>
      </c>
      <c r="K308" s="325">
        <v>0.25</v>
      </c>
      <c r="L308" s="19">
        <f t="shared" si="61"/>
        <v>3.22</v>
      </c>
      <c r="M308" s="325">
        <f t="shared" si="64"/>
        <v>0</v>
      </c>
      <c r="N308" s="112">
        <f t="shared" si="62"/>
        <v>0</v>
      </c>
      <c r="O308" s="112">
        <f t="shared" si="63"/>
        <v>0</v>
      </c>
      <c r="S308" s="368">
        <v>722835</v>
      </c>
      <c r="T308" s="477" t="s">
        <v>1630</v>
      </c>
    </row>
    <row r="309" spans="1:20" ht="15" customHeight="1" x14ac:dyDescent="0.2">
      <c r="A309" s="223" t="s">
        <v>1443</v>
      </c>
      <c r="B309" s="134"/>
      <c r="C309" s="367">
        <v>728226</v>
      </c>
      <c r="D309" s="477" t="s">
        <v>1622</v>
      </c>
      <c r="E309" s="17"/>
      <c r="F309" s="16"/>
      <c r="G309" s="159" t="s">
        <v>2304</v>
      </c>
      <c r="H309" s="183" t="str">
        <f t="shared" si="65"/>
        <v>na</v>
      </c>
      <c r="I309" s="17">
        <f t="shared" si="66"/>
        <v>0</v>
      </c>
      <c r="J309" s="418">
        <f>+'Special Pricing'!$G$471</f>
        <v>3.47</v>
      </c>
      <c r="K309" s="325">
        <v>0.25</v>
      </c>
      <c r="L309" s="19">
        <f t="shared" si="61"/>
        <v>3.22</v>
      </c>
      <c r="M309" s="325">
        <f t="shared" si="64"/>
        <v>0</v>
      </c>
      <c r="N309" s="112">
        <f t="shared" si="62"/>
        <v>0</v>
      </c>
      <c r="O309" s="112">
        <f t="shared" si="63"/>
        <v>0</v>
      </c>
      <c r="S309" s="312">
        <v>722896</v>
      </c>
      <c r="T309" s="478" t="s">
        <v>529</v>
      </c>
    </row>
    <row r="310" spans="1:20" ht="15" customHeight="1" x14ac:dyDescent="0.2">
      <c r="A310" s="223" t="s">
        <v>1443</v>
      </c>
      <c r="B310" s="134"/>
      <c r="C310" s="367">
        <v>732289</v>
      </c>
      <c r="D310" s="477" t="s">
        <v>1622</v>
      </c>
      <c r="E310" s="17"/>
      <c r="F310" s="16"/>
      <c r="G310" s="159" t="s">
        <v>2304</v>
      </c>
      <c r="H310" s="183" t="str">
        <f t="shared" si="65"/>
        <v>na</v>
      </c>
      <c r="I310" s="17">
        <f t="shared" si="66"/>
        <v>0</v>
      </c>
      <c r="J310" s="418">
        <f>+'Special Pricing'!$G$471</f>
        <v>3.47</v>
      </c>
      <c r="K310" s="325">
        <v>0.25</v>
      </c>
      <c r="L310" s="19">
        <f t="shared" si="61"/>
        <v>3.22</v>
      </c>
      <c r="M310" s="325">
        <f t="shared" si="64"/>
        <v>0</v>
      </c>
      <c r="N310" s="112">
        <f t="shared" si="62"/>
        <v>0</v>
      </c>
      <c r="O310" s="112">
        <f t="shared" si="63"/>
        <v>0</v>
      </c>
      <c r="S310" s="367">
        <v>722897</v>
      </c>
      <c r="T310" s="477" t="s">
        <v>1502</v>
      </c>
    </row>
    <row r="311" spans="1:20" ht="15" customHeight="1" x14ac:dyDescent="0.2">
      <c r="A311" s="223" t="s">
        <v>1443</v>
      </c>
      <c r="B311" s="134"/>
      <c r="C311" s="367">
        <v>733255</v>
      </c>
      <c r="D311" s="477" t="s">
        <v>1622</v>
      </c>
      <c r="E311" s="17"/>
      <c r="F311" s="16"/>
      <c r="G311" s="159" t="s">
        <v>2304</v>
      </c>
      <c r="H311" s="183" t="str">
        <f t="shared" si="65"/>
        <v>na</v>
      </c>
      <c r="I311" s="17">
        <f t="shared" si="66"/>
        <v>0</v>
      </c>
      <c r="J311" s="418">
        <f>+'Special Pricing'!$G$471</f>
        <v>3.47</v>
      </c>
      <c r="K311" s="325">
        <v>0.25</v>
      </c>
      <c r="L311" s="19">
        <f t="shared" si="61"/>
        <v>3.22</v>
      </c>
      <c r="M311" s="325">
        <f t="shared" si="64"/>
        <v>0</v>
      </c>
      <c r="N311" s="112">
        <f t="shared" si="62"/>
        <v>0</v>
      </c>
      <c r="O311" s="112">
        <f t="shared" si="63"/>
        <v>0</v>
      </c>
      <c r="S311" s="368">
        <v>722909</v>
      </c>
      <c r="T311" s="477" t="s">
        <v>1896</v>
      </c>
    </row>
    <row r="312" spans="1:20" ht="15" customHeight="1" x14ac:dyDescent="0.2">
      <c r="A312" s="223" t="s">
        <v>1443</v>
      </c>
      <c r="B312" s="134"/>
      <c r="C312" s="367">
        <v>733615</v>
      </c>
      <c r="D312" s="477" t="s">
        <v>1622</v>
      </c>
      <c r="E312" s="17"/>
      <c r="F312" s="16"/>
      <c r="G312" s="159" t="s">
        <v>2304</v>
      </c>
      <c r="H312" s="183" t="str">
        <f t="shared" si="65"/>
        <v>na</v>
      </c>
      <c r="I312" s="17">
        <f t="shared" si="66"/>
        <v>0</v>
      </c>
      <c r="J312" s="418">
        <f>+'Special Pricing'!$G$471</f>
        <v>3.47</v>
      </c>
      <c r="K312" s="325">
        <v>0.25</v>
      </c>
      <c r="L312" s="19">
        <f t="shared" si="61"/>
        <v>3.22</v>
      </c>
      <c r="M312" s="325">
        <f t="shared" si="64"/>
        <v>0</v>
      </c>
      <c r="N312" s="112">
        <f t="shared" si="62"/>
        <v>0</v>
      </c>
      <c r="O312" s="112">
        <f t="shared" si="63"/>
        <v>0</v>
      </c>
      <c r="S312" s="312">
        <v>722914</v>
      </c>
      <c r="T312" s="478" t="s">
        <v>504</v>
      </c>
    </row>
    <row r="313" spans="1:20" s="84" customFormat="1" ht="15" customHeight="1" x14ac:dyDescent="0.2">
      <c r="A313" s="315" t="s">
        <v>1443</v>
      </c>
      <c r="B313" s="17">
        <v>109746</v>
      </c>
      <c r="C313" s="318">
        <v>731724</v>
      </c>
      <c r="D313" s="753" t="s">
        <v>596</v>
      </c>
      <c r="E313" s="17" t="s">
        <v>597</v>
      </c>
      <c r="F313" s="17">
        <v>1882</v>
      </c>
      <c r="G313" s="267" t="s">
        <v>464</v>
      </c>
      <c r="H313" s="183" t="str">
        <f t="shared" si="65"/>
        <v>na</v>
      </c>
      <c r="I313" s="17">
        <f t="shared" si="66"/>
        <v>0</v>
      </c>
      <c r="J313" s="113">
        <f>+$J$3*0.985</f>
        <v>2.1078999999999999</v>
      </c>
      <c r="K313" s="325">
        <v>0.25</v>
      </c>
      <c r="L313" s="19">
        <f t="shared" si="61"/>
        <v>1.8578999999999999</v>
      </c>
      <c r="M313" s="325">
        <f>IF(H313&gt;=0,I313*0.001,0)</f>
        <v>0</v>
      </c>
      <c r="N313" s="112">
        <f t="shared" si="62"/>
        <v>0</v>
      </c>
      <c r="O313" s="112">
        <f>(+L313*I313)-M313</f>
        <v>0</v>
      </c>
      <c r="P313" s="90"/>
      <c r="Q313" s="90"/>
      <c r="S313" s="318">
        <v>700769</v>
      </c>
      <c r="T313" s="470" t="s">
        <v>522</v>
      </c>
    </row>
    <row r="314" spans="1:20" ht="15" customHeight="1" x14ac:dyDescent="0.2">
      <c r="A314" s="223" t="s">
        <v>1443</v>
      </c>
      <c r="B314" s="17">
        <v>109749</v>
      </c>
      <c r="C314" s="367">
        <v>720049</v>
      </c>
      <c r="D314" s="477" t="s">
        <v>1500</v>
      </c>
      <c r="E314" s="17"/>
      <c r="F314" s="16"/>
      <c r="G314" s="17"/>
      <c r="H314" s="183" t="str">
        <f t="shared" si="65"/>
        <v>na</v>
      </c>
      <c r="I314" s="17">
        <f t="shared" si="66"/>
        <v>0</v>
      </c>
      <c r="J314" s="113">
        <f>+$J$3</f>
        <v>2.14</v>
      </c>
      <c r="K314" s="325">
        <v>0.25</v>
      </c>
      <c r="L314" s="19">
        <f t="shared" si="61"/>
        <v>1.8900000000000001</v>
      </c>
      <c r="M314" s="325">
        <f t="shared" si="64"/>
        <v>0</v>
      </c>
      <c r="N314" s="112">
        <f t="shared" si="62"/>
        <v>0</v>
      </c>
      <c r="O314" s="112">
        <f t="shared" si="63"/>
        <v>0</v>
      </c>
      <c r="S314" s="367">
        <v>722988</v>
      </c>
      <c r="T314" s="477" t="s">
        <v>1502</v>
      </c>
    </row>
    <row r="315" spans="1:20" ht="15" customHeight="1" x14ac:dyDescent="0.2">
      <c r="A315" s="223" t="s">
        <v>1497</v>
      </c>
      <c r="B315" s="17">
        <v>113795</v>
      </c>
      <c r="C315" s="367">
        <v>719237</v>
      </c>
      <c r="D315" s="551" t="s">
        <v>1618</v>
      </c>
      <c r="E315" s="159"/>
      <c r="F315" s="359"/>
      <c r="G315" s="159" t="s">
        <v>1424</v>
      </c>
      <c r="H315" s="488" t="str">
        <f t="shared" si="65"/>
        <v>na</v>
      </c>
      <c r="I315" s="159">
        <f t="shared" si="66"/>
        <v>0</v>
      </c>
      <c r="J315" s="486" t="e">
        <f>+'Special Pricing'!$G$484</f>
        <v>#DIV/0!</v>
      </c>
      <c r="K315" s="325">
        <v>0.25</v>
      </c>
      <c r="L315" s="19" t="e">
        <f t="shared" si="61"/>
        <v>#DIV/0!</v>
      </c>
      <c r="M315" s="325">
        <f t="shared" si="64"/>
        <v>0</v>
      </c>
      <c r="N315" s="112" t="e">
        <f t="shared" si="62"/>
        <v>#DIV/0!</v>
      </c>
      <c r="O315" s="112" t="e">
        <f t="shared" si="63"/>
        <v>#DIV/0!</v>
      </c>
      <c r="S315" s="314">
        <v>722989</v>
      </c>
      <c r="T315" s="507" t="s">
        <v>482</v>
      </c>
    </row>
    <row r="316" spans="1:20" ht="15" customHeight="1" x14ac:dyDescent="0.2">
      <c r="A316" s="223" t="s">
        <v>1444</v>
      </c>
      <c r="B316" s="17">
        <v>113906</v>
      </c>
      <c r="C316" s="368">
        <v>720118</v>
      </c>
      <c r="D316" s="551" t="s">
        <v>1618</v>
      </c>
      <c r="E316" s="159"/>
      <c r="F316" s="359"/>
      <c r="G316" s="159" t="s">
        <v>1424</v>
      </c>
      <c r="H316" s="488" t="str">
        <f t="shared" si="65"/>
        <v>na</v>
      </c>
      <c r="I316" s="159">
        <f t="shared" si="66"/>
        <v>0</v>
      </c>
      <c r="J316" s="486" t="e">
        <f>+'Special Pricing'!$G$484</f>
        <v>#DIV/0!</v>
      </c>
      <c r="K316" s="325">
        <v>0.25</v>
      </c>
      <c r="L316" s="19" t="e">
        <f t="shared" si="61"/>
        <v>#DIV/0!</v>
      </c>
      <c r="M316" s="325">
        <f t="shared" si="64"/>
        <v>0</v>
      </c>
      <c r="N316" s="112" t="e">
        <f t="shared" si="62"/>
        <v>#DIV/0!</v>
      </c>
      <c r="O316" s="112" t="e">
        <f t="shared" si="63"/>
        <v>#DIV/0!</v>
      </c>
      <c r="S316" s="367">
        <v>722990</v>
      </c>
      <c r="T316" s="477" t="s">
        <v>1499</v>
      </c>
    </row>
    <row r="317" spans="1:20" ht="15" customHeight="1" x14ac:dyDescent="0.2">
      <c r="A317" s="223" t="s">
        <v>1444</v>
      </c>
      <c r="B317" s="17">
        <v>113906</v>
      </c>
      <c r="C317" s="367">
        <v>721265</v>
      </c>
      <c r="D317" s="551" t="s">
        <v>1618</v>
      </c>
      <c r="E317" s="159"/>
      <c r="F317" s="359"/>
      <c r="G317" s="159" t="s">
        <v>1424</v>
      </c>
      <c r="H317" s="488" t="str">
        <f t="shared" si="65"/>
        <v>na</v>
      </c>
      <c r="I317" s="159">
        <f t="shared" si="66"/>
        <v>0</v>
      </c>
      <c r="J317" s="486" t="e">
        <f>+'Special Pricing'!$G$484</f>
        <v>#DIV/0!</v>
      </c>
      <c r="K317" s="325">
        <v>0.25</v>
      </c>
      <c r="L317" s="19" t="e">
        <f t="shared" si="61"/>
        <v>#DIV/0!</v>
      </c>
      <c r="M317" s="325">
        <f t="shared" si="64"/>
        <v>0</v>
      </c>
      <c r="N317" s="112" t="e">
        <f t="shared" si="62"/>
        <v>#DIV/0!</v>
      </c>
      <c r="O317" s="112" t="e">
        <f t="shared" si="63"/>
        <v>#DIV/0!</v>
      </c>
      <c r="S317" s="367">
        <v>722991</v>
      </c>
      <c r="T317" s="477" t="s">
        <v>1499</v>
      </c>
    </row>
    <row r="318" spans="1:20" ht="15" customHeight="1" x14ac:dyDescent="0.2">
      <c r="A318" s="223" t="s">
        <v>1497</v>
      </c>
      <c r="B318" s="17">
        <v>113825</v>
      </c>
      <c r="C318" s="367">
        <v>721881</v>
      </c>
      <c r="D318" s="551" t="s">
        <v>1618</v>
      </c>
      <c r="E318" s="159"/>
      <c r="F318" s="359"/>
      <c r="G318" s="159" t="s">
        <v>1424</v>
      </c>
      <c r="H318" s="488" t="str">
        <f t="shared" si="65"/>
        <v>na</v>
      </c>
      <c r="I318" s="159">
        <f t="shared" si="66"/>
        <v>0</v>
      </c>
      <c r="J318" s="486" t="e">
        <f>+'Special Pricing'!$G$484</f>
        <v>#DIV/0!</v>
      </c>
      <c r="K318" s="325">
        <v>0.25</v>
      </c>
      <c r="L318" s="19" t="e">
        <f t="shared" si="61"/>
        <v>#DIV/0!</v>
      </c>
      <c r="M318" s="325">
        <f t="shared" si="64"/>
        <v>0</v>
      </c>
      <c r="N318" s="112" t="e">
        <f t="shared" si="62"/>
        <v>#DIV/0!</v>
      </c>
      <c r="O318" s="112" t="e">
        <f t="shared" si="63"/>
        <v>#DIV/0!</v>
      </c>
      <c r="S318" s="499">
        <v>723012</v>
      </c>
      <c r="T318" s="506" t="s">
        <v>509</v>
      </c>
    </row>
    <row r="319" spans="1:20" ht="15" customHeight="1" x14ac:dyDescent="0.2">
      <c r="A319" s="223" t="s">
        <v>1446</v>
      </c>
      <c r="B319" s="17">
        <v>124006</v>
      </c>
      <c r="C319" s="368">
        <v>722522</v>
      </c>
      <c r="D319" s="551" t="s">
        <v>1618</v>
      </c>
      <c r="E319" s="159"/>
      <c r="F319" s="359"/>
      <c r="G319" s="159" t="s">
        <v>1424</v>
      </c>
      <c r="H319" s="488" t="str">
        <f t="shared" si="65"/>
        <v>na</v>
      </c>
      <c r="I319" s="159">
        <f t="shared" si="66"/>
        <v>0</v>
      </c>
      <c r="J319" s="486" t="e">
        <f>+'Special Pricing'!$G$484</f>
        <v>#DIV/0!</v>
      </c>
      <c r="K319" s="325">
        <v>0.25</v>
      </c>
      <c r="L319" s="19" t="e">
        <f t="shared" si="61"/>
        <v>#DIV/0!</v>
      </c>
      <c r="M319" s="325">
        <f t="shared" si="64"/>
        <v>0</v>
      </c>
      <c r="N319" s="112" t="e">
        <f t="shared" si="62"/>
        <v>#DIV/0!</v>
      </c>
      <c r="O319" s="112" t="e">
        <f t="shared" si="63"/>
        <v>#DIV/0!</v>
      </c>
      <c r="S319" s="499">
        <v>723019</v>
      </c>
      <c r="T319" s="506" t="s">
        <v>509</v>
      </c>
    </row>
    <row r="320" spans="1:20" ht="15" customHeight="1" x14ac:dyDescent="0.2">
      <c r="A320" s="223" t="s">
        <v>1446</v>
      </c>
      <c r="B320" s="17">
        <v>124006</v>
      </c>
      <c r="C320" s="367">
        <v>723659</v>
      </c>
      <c r="D320" s="551" t="s">
        <v>1618</v>
      </c>
      <c r="E320" s="159"/>
      <c r="F320" s="359"/>
      <c r="G320" s="159" t="s">
        <v>1424</v>
      </c>
      <c r="H320" s="488" t="str">
        <f t="shared" si="65"/>
        <v>na</v>
      </c>
      <c r="I320" s="159">
        <f t="shared" si="66"/>
        <v>0</v>
      </c>
      <c r="J320" s="486" t="e">
        <f>+'Special Pricing'!$G$484</f>
        <v>#DIV/0!</v>
      </c>
      <c r="K320" s="325">
        <v>0.25</v>
      </c>
      <c r="L320" s="19" t="e">
        <f t="shared" si="61"/>
        <v>#DIV/0!</v>
      </c>
      <c r="M320" s="325">
        <f t="shared" si="64"/>
        <v>0</v>
      </c>
      <c r="N320" s="112" t="e">
        <f t="shared" si="62"/>
        <v>#DIV/0!</v>
      </c>
      <c r="O320" s="112" t="e">
        <f t="shared" si="63"/>
        <v>#DIV/0!</v>
      </c>
      <c r="S320" s="367">
        <v>723090</v>
      </c>
      <c r="T320" s="477" t="s">
        <v>1426</v>
      </c>
    </row>
    <row r="321" spans="1:20" ht="15" customHeight="1" x14ac:dyDescent="0.2">
      <c r="A321" s="223" t="s">
        <v>1497</v>
      </c>
      <c r="B321" s="17"/>
      <c r="C321" s="367">
        <v>723942</v>
      </c>
      <c r="D321" s="551" t="s">
        <v>1618</v>
      </c>
      <c r="E321" s="159"/>
      <c r="F321" s="359"/>
      <c r="G321" s="159" t="s">
        <v>1424</v>
      </c>
      <c r="H321" s="488" t="str">
        <f t="shared" si="65"/>
        <v>na</v>
      </c>
      <c r="I321" s="159">
        <f t="shared" si="66"/>
        <v>0</v>
      </c>
      <c r="J321" s="486" t="e">
        <f>+'Special Pricing'!$G$484</f>
        <v>#DIV/0!</v>
      </c>
      <c r="K321" s="325">
        <v>0.25</v>
      </c>
      <c r="L321" s="19" t="e">
        <f t="shared" si="61"/>
        <v>#DIV/0!</v>
      </c>
      <c r="M321" s="325">
        <f t="shared" si="64"/>
        <v>0</v>
      </c>
      <c r="N321" s="112" t="e">
        <f t="shared" si="62"/>
        <v>#DIV/0!</v>
      </c>
      <c r="O321" s="112" t="e">
        <f t="shared" si="63"/>
        <v>#DIV/0!</v>
      </c>
      <c r="S321" s="312">
        <v>723107</v>
      </c>
      <c r="T321" s="478" t="s">
        <v>543</v>
      </c>
    </row>
    <row r="322" spans="1:20" ht="15" customHeight="1" x14ac:dyDescent="0.2">
      <c r="A322" s="223" t="s">
        <v>1446</v>
      </c>
      <c r="B322" s="17">
        <v>109755</v>
      </c>
      <c r="C322" s="367">
        <v>724240</v>
      </c>
      <c r="D322" s="551" t="s">
        <v>1618</v>
      </c>
      <c r="E322" s="159"/>
      <c r="F322" s="359"/>
      <c r="G322" s="159" t="s">
        <v>1424</v>
      </c>
      <c r="H322" s="488" t="str">
        <f t="shared" si="65"/>
        <v>na</v>
      </c>
      <c r="I322" s="159">
        <f t="shared" si="66"/>
        <v>0</v>
      </c>
      <c r="J322" s="486" t="e">
        <f>+'Special Pricing'!$G$484</f>
        <v>#DIV/0!</v>
      </c>
      <c r="K322" s="325">
        <v>0.25</v>
      </c>
      <c r="L322" s="19" t="e">
        <f t="shared" si="61"/>
        <v>#DIV/0!</v>
      </c>
      <c r="M322" s="325">
        <f t="shared" si="64"/>
        <v>0</v>
      </c>
      <c r="N322" s="112" t="e">
        <f t="shared" si="62"/>
        <v>#DIV/0!</v>
      </c>
      <c r="O322" s="112" t="e">
        <f t="shared" si="63"/>
        <v>#DIV/0!</v>
      </c>
      <c r="S322" s="367">
        <v>723123</v>
      </c>
      <c r="T322" s="477" t="s">
        <v>1677</v>
      </c>
    </row>
    <row r="323" spans="1:20" ht="15" customHeight="1" x14ac:dyDescent="0.2">
      <c r="A323" s="223" t="s">
        <v>1446</v>
      </c>
      <c r="B323" s="17"/>
      <c r="C323" s="367">
        <v>726068</v>
      </c>
      <c r="D323" s="551" t="s">
        <v>1618</v>
      </c>
      <c r="E323" s="159"/>
      <c r="F323" s="359"/>
      <c r="G323" s="159" t="s">
        <v>1424</v>
      </c>
      <c r="H323" s="488" t="str">
        <f t="shared" ref="H323:H360" si="67">IF(ISNA(VLOOKUP(C323,gath9909,10,FALSE)),"na",VLOOKUP(C323,gath9909,10,FALSE))</f>
        <v>na</v>
      </c>
      <c r="I323" s="159">
        <f t="shared" ref="I323:I360" si="68">IF(ISNA(VLOOKUP(C323,gath9909,12,FALSE)),0,(VLOOKUP(C323,gath9909,12,FALSE)))</f>
        <v>0</v>
      </c>
      <c r="J323" s="486" t="e">
        <f>+'Special Pricing'!$G$484</f>
        <v>#DIV/0!</v>
      </c>
      <c r="K323" s="325">
        <v>0.25</v>
      </c>
      <c r="L323" s="19" t="e">
        <f t="shared" si="61"/>
        <v>#DIV/0!</v>
      </c>
      <c r="M323" s="325">
        <f t="shared" si="64"/>
        <v>0</v>
      </c>
      <c r="N323" s="112" t="e">
        <f t="shared" si="62"/>
        <v>#DIV/0!</v>
      </c>
      <c r="O323" s="112" t="e">
        <f t="shared" si="63"/>
        <v>#DIV/0!</v>
      </c>
      <c r="S323" s="312">
        <v>723133</v>
      </c>
      <c r="T323" s="478" t="s">
        <v>521</v>
      </c>
    </row>
    <row r="324" spans="1:20" ht="15" customHeight="1" x14ac:dyDescent="0.2">
      <c r="A324" s="16" t="s">
        <v>1443</v>
      </c>
      <c r="B324" s="17">
        <v>109810</v>
      </c>
      <c r="C324" s="312">
        <v>719287</v>
      </c>
      <c r="D324" s="478" t="s">
        <v>514</v>
      </c>
      <c r="E324" s="17"/>
      <c r="F324" s="17">
        <v>51419</v>
      </c>
      <c r="G324" s="17" t="s">
        <v>515</v>
      </c>
      <c r="H324" s="183" t="str">
        <f t="shared" si="67"/>
        <v>na</v>
      </c>
      <c r="I324" s="17">
        <f t="shared" si="68"/>
        <v>0</v>
      </c>
      <c r="J324" s="113">
        <f>+$J$3-0.03</f>
        <v>2.1100000000000003</v>
      </c>
      <c r="K324" s="325">
        <v>0.25</v>
      </c>
      <c r="L324" s="19">
        <f t="shared" si="61"/>
        <v>1.8600000000000003</v>
      </c>
      <c r="M324" s="325">
        <f t="shared" si="64"/>
        <v>0</v>
      </c>
      <c r="N324" s="112">
        <f t="shared" si="62"/>
        <v>0</v>
      </c>
      <c r="O324" s="112">
        <f t="shared" si="63"/>
        <v>0</v>
      </c>
      <c r="S324" s="312">
        <v>723160</v>
      </c>
      <c r="T324" s="478" t="s">
        <v>351</v>
      </c>
    </row>
    <row r="325" spans="1:20" ht="15" customHeight="1" x14ac:dyDescent="0.2">
      <c r="A325" s="16" t="s">
        <v>1443</v>
      </c>
      <c r="B325" s="17">
        <v>108313</v>
      </c>
      <c r="C325" s="312">
        <v>720855</v>
      </c>
      <c r="D325" s="478" t="s">
        <v>516</v>
      </c>
      <c r="E325" s="17"/>
      <c r="F325" s="17">
        <v>37606</v>
      </c>
      <c r="G325" s="17" t="s">
        <v>473</v>
      </c>
      <c r="H325" s="183" t="str">
        <f t="shared" si="67"/>
        <v>na</v>
      </c>
      <c r="I325" s="17">
        <f t="shared" si="68"/>
        <v>0</v>
      </c>
      <c r="J325" s="113">
        <f>+$J$3-0.08</f>
        <v>2.06</v>
      </c>
      <c r="K325" s="325">
        <v>0.25</v>
      </c>
      <c r="L325" s="19">
        <f t="shared" si="61"/>
        <v>1.81</v>
      </c>
      <c r="M325" s="325">
        <f t="shared" si="64"/>
        <v>0</v>
      </c>
      <c r="N325" s="112">
        <f t="shared" si="62"/>
        <v>0</v>
      </c>
      <c r="O325" s="112">
        <f t="shared" si="63"/>
        <v>0</v>
      </c>
      <c r="S325" s="367">
        <v>723165</v>
      </c>
      <c r="T325" s="477" t="s">
        <v>1426</v>
      </c>
    </row>
    <row r="326" spans="1:20" ht="15" customHeight="1" x14ac:dyDescent="0.2">
      <c r="A326" s="16" t="s">
        <v>1443</v>
      </c>
      <c r="B326" s="17">
        <v>109811</v>
      </c>
      <c r="C326" s="312">
        <v>728487</v>
      </c>
      <c r="D326" s="478" t="s">
        <v>366</v>
      </c>
      <c r="E326" s="17"/>
      <c r="F326" s="17">
        <v>53874</v>
      </c>
      <c r="G326" s="17" t="s">
        <v>467</v>
      </c>
      <c r="H326" s="183" t="str">
        <f t="shared" si="67"/>
        <v>na</v>
      </c>
      <c r="I326" s="17">
        <f t="shared" si="68"/>
        <v>0</v>
      </c>
      <c r="J326" s="113">
        <f>+$J$3*0.99</f>
        <v>2.1186000000000003</v>
      </c>
      <c r="K326" s="325">
        <v>0.25</v>
      </c>
      <c r="L326" s="19">
        <f t="shared" si="61"/>
        <v>1.8686000000000003</v>
      </c>
      <c r="M326" s="325">
        <f t="shared" si="64"/>
        <v>0</v>
      </c>
      <c r="N326" s="112">
        <f t="shared" si="62"/>
        <v>0</v>
      </c>
      <c r="O326" s="112">
        <f t="shared" si="63"/>
        <v>0</v>
      </c>
      <c r="S326" s="312">
        <v>723266</v>
      </c>
      <c r="T326" s="478" t="s">
        <v>489</v>
      </c>
    </row>
    <row r="327" spans="1:20" ht="15" customHeight="1" x14ac:dyDescent="0.2">
      <c r="A327" s="16" t="s">
        <v>1443</v>
      </c>
      <c r="B327" s="17">
        <v>109812</v>
      </c>
      <c r="C327" s="312">
        <v>726076</v>
      </c>
      <c r="D327" s="478" t="s">
        <v>1449</v>
      </c>
      <c r="E327" s="17"/>
      <c r="F327" s="17">
        <v>56779</v>
      </c>
      <c r="G327" s="17" t="s">
        <v>1427</v>
      </c>
      <c r="H327" s="183" t="str">
        <f t="shared" si="67"/>
        <v>na</v>
      </c>
      <c r="I327" s="17">
        <f t="shared" si="68"/>
        <v>0</v>
      </c>
      <c r="J327" s="113">
        <f t="shared" ref="J327:J332" si="69">+$J$3*0.98</f>
        <v>2.0972</v>
      </c>
      <c r="K327" s="325">
        <v>0.25</v>
      </c>
      <c r="L327" s="19">
        <f t="shared" si="61"/>
        <v>1.8472</v>
      </c>
      <c r="M327" s="325">
        <f t="shared" si="64"/>
        <v>0</v>
      </c>
      <c r="N327" s="112">
        <f t="shared" si="62"/>
        <v>0</v>
      </c>
      <c r="O327" s="112">
        <f t="shared" si="63"/>
        <v>0</v>
      </c>
      <c r="S327" s="368">
        <v>723269</v>
      </c>
      <c r="T327" s="477" t="s">
        <v>1426</v>
      </c>
    </row>
    <row r="328" spans="1:20" ht="15" customHeight="1" x14ac:dyDescent="0.2">
      <c r="A328" s="16"/>
      <c r="B328" s="17">
        <v>109804</v>
      </c>
      <c r="C328" s="365">
        <v>720220</v>
      </c>
      <c r="D328" s="466" t="s">
        <v>1626</v>
      </c>
      <c r="E328" s="17"/>
      <c r="F328" s="16"/>
      <c r="G328" s="267" t="s">
        <v>1427</v>
      </c>
      <c r="H328" s="183" t="str">
        <f>IF(ISNA(VLOOKUP(C328,gath9909,10,FALSE)),"na",VLOOKUP(C328,gath9909,10,FALSE))</f>
        <v>na</v>
      </c>
      <c r="I328" s="17">
        <f>IF(ISNA(VLOOKUP(C328,gath9909,12,FALSE)),0,(VLOOKUP(C328,gath9909,12,FALSE)))</f>
        <v>0</v>
      </c>
      <c r="J328" s="113">
        <f t="shared" si="69"/>
        <v>2.0972</v>
      </c>
      <c r="K328" s="325">
        <v>0.25</v>
      </c>
      <c r="L328" s="19">
        <f>+J328-K328</f>
        <v>1.8472</v>
      </c>
      <c r="M328" s="325">
        <f>IF(H328&gt;=0,I328*0.001,0)</f>
        <v>0</v>
      </c>
      <c r="N328" s="112">
        <f>+L328*I328</f>
        <v>0</v>
      </c>
      <c r="O328" s="112">
        <f>(+L328*I328)-M328</f>
        <v>0</v>
      </c>
      <c r="S328" s="368"/>
      <c r="T328" s="477"/>
    </row>
    <row r="329" spans="1:20" ht="15" customHeight="1" x14ac:dyDescent="0.2">
      <c r="A329" s="16"/>
      <c r="B329" s="17">
        <v>109742</v>
      </c>
      <c r="C329" s="327">
        <v>720887</v>
      </c>
      <c r="D329" s="475" t="s">
        <v>1161</v>
      </c>
      <c r="E329" s="328" t="s">
        <v>1162</v>
      </c>
      <c r="F329" s="17">
        <v>47902</v>
      </c>
      <c r="G329" s="267" t="s">
        <v>1427</v>
      </c>
      <c r="H329" s="183" t="str">
        <f>IF(ISNA(VLOOKUP(C329,gath9909,10,FALSE)),"na",VLOOKUP(C329,gath9909,10,FALSE))</f>
        <v>na</v>
      </c>
      <c r="I329" s="17">
        <f>IF(ISNA(VLOOKUP(C329,gath9909,12,FALSE)),0,(VLOOKUP(C329,gath9909,12,FALSE)))</f>
        <v>0</v>
      </c>
      <c r="J329" s="113">
        <f t="shared" si="69"/>
        <v>2.0972</v>
      </c>
      <c r="K329" s="325">
        <v>0.25</v>
      </c>
      <c r="L329" s="19">
        <f>+J329-K329</f>
        <v>1.8472</v>
      </c>
      <c r="M329" s="325">
        <f>IF(H329&gt;=0,I329*0.001,0)</f>
        <v>0</v>
      </c>
      <c r="N329" s="112">
        <f>+L329*I329</f>
        <v>0</v>
      </c>
      <c r="O329" s="112">
        <f>(+L329*I329)-M329</f>
        <v>0</v>
      </c>
      <c r="S329" s="368"/>
      <c r="T329" s="477"/>
    </row>
    <row r="330" spans="1:20" ht="15" customHeight="1" x14ac:dyDescent="0.2">
      <c r="A330" s="16"/>
      <c r="B330" s="17">
        <v>113782</v>
      </c>
      <c r="C330" s="327">
        <v>723012</v>
      </c>
      <c r="D330" s="475" t="s">
        <v>1161</v>
      </c>
      <c r="E330" s="328" t="s">
        <v>1162</v>
      </c>
      <c r="F330" s="17">
        <v>47902</v>
      </c>
      <c r="G330" s="267" t="s">
        <v>1427</v>
      </c>
      <c r="H330" s="183" t="str">
        <f>IF(ISNA(VLOOKUP(C330,gath9909,10,FALSE)),"na",VLOOKUP(C330,gath9909,10,FALSE))</f>
        <v>na</v>
      </c>
      <c r="I330" s="17">
        <f>IF(ISNA(VLOOKUP(C330,gath9909,12,FALSE)),0,(VLOOKUP(C330,gath9909,12,FALSE)))</f>
        <v>0</v>
      </c>
      <c r="J330" s="113">
        <f t="shared" si="69"/>
        <v>2.0972</v>
      </c>
      <c r="K330" s="325">
        <v>0.25</v>
      </c>
      <c r="L330" s="19">
        <f>+J330-K330</f>
        <v>1.8472</v>
      </c>
      <c r="M330" s="325">
        <f>IF(H330&gt;=0,I330*0.001,0)</f>
        <v>0</v>
      </c>
      <c r="N330" s="112">
        <f>+L330*I330</f>
        <v>0</v>
      </c>
      <c r="O330" s="112">
        <f>(+L330*I330)-M330</f>
        <v>0</v>
      </c>
      <c r="S330" s="368"/>
      <c r="T330" s="477"/>
    </row>
    <row r="331" spans="1:20" ht="15" customHeight="1" x14ac:dyDescent="0.2">
      <c r="A331" s="16"/>
      <c r="B331" s="17">
        <v>113783</v>
      </c>
      <c r="C331" s="327">
        <v>723019</v>
      </c>
      <c r="D331" s="475" t="s">
        <v>1161</v>
      </c>
      <c r="E331" s="328" t="s">
        <v>1162</v>
      </c>
      <c r="F331" s="17">
        <v>47902</v>
      </c>
      <c r="G331" s="267" t="s">
        <v>1427</v>
      </c>
      <c r="H331" s="183" t="str">
        <f>IF(ISNA(VLOOKUP(C331,gath9909,10,FALSE)),"na",VLOOKUP(C331,gath9909,10,FALSE))</f>
        <v>na</v>
      </c>
      <c r="I331" s="17">
        <f>IF(ISNA(VLOOKUP(C331,gath9909,12,FALSE)),0,(VLOOKUP(C331,gath9909,12,FALSE)))</f>
        <v>0</v>
      </c>
      <c r="J331" s="113">
        <f t="shared" si="69"/>
        <v>2.0972</v>
      </c>
      <c r="K331" s="325">
        <v>0.25</v>
      </c>
      <c r="L331" s="19">
        <f>+J331-K331</f>
        <v>1.8472</v>
      </c>
      <c r="M331" s="325">
        <f>IF(H331&gt;=0,I331*0.001,0)</f>
        <v>0</v>
      </c>
      <c r="N331" s="112">
        <f>+L331*I331</f>
        <v>0</v>
      </c>
      <c r="O331" s="112">
        <f>(+L331*I331)-M331</f>
        <v>0</v>
      </c>
      <c r="S331" s="368"/>
      <c r="T331" s="477"/>
    </row>
    <row r="332" spans="1:20" ht="15" customHeight="1" x14ac:dyDescent="0.2">
      <c r="A332" s="16"/>
      <c r="B332" s="17">
        <v>113784</v>
      </c>
      <c r="C332" s="327">
        <v>725576</v>
      </c>
      <c r="D332" s="475" t="s">
        <v>1161</v>
      </c>
      <c r="E332" s="328" t="s">
        <v>1162</v>
      </c>
      <c r="F332" s="17">
        <v>47902</v>
      </c>
      <c r="G332" s="267" t="s">
        <v>1427</v>
      </c>
      <c r="H332" s="183" t="str">
        <f>IF(ISNA(VLOOKUP(C332,gath9909,10,FALSE)),"na",VLOOKUP(C332,gath9909,10,FALSE))</f>
        <v>na</v>
      </c>
      <c r="I332" s="17">
        <f>IF(ISNA(VLOOKUP(C332,gath9909,12,FALSE)),0,(VLOOKUP(C332,gath9909,12,FALSE)))</f>
        <v>0</v>
      </c>
      <c r="J332" s="113">
        <f t="shared" si="69"/>
        <v>2.0972</v>
      </c>
      <c r="K332" s="325">
        <v>0.25</v>
      </c>
      <c r="L332" s="19">
        <f>+J332-K332</f>
        <v>1.8472</v>
      </c>
      <c r="M332" s="325">
        <f>IF(H332&gt;=0,I332*0.001,0)</f>
        <v>0</v>
      </c>
      <c r="N332" s="112">
        <f>+L332*I332</f>
        <v>0</v>
      </c>
      <c r="O332" s="112">
        <f>(+L332*I332)-M332</f>
        <v>0</v>
      </c>
      <c r="S332" s="368"/>
      <c r="T332" s="477"/>
    </row>
    <row r="333" spans="1:20" ht="15" customHeight="1" x14ac:dyDescent="0.2">
      <c r="A333" s="16" t="s">
        <v>1443</v>
      </c>
      <c r="B333" s="17">
        <v>109748</v>
      </c>
      <c r="C333" s="312">
        <v>727158</v>
      </c>
      <c r="D333" s="478" t="s">
        <v>517</v>
      </c>
      <c r="E333" s="17"/>
      <c r="F333" s="17">
        <v>57836</v>
      </c>
      <c r="G333" s="17" t="s">
        <v>473</v>
      </c>
      <c r="H333" s="183">
        <f t="shared" si="67"/>
        <v>0</v>
      </c>
      <c r="I333" s="17">
        <f t="shared" si="68"/>
        <v>0</v>
      </c>
      <c r="J333" s="113">
        <f>+$J$3-0.08</f>
        <v>2.06</v>
      </c>
      <c r="K333" s="325">
        <v>0.25</v>
      </c>
      <c r="L333" s="19">
        <f t="shared" si="61"/>
        <v>1.81</v>
      </c>
      <c r="M333" s="325">
        <f t="shared" si="64"/>
        <v>0</v>
      </c>
      <c r="N333" s="112">
        <f t="shared" si="62"/>
        <v>0</v>
      </c>
      <c r="O333" s="112">
        <f t="shared" si="63"/>
        <v>0</v>
      </c>
      <c r="S333" s="312">
        <v>723302</v>
      </c>
      <c r="T333" s="478" t="s">
        <v>519</v>
      </c>
    </row>
    <row r="334" spans="1:20" ht="15" customHeight="1" x14ac:dyDescent="0.2">
      <c r="A334" s="16" t="s">
        <v>1443</v>
      </c>
      <c r="B334" s="88">
        <v>124138</v>
      </c>
      <c r="C334" s="312">
        <v>717302</v>
      </c>
      <c r="D334" s="478" t="s">
        <v>518</v>
      </c>
      <c r="E334" s="17"/>
      <c r="F334" s="17">
        <v>59946</v>
      </c>
      <c r="G334" s="17" t="s">
        <v>295</v>
      </c>
      <c r="H334" s="183" t="str">
        <f t="shared" si="67"/>
        <v>na</v>
      </c>
      <c r="I334" s="17">
        <f t="shared" si="68"/>
        <v>0</v>
      </c>
      <c r="J334" s="113">
        <f>+$J$3-0.02</f>
        <v>2.12</v>
      </c>
      <c r="K334" s="325">
        <v>0.25</v>
      </c>
      <c r="L334" s="19">
        <f t="shared" si="61"/>
        <v>1.87</v>
      </c>
      <c r="M334" s="325">
        <f t="shared" si="64"/>
        <v>0</v>
      </c>
      <c r="N334" s="112">
        <f t="shared" si="62"/>
        <v>0</v>
      </c>
      <c r="O334" s="112">
        <f t="shared" si="63"/>
        <v>0</v>
      </c>
      <c r="S334" s="312">
        <v>723318</v>
      </c>
      <c r="T334" s="478" t="s">
        <v>890</v>
      </c>
    </row>
    <row r="335" spans="1:20" ht="15" customHeight="1" x14ac:dyDescent="0.2">
      <c r="A335" s="16" t="s">
        <v>1444</v>
      </c>
      <c r="B335" s="17">
        <v>113795</v>
      </c>
      <c r="C335" s="312">
        <v>704390</v>
      </c>
      <c r="D335" s="478" t="s">
        <v>519</v>
      </c>
      <c r="E335" s="17"/>
      <c r="F335" s="17">
        <v>59990</v>
      </c>
      <c r="G335" s="536" t="s">
        <v>497</v>
      </c>
      <c r="H335" s="183" t="str">
        <f t="shared" si="67"/>
        <v>na</v>
      </c>
      <c r="I335" s="17">
        <f t="shared" si="68"/>
        <v>0</v>
      </c>
      <c r="J335" s="664">
        <f t="shared" ref="J335:J343" si="70">+$J$3</f>
        <v>2.14</v>
      </c>
      <c r="K335" s="325">
        <v>0.25</v>
      </c>
      <c r="L335" s="19">
        <f t="shared" si="61"/>
        <v>1.8900000000000001</v>
      </c>
      <c r="M335" s="325">
        <f t="shared" si="64"/>
        <v>0</v>
      </c>
      <c r="N335" s="112">
        <f t="shared" si="62"/>
        <v>0</v>
      </c>
      <c r="O335" s="112">
        <f t="shared" si="63"/>
        <v>0</v>
      </c>
      <c r="S335" s="312">
        <v>723319</v>
      </c>
      <c r="T335" s="478" t="s">
        <v>498</v>
      </c>
    </row>
    <row r="336" spans="1:20" ht="15" customHeight="1" x14ac:dyDescent="0.2">
      <c r="A336" s="16" t="s">
        <v>1444</v>
      </c>
      <c r="B336" s="17">
        <v>109786</v>
      </c>
      <c r="C336" s="312">
        <v>708967</v>
      </c>
      <c r="D336" s="478" t="s">
        <v>519</v>
      </c>
      <c r="E336" s="17"/>
      <c r="F336" s="17">
        <v>59990</v>
      </c>
      <c r="G336" s="536" t="s">
        <v>497</v>
      </c>
      <c r="H336" s="183" t="str">
        <f t="shared" si="67"/>
        <v>na</v>
      </c>
      <c r="I336" s="17">
        <f t="shared" si="68"/>
        <v>0</v>
      </c>
      <c r="J336" s="664">
        <f t="shared" si="70"/>
        <v>2.14</v>
      </c>
      <c r="K336" s="325">
        <v>0.25</v>
      </c>
      <c r="L336" s="19">
        <f t="shared" si="61"/>
        <v>1.8900000000000001</v>
      </c>
      <c r="M336" s="325">
        <f t="shared" si="64"/>
        <v>0</v>
      </c>
      <c r="N336" s="112">
        <f t="shared" si="62"/>
        <v>0</v>
      </c>
      <c r="O336" s="112">
        <f t="shared" si="63"/>
        <v>0</v>
      </c>
      <c r="S336" s="367">
        <v>723453</v>
      </c>
      <c r="T336" s="477" t="s">
        <v>1630</v>
      </c>
    </row>
    <row r="337" spans="1:20" ht="15" customHeight="1" x14ac:dyDescent="0.2">
      <c r="A337" s="16" t="s">
        <v>1444</v>
      </c>
      <c r="B337" s="17"/>
      <c r="C337" s="312">
        <v>720960</v>
      </c>
      <c r="D337" s="478" t="s">
        <v>519</v>
      </c>
      <c r="E337" s="17"/>
      <c r="F337" s="17">
        <v>59990</v>
      </c>
      <c r="G337" s="536" t="s">
        <v>497</v>
      </c>
      <c r="H337" s="183" t="str">
        <f>IF(ISNA(VLOOKUP(C337,gath9909,10,FALSE)),"na",VLOOKUP(C337,gath9909,10,FALSE))</f>
        <v>na</v>
      </c>
      <c r="I337" s="17">
        <f>IF(ISNA(VLOOKUP(C337,gath9909,12,FALSE)),0,(VLOOKUP(C337,gath9909,12,FALSE)))</f>
        <v>0</v>
      </c>
      <c r="J337" s="664">
        <f t="shared" si="70"/>
        <v>2.14</v>
      </c>
      <c r="K337" s="325">
        <v>0.25</v>
      </c>
      <c r="L337" s="19">
        <f>+J337-K337</f>
        <v>1.8900000000000001</v>
      </c>
      <c r="M337" s="325">
        <f>IF(H337&gt;=0,I337*0.001,0)</f>
        <v>0</v>
      </c>
      <c r="N337" s="112">
        <f>+L337*I337</f>
        <v>0</v>
      </c>
      <c r="O337" s="112">
        <f>(+L337*I337)-M337</f>
        <v>0</v>
      </c>
      <c r="S337" s="312">
        <v>723521</v>
      </c>
      <c r="T337" s="478" t="s">
        <v>351</v>
      </c>
    </row>
    <row r="338" spans="1:20" ht="15" customHeight="1" x14ac:dyDescent="0.2">
      <c r="A338" s="16" t="s">
        <v>1444</v>
      </c>
      <c r="B338" s="17"/>
      <c r="C338" s="312">
        <v>723302</v>
      </c>
      <c r="D338" s="478" t="s">
        <v>519</v>
      </c>
      <c r="E338" s="17"/>
      <c r="F338" s="17">
        <v>59990</v>
      </c>
      <c r="G338" s="536" t="s">
        <v>497</v>
      </c>
      <c r="H338" s="183" t="str">
        <f t="shared" si="67"/>
        <v>na</v>
      </c>
      <c r="I338" s="17">
        <f t="shared" si="68"/>
        <v>0</v>
      </c>
      <c r="J338" s="664">
        <f t="shared" si="70"/>
        <v>2.14</v>
      </c>
      <c r="K338" s="325">
        <v>0.25</v>
      </c>
      <c r="L338" s="19">
        <f t="shared" si="61"/>
        <v>1.8900000000000001</v>
      </c>
      <c r="M338" s="325">
        <f t="shared" si="64"/>
        <v>0</v>
      </c>
      <c r="N338" s="112">
        <f t="shared" si="62"/>
        <v>0</v>
      </c>
      <c r="O338" s="112">
        <f t="shared" si="63"/>
        <v>0</v>
      </c>
      <c r="S338" s="312">
        <v>723521</v>
      </c>
      <c r="T338" s="478" t="s">
        <v>351</v>
      </c>
    </row>
    <row r="339" spans="1:20" ht="15" customHeight="1" x14ac:dyDescent="0.2">
      <c r="A339" s="16" t="s">
        <v>1444</v>
      </c>
      <c r="B339" s="17">
        <v>133423</v>
      </c>
      <c r="C339" s="312">
        <v>729914</v>
      </c>
      <c r="D339" s="478" t="s">
        <v>519</v>
      </c>
      <c r="E339" s="17"/>
      <c r="F339" s="17">
        <v>59990</v>
      </c>
      <c r="G339" s="536" t="s">
        <v>497</v>
      </c>
      <c r="H339" s="183" t="str">
        <f t="shared" si="67"/>
        <v>na</v>
      </c>
      <c r="I339" s="17">
        <f t="shared" si="68"/>
        <v>0</v>
      </c>
      <c r="J339" s="664">
        <f t="shared" si="70"/>
        <v>2.14</v>
      </c>
      <c r="K339" s="325">
        <v>0.25</v>
      </c>
      <c r="L339" s="19">
        <f t="shared" si="61"/>
        <v>1.8900000000000001</v>
      </c>
      <c r="M339" s="325">
        <f t="shared" si="64"/>
        <v>0</v>
      </c>
      <c r="N339" s="112">
        <f t="shared" si="62"/>
        <v>0</v>
      </c>
      <c r="O339" s="112">
        <f t="shared" si="63"/>
        <v>0</v>
      </c>
      <c r="S339" s="312">
        <v>723630</v>
      </c>
      <c r="T339" s="503" t="s">
        <v>813</v>
      </c>
    </row>
    <row r="340" spans="1:20" ht="15" customHeight="1" x14ac:dyDescent="0.2">
      <c r="A340" s="16" t="s">
        <v>1444</v>
      </c>
      <c r="B340" s="17">
        <v>123116</v>
      </c>
      <c r="C340" s="312">
        <v>733946</v>
      </c>
      <c r="D340" s="478" t="s">
        <v>519</v>
      </c>
      <c r="E340" s="17"/>
      <c r="F340" s="17">
        <v>59990</v>
      </c>
      <c r="G340" s="536" t="s">
        <v>497</v>
      </c>
      <c r="H340" s="183" t="str">
        <f t="shared" si="67"/>
        <v>na</v>
      </c>
      <c r="I340" s="17">
        <f t="shared" si="68"/>
        <v>0</v>
      </c>
      <c r="J340" s="664">
        <f t="shared" si="70"/>
        <v>2.14</v>
      </c>
      <c r="K340" s="325">
        <v>0.25</v>
      </c>
      <c r="L340" s="19">
        <f t="shared" si="61"/>
        <v>1.8900000000000001</v>
      </c>
      <c r="M340" s="325">
        <f t="shared" si="64"/>
        <v>0</v>
      </c>
      <c r="N340" s="112">
        <f t="shared" si="62"/>
        <v>0</v>
      </c>
      <c r="O340" s="112">
        <f t="shared" si="63"/>
        <v>0</v>
      </c>
      <c r="S340" s="312">
        <v>723657</v>
      </c>
      <c r="T340" s="478" t="s">
        <v>523</v>
      </c>
    </row>
    <row r="341" spans="1:20" ht="15" customHeight="1" x14ac:dyDescent="0.2">
      <c r="A341" s="223" t="s">
        <v>1444</v>
      </c>
      <c r="B341" s="17">
        <v>113882</v>
      </c>
      <c r="C341" s="367">
        <v>722796</v>
      </c>
      <c r="D341" s="477" t="s">
        <v>1513</v>
      </c>
      <c r="E341" s="17"/>
      <c r="F341" s="16"/>
      <c r="G341" s="267" t="s">
        <v>1424</v>
      </c>
      <c r="H341" s="183">
        <f t="shared" si="67"/>
        <v>0</v>
      </c>
      <c r="I341" s="17">
        <f t="shared" si="68"/>
        <v>0</v>
      </c>
      <c r="J341" s="113">
        <f t="shared" si="70"/>
        <v>2.14</v>
      </c>
      <c r="K341" s="325">
        <v>0.25</v>
      </c>
      <c r="L341" s="19">
        <f t="shared" ref="L341:L374" si="71">+J341-K341</f>
        <v>1.8900000000000001</v>
      </c>
      <c r="M341" s="325">
        <f t="shared" si="64"/>
        <v>0</v>
      </c>
      <c r="N341" s="112">
        <f t="shared" ref="N341:N403" si="72">+L341*I341</f>
        <v>0</v>
      </c>
      <c r="O341" s="112">
        <f t="shared" si="63"/>
        <v>0</v>
      </c>
      <c r="S341" s="367">
        <v>723659</v>
      </c>
      <c r="T341" s="477" t="s">
        <v>1618</v>
      </c>
    </row>
    <row r="342" spans="1:20" ht="15" customHeight="1" x14ac:dyDescent="0.2">
      <c r="A342" s="223" t="s">
        <v>1444</v>
      </c>
      <c r="B342" s="17"/>
      <c r="C342" s="367">
        <v>726226</v>
      </c>
      <c r="D342" s="477" t="s">
        <v>1513</v>
      </c>
      <c r="E342" s="17"/>
      <c r="F342" s="16"/>
      <c r="G342" s="267" t="s">
        <v>1424</v>
      </c>
      <c r="H342" s="183" t="str">
        <f t="shared" si="67"/>
        <v>na</v>
      </c>
      <c r="I342" s="17">
        <f t="shared" si="68"/>
        <v>0</v>
      </c>
      <c r="J342" s="113">
        <f t="shared" si="70"/>
        <v>2.14</v>
      </c>
      <c r="K342" s="325">
        <v>0.25</v>
      </c>
      <c r="L342" s="19">
        <f t="shared" si="71"/>
        <v>1.8900000000000001</v>
      </c>
      <c r="M342" s="325">
        <f t="shared" si="64"/>
        <v>0</v>
      </c>
      <c r="N342" s="112">
        <f t="shared" si="72"/>
        <v>0</v>
      </c>
      <c r="O342" s="112">
        <f t="shared" si="63"/>
        <v>0</v>
      </c>
      <c r="S342" s="367">
        <v>723662</v>
      </c>
      <c r="T342" s="477" t="s">
        <v>1717</v>
      </c>
    </row>
    <row r="343" spans="1:20" ht="15" customHeight="1" x14ac:dyDescent="0.2">
      <c r="A343" s="223" t="s">
        <v>1444</v>
      </c>
      <c r="B343" s="17"/>
      <c r="C343" s="368">
        <v>734524</v>
      </c>
      <c r="D343" s="477" t="s">
        <v>1513</v>
      </c>
      <c r="E343" s="17"/>
      <c r="F343" s="16"/>
      <c r="G343" s="267" t="s">
        <v>1424</v>
      </c>
      <c r="H343" s="183" t="str">
        <f t="shared" si="67"/>
        <v>na</v>
      </c>
      <c r="I343" s="17">
        <f t="shared" si="68"/>
        <v>0</v>
      </c>
      <c r="J343" s="113">
        <f t="shared" si="70"/>
        <v>2.14</v>
      </c>
      <c r="K343" s="325">
        <v>0.25</v>
      </c>
      <c r="L343" s="19">
        <f t="shared" si="71"/>
        <v>1.8900000000000001</v>
      </c>
      <c r="M343" s="325">
        <f t="shared" si="64"/>
        <v>0</v>
      </c>
      <c r="N343" s="112">
        <f t="shared" si="72"/>
        <v>0</v>
      </c>
      <c r="O343" s="112">
        <f t="shared" si="63"/>
        <v>0</v>
      </c>
      <c r="S343" s="312">
        <v>723794</v>
      </c>
      <c r="T343" s="478" t="s">
        <v>490</v>
      </c>
    </row>
    <row r="344" spans="1:20" ht="15" customHeight="1" x14ac:dyDescent="0.2">
      <c r="A344" s="16" t="s">
        <v>1443</v>
      </c>
      <c r="B344" s="17">
        <v>109801</v>
      </c>
      <c r="C344" s="312">
        <v>727920</v>
      </c>
      <c r="D344" s="478" t="s">
        <v>520</v>
      </c>
      <c r="E344" s="17"/>
      <c r="F344" s="17">
        <v>70694</v>
      </c>
      <c r="G344" s="17" t="s">
        <v>473</v>
      </c>
      <c r="H344" s="183">
        <f t="shared" si="67"/>
        <v>0</v>
      </c>
      <c r="I344" s="17">
        <f t="shared" si="68"/>
        <v>0</v>
      </c>
      <c r="J344" s="113">
        <f>+$J$3-0.08</f>
        <v>2.06</v>
      </c>
      <c r="K344" s="325">
        <v>0.25</v>
      </c>
      <c r="L344" s="19">
        <f t="shared" si="71"/>
        <v>1.81</v>
      </c>
      <c r="M344" s="325">
        <f t="shared" si="64"/>
        <v>0</v>
      </c>
      <c r="N344" s="112">
        <f t="shared" si="72"/>
        <v>0</v>
      </c>
      <c r="O344" s="112">
        <f t="shared" si="63"/>
        <v>0</v>
      </c>
      <c r="S344" s="312">
        <v>723889</v>
      </c>
      <c r="T344" s="478" t="s">
        <v>543</v>
      </c>
    </row>
    <row r="345" spans="1:20" ht="15" customHeight="1" x14ac:dyDescent="0.2">
      <c r="A345" s="223" t="s">
        <v>1443</v>
      </c>
      <c r="B345" s="17">
        <v>109760</v>
      </c>
      <c r="C345" s="368">
        <v>722909</v>
      </c>
      <c r="D345" s="477" t="s">
        <v>1655</v>
      </c>
      <c r="E345" s="17"/>
      <c r="F345" s="16"/>
      <c r="G345" s="267" t="s">
        <v>1427</v>
      </c>
      <c r="H345" s="183" t="str">
        <f>IF(ISNA(VLOOKUP(C345,gath9909,10,FALSE)),"na",VLOOKUP(C345,gath9909,10,FALSE))</f>
        <v>na</v>
      </c>
      <c r="I345" s="17">
        <f>IF(ISNA(VLOOKUP(C345,gath9909,12,FALSE)),0,(VLOOKUP(C345,gath9909,12,FALSE)))</f>
        <v>0</v>
      </c>
      <c r="J345" s="113">
        <f>+$J$3*0.98</f>
        <v>2.0972</v>
      </c>
      <c r="K345" s="325">
        <v>0.25</v>
      </c>
      <c r="L345" s="19">
        <f t="shared" si="71"/>
        <v>1.8472</v>
      </c>
      <c r="M345" s="325">
        <f t="shared" si="64"/>
        <v>0</v>
      </c>
      <c r="N345" s="112">
        <f t="shared" si="72"/>
        <v>0</v>
      </c>
      <c r="O345" s="112">
        <f t="shared" si="63"/>
        <v>0</v>
      </c>
      <c r="S345" s="367">
        <v>723942</v>
      </c>
      <c r="T345" s="477" t="s">
        <v>1618</v>
      </c>
    </row>
    <row r="346" spans="1:20" ht="15" customHeight="1" x14ac:dyDescent="0.2">
      <c r="A346" s="16" t="s">
        <v>1443</v>
      </c>
      <c r="B346" s="17">
        <v>109749</v>
      </c>
      <c r="C346" s="312">
        <v>718123</v>
      </c>
      <c r="D346" s="478" t="s">
        <v>521</v>
      </c>
      <c r="E346" s="17"/>
      <c r="F346" s="17">
        <v>64356</v>
      </c>
      <c r="G346" s="267" t="s">
        <v>1424</v>
      </c>
      <c r="H346" s="183" t="str">
        <f t="shared" si="67"/>
        <v>na</v>
      </c>
      <c r="I346" s="17">
        <f t="shared" si="68"/>
        <v>0</v>
      </c>
      <c r="J346" s="113">
        <f>+$J$3</f>
        <v>2.14</v>
      </c>
      <c r="K346" s="325">
        <v>0.25</v>
      </c>
      <c r="L346" s="19">
        <f t="shared" si="71"/>
        <v>1.8900000000000001</v>
      </c>
      <c r="M346" s="325">
        <f t="shared" si="64"/>
        <v>0</v>
      </c>
      <c r="N346" s="112">
        <f t="shared" si="72"/>
        <v>0</v>
      </c>
      <c r="O346" s="112">
        <f t="shared" si="63"/>
        <v>0</v>
      </c>
      <c r="S346" s="367">
        <v>723973</v>
      </c>
      <c r="T346" s="477" t="s">
        <v>1502</v>
      </c>
    </row>
    <row r="347" spans="1:20" ht="15" customHeight="1" x14ac:dyDescent="0.2">
      <c r="A347" s="16" t="s">
        <v>1443</v>
      </c>
      <c r="B347" s="17">
        <v>113802</v>
      </c>
      <c r="C347" s="312">
        <v>720563</v>
      </c>
      <c r="D347" s="478" t="s">
        <v>521</v>
      </c>
      <c r="E347" s="17"/>
      <c r="F347" s="17">
        <v>64356</v>
      </c>
      <c r="G347" s="267" t="s">
        <v>1424</v>
      </c>
      <c r="H347" s="183" t="str">
        <f t="shared" si="67"/>
        <v>na</v>
      </c>
      <c r="I347" s="17">
        <f t="shared" si="68"/>
        <v>0</v>
      </c>
      <c r="J347" s="113">
        <f>+$J$3</f>
        <v>2.14</v>
      </c>
      <c r="K347" s="325">
        <v>0.25</v>
      </c>
      <c r="L347" s="19">
        <f t="shared" si="71"/>
        <v>1.8900000000000001</v>
      </c>
      <c r="M347" s="325">
        <f t="shared" si="64"/>
        <v>0</v>
      </c>
      <c r="N347" s="112">
        <f t="shared" si="72"/>
        <v>0</v>
      </c>
      <c r="O347" s="112">
        <f t="shared" si="63"/>
        <v>0</v>
      </c>
      <c r="S347" s="312">
        <v>724021</v>
      </c>
      <c r="T347" s="478" t="s">
        <v>526</v>
      </c>
    </row>
    <row r="348" spans="1:20" ht="15" customHeight="1" x14ac:dyDescent="0.2">
      <c r="A348" s="16" t="s">
        <v>1443</v>
      </c>
      <c r="B348" s="17">
        <v>113803</v>
      </c>
      <c r="C348" s="312">
        <v>721075</v>
      </c>
      <c r="D348" s="478" t="s">
        <v>521</v>
      </c>
      <c r="E348" s="17"/>
      <c r="F348" s="17">
        <v>64356</v>
      </c>
      <c r="G348" s="267" t="s">
        <v>1424</v>
      </c>
      <c r="H348" s="183" t="str">
        <f t="shared" si="67"/>
        <v>na</v>
      </c>
      <c r="I348" s="17">
        <f t="shared" si="68"/>
        <v>0</v>
      </c>
      <c r="J348" s="113">
        <f>+$J$3</f>
        <v>2.14</v>
      </c>
      <c r="K348" s="325">
        <v>0.25</v>
      </c>
      <c r="L348" s="19">
        <f t="shared" si="71"/>
        <v>1.8900000000000001</v>
      </c>
      <c r="M348" s="325">
        <f t="shared" si="64"/>
        <v>0</v>
      </c>
      <c r="N348" s="112">
        <f t="shared" si="72"/>
        <v>0</v>
      </c>
      <c r="O348" s="112">
        <f t="shared" si="63"/>
        <v>0</v>
      </c>
      <c r="S348" s="312">
        <v>724072</v>
      </c>
      <c r="T348" s="478" t="s">
        <v>502</v>
      </c>
    </row>
    <row r="349" spans="1:20" ht="15" customHeight="1" x14ac:dyDescent="0.2">
      <c r="A349" s="16" t="s">
        <v>1443</v>
      </c>
      <c r="B349" s="17">
        <v>113804</v>
      </c>
      <c r="C349" s="312">
        <v>723133</v>
      </c>
      <c r="D349" s="478" t="s">
        <v>521</v>
      </c>
      <c r="E349" s="17"/>
      <c r="F349" s="17">
        <v>64356</v>
      </c>
      <c r="G349" s="267" t="s">
        <v>1424</v>
      </c>
      <c r="H349" s="183" t="str">
        <f t="shared" si="67"/>
        <v>na</v>
      </c>
      <c r="I349" s="17">
        <f t="shared" si="68"/>
        <v>0</v>
      </c>
      <c r="J349" s="113">
        <f>+$J$3</f>
        <v>2.14</v>
      </c>
      <c r="K349" s="325">
        <v>0.25</v>
      </c>
      <c r="L349" s="19">
        <f t="shared" si="71"/>
        <v>1.8900000000000001</v>
      </c>
      <c r="M349" s="325">
        <f t="shared" si="64"/>
        <v>0</v>
      </c>
      <c r="N349" s="112">
        <f t="shared" si="72"/>
        <v>0</v>
      </c>
      <c r="O349" s="112">
        <f t="shared" si="63"/>
        <v>0</v>
      </c>
      <c r="S349" s="367">
        <v>724240</v>
      </c>
      <c r="T349" s="477" t="s">
        <v>1618</v>
      </c>
    </row>
    <row r="350" spans="1:20" ht="15" customHeight="1" x14ac:dyDescent="0.2">
      <c r="A350" s="16" t="s">
        <v>1443</v>
      </c>
      <c r="B350" s="17">
        <v>109804</v>
      </c>
      <c r="C350" s="312">
        <v>700769</v>
      </c>
      <c r="D350" s="478" t="s">
        <v>522</v>
      </c>
      <c r="E350" s="17"/>
      <c r="F350" s="17">
        <v>64874</v>
      </c>
      <c r="G350" s="17" t="s">
        <v>1421</v>
      </c>
      <c r="H350" s="183" t="str">
        <f t="shared" si="67"/>
        <v>na</v>
      </c>
      <c r="I350" s="17">
        <f t="shared" si="68"/>
        <v>0</v>
      </c>
      <c r="J350" s="113">
        <f>+$J$3*0.97</f>
        <v>2.0758000000000001</v>
      </c>
      <c r="K350" s="325">
        <v>0.25</v>
      </c>
      <c r="L350" s="19">
        <f t="shared" si="71"/>
        <v>1.8258000000000001</v>
      </c>
      <c r="M350" s="325">
        <f t="shared" si="64"/>
        <v>0</v>
      </c>
      <c r="N350" s="112">
        <f t="shared" si="72"/>
        <v>0</v>
      </c>
      <c r="O350" s="112">
        <f t="shared" si="63"/>
        <v>0</v>
      </c>
      <c r="S350" s="367">
        <v>724326</v>
      </c>
      <c r="T350" s="477" t="s">
        <v>1717</v>
      </c>
    </row>
    <row r="351" spans="1:20" ht="15" customHeight="1" x14ac:dyDescent="0.2">
      <c r="A351" s="16" t="s">
        <v>1443</v>
      </c>
      <c r="B351" s="17">
        <v>109747</v>
      </c>
      <c r="C351" s="312">
        <v>702123</v>
      </c>
      <c r="D351" s="478" t="s">
        <v>1450</v>
      </c>
      <c r="E351" s="17"/>
      <c r="F351" s="17">
        <v>65353</v>
      </c>
      <c r="G351" s="267" t="s">
        <v>1423</v>
      </c>
      <c r="H351" s="183" t="str">
        <f t="shared" si="67"/>
        <v>na</v>
      </c>
      <c r="I351" s="17">
        <f t="shared" si="68"/>
        <v>0</v>
      </c>
      <c r="J351" s="113">
        <f>+$J$3*0.99</f>
        <v>2.1186000000000003</v>
      </c>
      <c r="K351" s="325">
        <v>0.25</v>
      </c>
      <c r="L351" s="19">
        <f t="shared" si="71"/>
        <v>1.8686000000000003</v>
      </c>
      <c r="M351" s="325">
        <f t="shared" si="64"/>
        <v>0</v>
      </c>
      <c r="N351" s="112">
        <f t="shared" si="72"/>
        <v>0</v>
      </c>
      <c r="O351" s="112">
        <f t="shared" si="63"/>
        <v>0</v>
      </c>
      <c r="S351" s="367">
        <v>724327</v>
      </c>
      <c r="T351" s="477" t="s">
        <v>1426</v>
      </c>
    </row>
    <row r="352" spans="1:20" ht="15" customHeight="1" x14ac:dyDescent="0.2">
      <c r="A352" s="223" t="s">
        <v>1443</v>
      </c>
      <c r="B352" s="17">
        <v>109760</v>
      </c>
      <c r="C352" s="367">
        <v>725815</v>
      </c>
      <c r="D352" s="477" t="s">
        <v>1450</v>
      </c>
      <c r="E352" s="17"/>
      <c r="F352" s="16"/>
      <c r="G352" s="267" t="s">
        <v>1423</v>
      </c>
      <c r="H352" s="183" t="str">
        <f t="shared" si="67"/>
        <v>na</v>
      </c>
      <c r="I352" s="17">
        <f t="shared" si="68"/>
        <v>0</v>
      </c>
      <c r="J352" s="113">
        <f>+$J$3*0.99</f>
        <v>2.1186000000000003</v>
      </c>
      <c r="K352" s="325">
        <v>0.25</v>
      </c>
      <c r="L352" s="19">
        <f t="shared" si="71"/>
        <v>1.8686000000000003</v>
      </c>
      <c r="M352" s="325">
        <f t="shared" si="64"/>
        <v>0</v>
      </c>
      <c r="N352" s="112">
        <f t="shared" si="72"/>
        <v>0</v>
      </c>
      <c r="O352" s="112">
        <f t="shared" ref="O352:O414" si="73">(+L352*I352)-M352</f>
        <v>0</v>
      </c>
      <c r="S352" s="312">
        <v>724364</v>
      </c>
      <c r="T352" s="478" t="s">
        <v>813</v>
      </c>
    </row>
    <row r="353" spans="1:20" ht="15" customHeight="1" x14ac:dyDescent="0.2">
      <c r="A353" s="223" t="s">
        <v>1443</v>
      </c>
      <c r="B353" s="134"/>
      <c r="C353" s="367">
        <v>730163</v>
      </c>
      <c r="D353" s="477" t="s">
        <v>1450</v>
      </c>
      <c r="E353" s="17"/>
      <c r="F353" s="16"/>
      <c r="G353" s="267" t="s">
        <v>1423</v>
      </c>
      <c r="H353" s="183">
        <f t="shared" si="67"/>
        <v>0</v>
      </c>
      <c r="I353" s="17">
        <f t="shared" si="68"/>
        <v>0</v>
      </c>
      <c r="J353" s="113">
        <f>+$J$3*0.99</f>
        <v>2.1186000000000003</v>
      </c>
      <c r="K353" s="325">
        <v>0.25</v>
      </c>
      <c r="L353" s="19">
        <f t="shared" si="71"/>
        <v>1.8686000000000003</v>
      </c>
      <c r="M353" s="325">
        <f t="shared" si="64"/>
        <v>0</v>
      </c>
      <c r="N353" s="112">
        <f t="shared" si="72"/>
        <v>0</v>
      </c>
      <c r="O353" s="112">
        <f t="shared" si="73"/>
        <v>0</v>
      </c>
      <c r="S353" s="312">
        <v>724681</v>
      </c>
      <c r="T353" s="478" t="s">
        <v>504</v>
      </c>
    </row>
    <row r="354" spans="1:20" ht="15" customHeight="1" x14ac:dyDescent="0.2">
      <c r="A354" s="16" t="s">
        <v>491</v>
      </c>
      <c r="B354" s="17"/>
      <c r="C354" s="312">
        <v>723657</v>
      </c>
      <c r="D354" s="478" t="s">
        <v>523</v>
      </c>
      <c r="E354" s="17"/>
      <c r="F354" s="17">
        <v>65740</v>
      </c>
      <c r="G354" s="17" t="s">
        <v>524</v>
      </c>
      <c r="H354" s="183">
        <f t="shared" si="67"/>
        <v>0</v>
      </c>
      <c r="I354" s="17">
        <f t="shared" si="68"/>
        <v>0</v>
      </c>
      <c r="J354" s="113">
        <f>+$J$3-0.03</f>
        <v>2.1100000000000003</v>
      </c>
      <c r="K354" s="325">
        <v>0.25</v>
      </c>
      <c r="L354" s="19">
        <f t="shared" si="71"/>
        <v>1.8600000000000003</v>
      </c>
      <c r="M354" s="325">
        <f t="shared" ref="M354:M416" si="74">IF(H354&gt;=0,I354*0.001,0)</f>
        <v>0</v>
      </c>
      <c r="N354" s="112">
        <f t="shared" si="72"/>
        <v>0</v>
      </c>
      <c r="O354" s="112">
        <f t="shared" si="73"/>
        <v>0</v>
      </c>
      <c r="S354" s="367">
        <v>724831</v>
      </c>
      <c r="T354" s="477" t="s">
        <v>1717</v>
      </c>
    </row>
    <row r="355" spans="1:20" s="890" customFormat="1" ht="15" customHeight="1" x14ac:dyDescent="0.2">
      <c r="A355" s="882" t="s">
        <v>491</v>
      </c>
      <c r="B355" s="883"/>
      <c r="C355" s="884">
        <v>729326</v>
      </c>
      <c r="D355" s="885" t="s">
        <v>523</v>
      </c>
      <c r="E355" s="883"/>
      <c r="F355" s="883">
        <v>65740</v>
      </c>
      <c r="G355" s="883" t="s">
        <v>1197</v>
      </c>
      <c r="H355" s="925" t="str">
        <f t="shared" si="67"/>
        <v>na</v>
      </c>
      <c r="I355" s="17">
        <f t="shared" si="68"/>
        <v>0</v>
      </c>
      <c r="J355" s="886">
        <f>+$J$3-0.01</f>
        <v>2.1300000000000003</v>
      </c>
      <c r="K355" s="887">
        <v>0.25</v>
      </c>
      <c r="L355" s="888">
        <f t="shared" si="71"/>
        <v>1.8800000000000003</v>
      </c>
      <c r="M355" s="887">
        <f t="shared" si="74"/>
        <v>0</v>
      </c>
      <c r="N355" s="889">
        <f t="shared" si="72"/>
        <v>0</v>
      </c>
      <c r="O355" s="889">
        <f t="shared" si="73"/>
        <v>0</v>
      </c>
      <c r="P355" s="890" t="s">
        <v>1607</v>
      </c>
      <c r="S355" s="891">
        <v>725156</v>
      </c>
      <c r="T355" s="892" t="s">
        <v>1717</v>
      </c>
    </row>
    <row r="356" spans="1:20" ht="15" customHeight="1" x14ac:dyDescent="0.2">
      <c r="A356" s="223" t="s">
        <v>1497</v>
      </c>
      <c r="B356" s="17">
        <v>109834</v>
      </c>
      <c r="C356" s="367">
        <v>723123</v>
      </c>
      <c r="D356" s="477" t="s">
        <v>1677</v>
      </c>
      <c r="E356" s="17"/>
      <c r="F356" s="16"/>
      <c r="G356" s="267" t="s">
        <v>1427</v>
      </c>
      <c r="H356" s="183" t="str">
        <f t="shared" si="67"/>
        <v>na</v>
      </c>
      <c r="I356" s="17">
        <f t="shared" si="68"/>
        <v>0</v>
      </c>
      <c r="J356" s="113">
        <f t="shared" ref="J356:J362" si="75">+$J$3*0.98</f>
        <v>2.0972</v>
      </c>
      <c r="K356" s="325">
        <v>0.25</v>
      </c>
      <c r="L356" s="19">
        <f t="shared" si="71"/>
        <v>1.8472</v>
      </c>
      <c r="M356" s="325">
        <f t="shared" si="74"/>
        <v>0</v>
      </c>
      <c r="N356" s="112">
        <f t="shared" si="72"/>
        <v>0</v>
      </c>
      <c r="O356" s="112">
        <f t="shared" si="73"/>
        <v>0</v>
      </c>
      <c r="S356" s="499">
        <v>725576</v>
      </c>
      <c r="T356" s="506" t="s">
        <v>509</v>
      </c>
    </row>
    <row r="357" spans="1:20" ht="15" customHeight="1" x14ac:dyDescent="0.2">
      <c r="A357" s="223" t="s">
        <v>1443</v>
      </c>
      <c r="B357" s="17">
        <v>113783</v>
      </c>
      <c r="C357" s="515">
        <v>717883</v>
      </c>
      <c r="D357" s="516" t="s">
        <v>1610</v>
      </c>
      <c r="E357" s="735" t="s">
        <v>1611</v>
      </c>
      <c r="F357" s="713"/>
      <c r="G357" s="735" t="s">
        <v>1427</v>
      </c>
      <c r="H357" s="844" t="str">
        <f t="shared" si="67"/>
        <v>na</v>
      </c>
      <c r="I357" s="735">
        <f t="shared" si="68"/>
        <v>0</v>
      </c>
      <c r="J357" s="840">
        <f t="shared" si="75"/>
        <v>2.0972</v>
      </c>
      <c r="K357" s="325">
        <v>0.25</v>
      </c>
      <c r="L357" s="842">
        <f t="shared" si="71"/>
        <v>1.8472</v>
      </c>
      <c r="M357" s="841">
        <f t="shared" si="74"/>
        <v>0</v>
      </c>
      <c r="N357" s="843">
        <f t="shared" si="72"/>
        <v>0</v>
      </c>
      <c r="O357" s="843">
        <f t="shared" si="73"/>
        <v>0</v>
      </c>
      <c r="S357" s="367">
        <v>725815</v>
      </c>
      <c r="T357" s="477" t="s">
        <v>1450</v>
      </c>
    </row>
    <row r="358" spans="1:20" ht="15" customHeight="1" x14ac:dyDescent="0.2">
      <c r="A358" s="223" t="s">
        <v>1443</v>
      </c>
      <c r="B358" s="17">
        <v>113784</v>
      </c>
      <c r="C358" s="515">
        <v>717887</v>
      </c>
      <c r="D358" s="516" t="s">
        <v>1610</v>
      </c>
      <c r="E358" s="735" t="s">
        <v>1611</v>
      </c>
      <c r="F358" s="713"/>
      <c r="G358" s="735" t="s">
        <v>1427</v>
      </c>
      <c r="H358" s="844" t="str">
        <f t="shared" si="67"/>
        <v>na</v>
      </c>
      <c r="I358" s="735">
        <f t="shared" si="68"/>
        <v>0</v>
      </c>
      <c r="J358" s="840">
        <f t="shared" si="75"/>
        <v>2.0972</v>
      </c>
      <c r="K358" s="325">
        <v>0.25</v>
      </c>
      <c r="L358" s="842">
        <f t="shared" si="71"/>
        <v>1.8472</v>
      </c>
      <c r="M358" s="841">
        <f t="shared" si="74"/>
        <v>0</v>
      </c>
      <c r="N358" s="843">
        <f t="shared" si="72"/>
        <v>0</v>
      </c>
      <c r="O358" s="843">
        <f t="shared" si="73"/>
        <v>0</v>
      </c>
      <c r="S358" s="367">
        <v>725870</v>
      </c>
      <c r="T358" s="477" t="s">
        <v>1604</v>
      </c>
    </row>
    <row r="359" spans="1:20" ht="15" customHeight="1" x14ac:dyDescent="0.2">
      <c r="A359" s="223" t="s">
        <v>1443</v>
      </c>
      <c r="B359" s="17">
        <v>113785</v>
      </c>
      <c r="C359" s="367">
        <v>717913</v>
      </c>
      <c r="D359" s="477" t="s">
        <v>1610</v>
      </c>
      <c r="E359" s="17"/>
      <c r="F359" s="16"/>
      <c r="G359" s="267" t="s">
        <v>1427</v>
      </c>
      <c r="H359" s="183" t="str">
        <f t="shared" si="67"/>
        <v>na</v>
      </c>
      <c r="I359" s="17">
        <f t="shared" si="68"/>
        <v>0</v>
      </c>
      <c r="J359" s="113">
        <f t="shared" si="75"/>
        <v>2.0972</v>
      </c>
      <c r="K359" s="325">
        <v>0.25</v>
      </c>
      <c r="L359" s="19">
        <f t="shared" si="71"/>
        <v>1.8472</v>
      </c>
      <c r="M359" s="325">
        <f t="shared" si="74"/>
        <v>0</v>
      </c>
      <c r="N359" s="112">
        <f t="shared" si="72"/>
        <v>0</v>
      </c>
      <c r="O359" s="112">
        <f t="shared" si="73"/>
        <v>0</v>
      </c>
      <c r="S359" s="367">
        <v>725897</v>
      </c>
      <c r="T359" s="477" t="s">
        <v>1426</v>
      </c>
    </row>
    <row r="360" spans="1:20" ht="15" customHeight="1" x14ac:dyDescent="0.2">
      <c r="A360" s="223" t="s">
        <v>1443</v>
      </c>
      <c r="B360" s="17">
        <v>113622</v>
      </c>
      <c r="C360" s="367">
        <v>717941</v>
      </c>
      <c r="D360" s="477" t="s">
        <v>1610</v>
      </c>
      <c r="E360" s="17"/>
      <c r="F360" s="16"/>
      <c r="G360" s="267" t="s">
        <v>1427</v>
      </c>
      <c r="H360" s="183" t="str">
        <f t="shared" si="67"/>
        <v>na</v>
      </c>
      <c r="I360" s="17">
        <f t="shared" si="68"/>
        <v>0</v>
      </c>
      <c r="J360" s="113">
        <f t="shared" si="75"/>
        <v>2.0972</v>
      </c>
      <c r="K360" s="325">
        <v>0.25</v>
      </c>
      <c r="L360" s="19">
        <f t="shared" si="71"/>
        <v>1.8472</v>
      </c>
      <c r="M360" s="325">
        <f t="shared" si="74"/>
        <v>0</v>
      </c>
      <c r="N360" s="112">
        <f t="shared" si="72"/>
        <v>0</v>
      </c>
      <c r="O360" s="112">
        <f t="shared" si="73"/>
        <v>0</v>
      </c>
      <c r="S360" s="367">
        <v>725899</v>
      </c>
      <c r="T360" s="477" t="s">
        <v>1426</v>
      </c>
    </row>
    <row r="361" spans="1:20" ht="15" customHeight="1" x14ac:dyDescent="0.2">
      <c r="A361" s="223" t="s">
        <v>1443</v>
      </c>
      <c r="B361" s="17"/>
      <c r="C361" s="515">
        <v>717958</v>
      </c>
      <c r="D361" s="516" t="s">
        <v>1610</v>
      </c>
      <c r="E361" s="735" t="s">
        <v>1611</v>
      </c>
      <c r="F361" s="713"/>
      <c r="G361" s="735" t="s">
        <v>1427</v>
      </c>
      <c r="H361" s="844" t="str">
        <f t="shared" ref="H361:H391" si="76">IF(ISNA(VLOOKUP(C361,gath9909,10,FALSE)),"na",VLOOKUP(C361,gath9909,10,FALSE))</f>
        <v>na</v>
      </c>
      <c r="I361" s="735">
        <f t="shared" ref="I361:I391" si="77">IF(ISNA(VLOOKUP(C361,gath9909,12,FALSE)),0,(VLOOKUP(C361,gath9909,12,FALSE)))</f>
        <v>0</v>
      </c>
      <c r="J361" s="840">
        <f t="shared" si="75"/>
        <v>2.0972</v>
      </c>
      <c r="K361" s="325">
        <v>0.25</v>
      </c>
      <c r="L361" s="842">
        <f t="shared" si="71"/>
        <v>1.8472</v>
      </c>
      <c r="M361" s="841">
        <f t="shared" si="74"/>
        <v>0</v>
      </c>
      <c r="N361" s="843">
        <f t="shared" si="72"/>
        <v>0</v>
      </c>
      <c r="O361" s="843">
        <f t="shared" si="73"/>
        <v>0</v>
      </c>
      <c r="S361" s="367">
        <v>726068</v>
      </c>
      <c r="T361" s="477" t="s">
        <v>1618</v>
      </c>
    </row>
    <row r="362" spans="1:20" ht="15" customHeight="1" x14ac:dyDescent="0.2">
      <c r="A362" s="223" t="s">
        <v>1443</v>
      </c>
      <c r="B362" s="134"/>
      <c r="C362" s="367">
        <v>733839</v>
      </c>
      <c r="D362" s="477" t="s">
        <v>1610</v>
      </c>
      <c r="E362" s="17"/>
      <c r="F362" s="16"/>
      <c r="G362" s="267" t="s">
        <v>1427</v>
      </c>
      <c r="H362" s="183" t="str">
        <f t="shared" si="76"/>
        <v>na</v>
      </c>
      <c r="I362" s="17">
        <f t="shared" si="77"/>
        <v>0</v>
      </c>
      <c r="J362" s="113">
        <f t="shared" si="75"/>
        <v>2.0972</v>
      </c>
      <c r="K362" s="325">
        <v>0.25</v>
      </c>
      <c r="L362" s="19">
        <f t="shared" si="71"/>
        <v>1.8472</v>
      </c>
      <c r="M362" s="325">
        <f t="shared" si="74"/>
        <v>0</v>
      </c>
      <c r="N362" s="112">
        <f t="shared" si="72"/>
        <v>0</v>
      </c>
      <c r="O362" s="112">
        <f t="shared" si="73"/>
        <v>0</v>
      </c>
      <c r="S362" s="312">
        <v>726076</v>
      </c>
      <c r="T362" s="478" t="s">
        <v>1449</v>
      </c>
    </row>
    <row r="363" spans="1:20" ht="15" customHeight="1" x14ac:dyDescent="0.2">
      <c r="A363" s="16" t="s">
        <v>1443</v>
      </c>
      <c r="B363" s="17"/>
      <c r="C363" s="312">
        <v>734886</v>
      </c>
      <c r="D363" s="479" t="s">
        <v>525</v>
      </c>
      <c r="E363" s="17"/>
      <c r="F363" s="17">
        <v>66926</v>
      </c>
      <c r="G363" s="17" t="s">
        <v>295</v>
      </c>
      <c r="H363" s="183" t="str">
        <f t="shared" si="76"/>
        <v>na</v>
      </c>
      <c r="I363" s="17">
        <f t="shared" si="77"/>
        <v>0</v>
      </c>
      <c r="J363" s="113">
        <f>+$J$3-0.02</f>
        <v>2.12</v>
      </c>
      <c r="K363" s="325">
        <v>0.25</v>
      </c>
      <c r="L363" s="19">
        <f t="shared" si="71"/>
        <v>1.87</v>
      </c>
      <c r="M363" s="325">
        <f t="shared" si="74"/>
        <v>0</v>
      </c>
      <c r="N363" s="112">
        <f t="shared" si="72"/>
        <v>0</v>
      </c>
      <c r="O363" s="112">
        <f t="shared" si="73"/>
        <v>0</v>
      </c>
      <c r="S363" s="312">
        <v>726078</v>
      </c>
      <c r="T363" s="478" t="s">
        <v>502</v>
      </c>
    </row>
    <row r="364" spans="1:20" ht="15" customHeight="1" x14ac:dyDescent="0.2">
      <c r="A364" s="223" t="s">
        <v>1443</v>
      </c>
      <c r="B364" s="17">
        <v>119544</v>
      </c>
      <c r="C364" s="367">
        <v>704154</v>
      </c>
      <c r="D364" s="477" t="s">
        <v>1714</v>
      </c>
      <c r="E364" s="17"/>
      <c r="F364" s="16"/>
      <c r="G364" s="17" t="s">
        <v>1427</v>
      </c>
      <c r="H364" s="183" t="str">
        <f t="shared" si="76"/>
        <v>na</v>
      </c>
      <c r="I364" s="17">
        <f t="shared" si="77"/>
        <v>0</v>
      </c>
      <c r="J364" s="113">
        <f>+$J$3*0.98</f>
        <v>2.0972</v>
      </c>
      <c r="K364" s="325">
        <v>0.25</v>
      </c>
      <c r="L364" s="19">
        <f t="shared" si="71"/>
        <v>1.8472</v>
      </c>
      <c r="M364" s="325">
        <f t="shared" si="74"/>
        <v>0</v>
      </c>
      <c r="N364" s="112">
        <f t="shared" si="72"/>
        <v>0</v>
      </c>
      <c r="O364" s="112">
        <f t="shared" si="73"/>
        <v>0</v>
      </c>
      <c r="S364" s="312">
        <v>726100</v>
      </c>
      <c r="T364" s="478" t="s">
        <v>480</v>
      </c>
    </row>
    <row r="365" spans="1:20" ht="15" customHeight="1" x14ac:dyDescent="0.2">
      <c r="A365" s="223" t="s">
        <v>1443</v>
      </c>
      <c r="B365" s="17">
        <v>113924</v>
      </c>
      <c r="C365" s="368">
        <v>704579</v>
      </c>
      <c r="D365" s="477" t="s">
        <v>1501</v>
      </c>
      <c r="E365" s="17"/>
      <c r="F365" s="16"/>
      <c r="G365" s="17" t="s">
        <v>1427</v>
      </c>
      <c r="H365" s="183" t="str">
        <f t="shared" si="76"/>
        <v>na</v>
      </c>
      <c r="I365" s="17">
        <f t="shared" si="77"/>
        <v>0</v>
      </c>
      <c r="J365" s="113">
        <f>+$J$3*0.98</f>
        <v>2.0972</v>
      </c>
      <c r="K365" s="325">
        <v>0.25</v>
      </c>
      <c r="L365" s="19">
        <f t="shared" si="71"/>
        <v>1.8472</v>
      </c>
      <c r="M365" s="325">
        <f t="shared" si="74"/>
        <v>0</v>
      </c>
      <c r="N365" s="112">
        <f t="shared" si="72"/>
        <v>0</v>
      </c>
      <c r="O365" s="112">
        <f t="shared" si="73"/>
        <v>0</v>
      </c>
      <c r="S365" s="367">
        <v>726226</v>
      </c>
      <c r="T365" s="477" t="s">
        <v>1513</v>
      </c>
    </row>
    <row r="366" spans="1:20" ht="15" customHeight="1" x14ac:dyDescent="0.2">
      <c r="A366" s="223" t="s">
        <v>1443</v>
      </c>
      <c r="B366" s="17">
        <v>113924</v>
      </c>
      <c r="C366" s="367">
        <v>720854</v>
      </c>
      <c r="D366" s="477" t="s">
        <v>1501</v>
      </c>
      <c r="E366" s="17"/>
      <c r="F366" s="16"/>
      <c r="G366" s="17" t="s">
        <v>1427</v>
      </c>
      <c r="H366" s="183" t="str">
        <f t="shared" si="76"/>
        <v>na</v>
      </c>
      <c r="I366" s="17">
        <f t="shared" si="77"/>
        <v>0</v>
      </c>
      <c r="J366" s="113">
        <f>+$J$3*0.98</f>
        <v>2.0972</v>
      </c>
      <c r="K366" s="325">
        <v>0.25</v>
      </c>
      <c r="L366" s="19">
        <f t="shared" si="71"/>
        <v>1.8472</v>
      </c>
      <c r="M366" s="325">
        <f t="shared" si="74"/>
        <v>0</v>
      </c>
      <c r="N366" s="112">
        <f t="shared" si="72"/>
        <v>0</v>
      </c>
      <c r="O366" s="112">
        <f t="shared" si="73"/>
        <v>0</v>
      </c>
      <c r="S366" s="368">
        <v>726243</v>
      </c>
      <c r="T366" s="477" t="s">
        <v>1659</v>
      </c>
    </row>
    <row r="367" spans="1:20" ht="15" customHeight="1" x14ac:dyDescent="0.2">
      <c r="A367" s="223" t="s">
        <v>1443</v>
      </c>
      <c r="B367" s="17">
        <v>329405</v>
      </c>
      <c r="C367" s="367">
        <v>722388</v>
      </c>
      <c r="D367" s="477" t="s">
        <v>1501</v>
      </c>
      <c r="E367" s="17"/>
      <c r="F367" s="16"/>
      <c r="G367" s="17" t="s">
        <v>1427</v>
      </c>
      <c r="H367" s="183" t="str">
        <f t="shared" si="76"/>
        <v>na</v>
      </c>
      <c r="I367" s="17">
        <f t="shared" si="77"/>
        <v>0</v>
      </c>
      <c r="J367" s="113">
        <f>+$J$3*0.98</f>
        <v>2.0972</v>
      </c>
      <c r="K367" s="325">
        <v>0.25</v>
      </c>
      <c r="L367" s="19">
        <f t="shared" si="71"/>
        <v>1.8472</v>
      </c>
      <c r="M367" s="325">
        <f t="shared" si="74"/>
        <v>0</v>
      </c>
      <c r="N367" s="112">
        <f t="shared" si="72"/>
        <v>0</v>
      </c>
      <c r="O367" s="112">
        <f t="shared" si="73"/>
        <v>0</v>
      </c>
      <c r="S367" s="367">
        <v>726378</v>
      </c>
      <c r="T367" s="477" t="s">
        <v>1426</v>
      </c>
    </row>
    <row r="368" spans="1:20" ht="15" customHeight="1" x14ac:dyDescent="0.2">
      <c r="A368" s="16" t="s">
        <v>1443</v>
      </c>
      <c r="B368" s="17">
        <v>109816</v>
      </c>
      <c r="C368" s="312">
        <v>720888</v>
      </c>
      <c r="D368" s="478" t="s">
        <v>887</v>
      </c>
      <c r="E368" s="17"/>
      <c r="F368" s="17">
        <v>67001</v>
      </c>
      <c r="G368" s="17" t="s">
        <v>265</v>
      </c>
      <c r="H368" s="183" t="str">
        <f>IF(ISNA(VLOOKUP(C368,gath9909,10,FALSE)),"na",VLOOKUP(C368,gath9909,10,FALSE))</f>
        <v>na</v>
      </c>
      <c r="I368" s="17">
        <f>IF(ISNA(VLOOKUP(C368,gath9909,12,FALSE)),0,(VLOOKUP(C368,gath9909,12,FALSE)))</f>
        <v>0</v>
      </c>
      <c r="J368" s="113">
        <f>+$J$3-0.05</f>
        <v>2.0900000000000003</v>
      </c>
      <c r="K368" s="325">
        <v>0.25</v>
      </c>
      <c r="L368" s="19">
        <f t="shared" si="71"/>
        <v>1.8400000000000003</v>
      </c>
      <c r="M368" s="325">
        <f>IF(H368&gt;=0,I368*0.001,0)</f>
        <v>0</v>
      </c>
      <c r="N368" s="112">
        <f>+L368*I368</f>
        <v>0</v>
      </c>
      <c r="O368" s="112">
        <f>(+L368*I368)-M368</f>
        <v>0</v>
      </c>
      <c r="S368" s="367">
        <v>726731</v>
      </c>
      <c r="T368" s="477" t="s">
        <v>1717</v>
      </c>
    </row>
    <row r="369" spans="1:20" ht="15" customHeight="1" x14ac:dyDescent="0.2">
      <c r="A369" s="16" t="s">
        <v>1443</v>
      </c>
      <c r="B369" s="17">
        <v>113825</v>
      </c>
      <c r="C369" s="312">
        <v>721810</v>
      </c>
      <c r="D369" s="478" t="s">
        <v>887</v>
      </c>
      <c r="E369" s="17"/>
      <c r="F369" s="17">
        <v>67001</v>
      </c>
      <c r="G369" s="17" t="s">
        <v>265</v>
      </c>
      <c r="H369" s="183" t="str">
        <f>IF(ISNA(VLOOKUP(C369,gath9909,10,FALSE)),"na",VLOOKUP(C369,gath9909,10,FALSE))</f>
        <v>na</v>
      </c>
      <c r="I369" s="17">
        <f>IF(ISNA(VLOOKUP(C369,gath9909,12,FALSE)),0,(VLOOKUP(C369,gath9909,12,FALSE)))</f>
        <v>0</v>
      </c>
      <c r="J369" s="113">
        <f>+$J$3-0.05</f>
        <v>2.0900000000000003</v>
      </c>
      <c r="K369" s="325">
        <v>0.25</v>
      </c>
      <c r="L369" s="19">
        <f t="shared" si="71"/>
        <v>1.8400000000000003</v>
      </c>
      <c r="M369" s="325">
        <f>IF(H369&gt;=0,I369*0.001,0)</f>
        <v>0</v>
      </c>
      <c r="N369" s="112">
        <f>+L369*I369</f>
        <v>0</v>
      </c>
      <c r="O369" s="112">
        <f>(+L369*I369)-M369</f>
        <v>0</v>
      </c>
      <c r="S369" s="312">
        <v>726865</v>
      </c>
      <c r="T369" s="478" t="s">
        <v>502</v>
      </c>
    </row>
    <row r="370" spans="1:20" ht="15" customHeight="1" x14ac:dyDescent="0.2">
      <c r="A370" s="16" t="s">
        <v>1443</v>
      </c>
      <c r="B370" s="17">
        <v>113903</v>
      </c>
      <c r="C370" s="312">
        <v>701366</v>
      </c>
      <c r="D370" s="478" t="s">
        <v>526</v>
      </c>
      <c r="E370" s="17"/>
      <c r="F370" s="17">
        <v>69249</v>
      </c>
      <c r="G370" s="17" t="s">
        <v>527</v>
      </c>
      <c r="H370" s="183" t="str">
        <f t="shared" si="76"/>
        <v>na</v>
      </c>
      <c r="I370" s="17">
        <f t="shared" si="77"/>
        <v>0</v>
      </c>
      <c r="J370" s="113">
        <f t="shared" ref="J370:J388" si="78">+$J$2*0.99</f>
        <v>2.0888999999999998</v>
      </c>
      <c r="K370" s="325">
        <v>0.25</v>
      </c>
      <c r="L370" s="19">
        <f t="shared" si="71"/>
        <v>1.8388999999999998</v>
      </c>
      <c r="M370" s="325">
        <f t="shared" si="74"/>
        <v>0</v>
      </c>
      <c r="N370" s="112">
        <f t="shared" si="72"/>
        <v>0</v>
      </c>
      <c r="O370" s="112">
        <f t="shared" si="73"/>
        <v>0</v>
      </c>
      <c r="S370" s="367">
        <v>727143</v>
      </c>
      <c r="T370" s="477" t="s">
        <v>1717</v>
      </c>
    </row>
    <row r="371" spans="1:20" ht="15" customHeight="1" x14ac:dyDescent="0.2">
      <c r="A371" s="16" t="s">
        <v>1443</v>
      </c>
      <c r="B371" s="17">
        <v>113922</v>
      </c>
      <c r="C371" s="312">
        <v>702517</v>
      </c>
      <c r="D371" s="478" t="s">
        <v>526</v>
      </c>
      <c r="E371" s="17"/>
      <c r="F371" s="17">
        <v>69249</v>
      </c>
      <c r="G371" s="17" t="s">
        <v>527</v>
      </c>
      <c r="H371" s="183" t="str">
        <f t="shared" si="76"/>
        <v>na</v>
      </c>
      <c r="I371" s="17">
        <f t="shared" si="77"/>
        <v>0</v>
      </c>
      <c r="J371" s="113">
        <f t="shared" si="78"/>
        <v>2.0888999999999998</v>
      </c>
      <c r="K371" s="325">
        <v>0.25</v>
      </c>
      <c r="L371" s="19">
        <f t="shared" si="71"/>
        <v>1.8388999999999998</v>
      </c>
      <c r="M371" s="325">
        <f t="shared" si="74"/>
        <v>0</v>
      </c>
      <c r="N371" s="112">
        <f t="shared" si="72"/>
        <v>0</v>
      </c>
      <c r="O371" s="112">
        <f t="shared" si="73"/>
        <v>0</v>
      </c>
      <c r="S371" s="312">
        <v>727158</v>
      </c>
      <c r="T371" s="478" t="s">
        <v>517</v>
      </c>
    </row>
    <row r="372" spans="1:20" ht="15" customHeight="1" x14ac:dyDescent="0.2">
      <c r="A372" s="16" t="s">
        <v>1443</v>
      </c>
      <c r="B372" s="17">
        <v>113911</v>
      </c>
      <c r="C372" s="312">
        <v>703314</v>
      </c>
      <c r="D372" s="478" t="s">
        <v>526</v>
      </c>
      <c r="E372" s="17"/>
      <c r="F372" s="17">
        <v>69249</v>
      </c>
      <c r="G372" s="17" t="s">
        <v>527</v>
      </c>
      <c r="H372" s="183" t="str">
        <f t="shared" si="76"/>
        <v>na</v>
      </c>
      <c r="I372" s="17">
        <f t="shared" si="77"/>
        <v>0</v>
      </c>
      <c r="J372" s="113">
        <f t="shared" si="78"/>
        <v>2.0888999999999998</v>
      </c>
      <c r="K372" s="325">
        <v>0.25</v>
      </c>
      <c r="L372" s="19">
        <f t="shared" si="71"/>
        <v>1.8388999999999998</v>
      </c>
      <c r="M372" s="325">
        <f t="shared" si="74"/>
        <v>0</v>
      </c>
      <c r="N372" s="112">
        <f t="shared" si="72"/>
        <v>0</v>
      </c>
      <c r="O372" s="112">
        <f t="shared" si="73"/>
        <v>0</v>
      </c>
      <c r="S372" s="312">
        <v>727187</v>
      </c>
      <c r="T372" s="478" t="s">
        <v>1426</v>
      </c>
    </row>
    <row r="373" spans="1:20" ht="15" customHeight="1" x14ac:dyDescent="0.2">
      <c r="A373" s="16" t="s">
        <v>1443</v>
      </c>
      <c r="B373" s="17">
        <v>113921</v>
      </c>
      <c r="C373" s="312">
        <v>703528</v>
      </c>
      <c r="D373" s="478" t="s">
        <v>526</v>
      </c>
      <c r="E373" s="17"/>
      <c r="F373" s="17">
        <v>69249</v>
      </c>
      <c r="G373" s="17" t="s">
        <v>527</v>
      </c>
      <c r="H373" s="183" t="str">
        <f t="shared" si="76"/>
        <v>na</v>
      </c>
      <c r="I373" s="17">
        <f t="shared" si="77"/>
        <v>0</v>
      </c>
      <c r="J373" s="113">
        <f t="shared" si="78"/>
        <v>2.0888999999999998</v>
      </c>
      <c r="K373" s="325">
        <v>0.25</v>
      </c>
      <c r="L373" s="19">
        <f t="shared" si="71"/>
        <v>1.8388999999999998</v>
      </c>
      <c r="M373" s="325">
        <f t="shared" si="74"/>
        <v>0</v>
      </c>
      <c r="N373" s="112">
        <f t="shared" si="72"/>
        <v>0</v>
      </c>
      <c r="O373" s="112">
        <f t="shared" si="73"/>
        <v>0</v>
      </c>
      <c r="S373" s="367">
        <v>727607</v>
      </c>
      <c r="T373" s="477" t="s">
        <v>1518</v>
      </c>
    </row>
    <row r="374" spans="1:20" ht="15" customHeight="1" x14ac:dyDescent="0.2">
      <c r="A374" s="16" t="s">
        <v>1443</v>
      </c>
      <c r="B374" s="17">
        <v>113924</v>
      </c>
      <c r="C374" s="312">
        <v>706719</v>
      </c>
      <c r="D374" s="478" t="s">
        <v>526</v>
      </c>
      <c r="E374" s="17"/>
      <c r="F374" s="17">
        <v>69249</v>
      </c>
      <c r="G374" s="17" t="s">
        <v>527</v>
      </c>
      <c r="H374" s="183" t="str">
        <f t="shared" si="76"/>
        <v>na</v>
      </c>
      <c r="I374" s="17">
        <f t="shared" si="77"/>
        <v>0</v>
      </c>
      <c r="J374" s="113">
        <f t="shared" si="78"/>
        <v>2.0888999999999998</v>
      </c>
      <c r="K374" s="325">
        <v>0.25</v>
      </c>
      <c r="L374" s="19">
        <f t="shared" si="71"/>
        <v>1.8388999999999998</v>
      </c>
      <c r="M374" s="325">
        <f t="shared" si="74"/>
        <v>0</v>
      </c>
      <c r="N374" s="112">
        <f t="shared" si="72"/>
        <v>0</v>
      </c>
      <c r="O374" s="112">
        <f t="shared" si="73"/>
        <v>0</v>
      </c>
      <c r="S374" s="367">
        <v>727682</v>
      </c>
      <c r="T374" s="477" t="s">
        <v>1502</v>
      </c>
    </row>
    <row r="375" spans="1:20" ht="15" customHeight="1" x14ac:dyDescent="0.2">
      <c r="A375" s="16" t="s">
        <v>1443</v>
      </c>
      <c r="B375" s="17">
        <v>113925</v>
      </c>
      <c r="C375" s="312">
        <v>706851</v>
      </c>
      <c r="D375" s="478" t="s">
        <v>526</v>
      </c>
      <c r="E375" s="17"/>
      <c r="F375" s="17">
        <v>69249</v>
      </c>
      <c r="G375" s="17" t="s">
        <v>527</v>
      </c>
      <c r="H375" s="183" t="str">
        <f t="shared" si="76"/>
        <v>na</v>
      </c>
      <c r="I375" s="17">
        <f t="shared" si="77"/>
        <v>0</v>
      </c>
      <c r="J375" s="113">
        <f t="shared" si="78"/>
        <v>2.0888999999999998</v>
      </c>
      <c r="K375" s="325">
        <v>0.25</v>
      </c>
      <c r="L375" s="19">
        <f t="shared" ref="L375:L404" si="79">+J375-K375</f>
        <v>1.8388999999999998</v>
      </c>
      <c r="M375" s="325">
        <f t="shared" si="74"/>
        <v>0</v>
      </c>
      <c r="N375" s="112">
        <f t="shared" si="72"/>
        <v>0</v>
      </c>
      <c r="O375" s="112">
        <f t="shared" si="73"/>
        <v>0</v>
      </c>
      <c r="S375" s="367">
        <v>727763</v>
      </c>
      <c r="T375" s="477" t="s">
        <v>1426</v>
      </c>
    </row>
    <row r="376" spans="1:20" ht="15" customHeight="1" x14ac:dyDescent="0.2">
      <c r="A376" s="16" t="s">
        <v>1443</v>
      </c>
      <c r="B376" s="17">
        <v>113919</v>
      </c>
      <c r="C376" s="312">
        <v>708535</v>
      </c>
      <c r="D376" s="478" t="s">
        <v>526</v>
      </c>
      <c r="E376" s="17"/>
      <c r="F376" s="17">
        <v>69249</v>
      </c>
      <c r="G376" s="17" t="s">
        <v>527</v>
      </c>
      <c r="H376" s="183" t="str">
        <f t="shared" si="76"/>
        <v>na</v>
      </c>
      <c r="I376" s="17">
        <f t="shared" si="77"/>
        <v>0</v>
      </c>
      <c r="J376" s="113">
        <f t="shared" si="78"/>
        <v>2.0888999999999998</v>
      </c>
      <c r="K376" s="325">
        <v>0.25</v>
      </c>
      <c r="L376" s="19">
        <f t="shared" si="79"/>
        <v>1.8388999999999998</v>
      </c>
      <c r="M376" s="325">
        <f t="shared" si="74"/>
        <v>0</v>
      </c>
      <c r="N376" s="112">
        <f t="shared" si="72"/>
        <v>0</v>
      </c>
      <c r="O376" s="112">
        <f t="shared" si="73"/>
        <v>0</v>
      </c>
      <c r="S376" s="312">
        <v>727920</v>
      </c>
      <c r="T376" s="478" t="s">
        <v>520</v>
      </c>
    </row>
    <row r="377" spans="1:20" ht="15" customHeight="1" x14ac:dyDescent="0.2">
      <c r="A377" s="16" t="s">
        <v>1443</v>
      </c>
      <c r="B377" s="17">
        <v>113912</v>
      </c>
      <c r="C377" s="312">
        <v>711684</v>
      </c>
      <c r="D377" s="478" t="s">
        <v>526</v>
      </c>
      <c r="E377" s="17"/>
      <c r="F377" s="17">
        <v>69249</v>
      </c>
      <c r="G377" s="17" t="s">
        <v>527</v>
      </c>
      <c r="H377" s="183" t="str">
        <f t="shared" si="76"/>
        <v>na</v>
      </c>
      <c r="I377" s="17">
        <f t="shared" si="77"/>
        <v>0</v>
      </c>
      <c r="J377" s="113">
        <f t="shared" si="78"/>
        <v>2.0888999999999998</v>
      </c>
      <c r="K377" s="325">
        <v>0.25</v>
      </c>
      <c r="L377" s="19">
        <f t="shared" si="79"/>
        <v>1.8388999999999998</v>
      </c>
      <c r="M377" s="325">
        <f t="shared" si="74"/>
        <v>0</v>
      </c>
      <c r="N377" s="112">
        <f t="shared" si="72"/>
        <v>0</v>
      </c>
      <c r="O377" s="112">
        <f t="shared" si="73"/>
        <v>0</v>
      </c>
      <c r="S377" s="367">
        <v>728108</v>
      </c>
      <c r="T377" s="477" t="s">
        <v>1680</v>
      </c>
    </row>
    <row r="378" spans="1:20" ht="15" customHeight="1" x14ac:dyDescent="0.2">
      <c r="A378" s="16" t="s">
        <v>1443</v>
      </c>
      <c r="B378" s="17">
        <v>109814</v>
      </c>
      <c r="C378" s="312">
        <v>713710</v>
      </c>
      <c r="D378" s="478" t="s">
        <v>526</v>
      </c>
      <c r="E378" s="17"/>
      <c r="F378" s="17">
        <v>69249</v>
      </c>
      <c r="G378" s="17" t="s">
        <v>527</v>
      </c>
      <c r="H378" s="183" t="str">
        <f t="shared" si="76"/>
        <v>na</v>
      </c>
      <c r="I378" s="17">
        <f t="shared" si="77"/>
        <v>0</v>
      </c>
      <c r="J378" s="113">
        <f t="shared" si="78"/>
        <v>2.0888999999999998</v>
      </c>
      <c r="K378" s="325">
        <v>0.25</v>
      </c>
      <c r="L378" s="19">
        <f t="shared" si="79"/>
        <v>1.8388999999999998</v>
      </c>
      <c r="M378" s="325">
        <f t="shared" si="74"/>
        <v>0</v>
      </c>
      <c r="N378" s="112">
        <f t="shared" si="72"/>
        <v>0</v>
      </c>
      <c r="O378" s="112">
        <f t="shared" si="73"/>
        <v>0</v>
      </c>
      <c r="S378" s="367">
        <v>728226</v>
      </c>
      <c r="T378" s="477" t="s">
        <v>1622</v>
      </c>
    </row>
    <row r="379" spans="1:20" ht="15" customHeight="1" x14ac:dyDescent="0.2">
      <c r="A379" s="16" t="s">
        <v>1443</v>
      </c>
      <c r="B379" s="17">
        <v>113902</v>
      </c>
      <c r="C379" s="312">
        <v>716140</v>
      </c>
      <c r="D379" s="478" t="s">
        <v>526</v>
      </c>
      <c r="E379" s="17"/>
      <c r="F379" s="17">
        <v>69249</v>
      </c>
      <c r="G379" s="17" t="s">
        <v>527</v>
      </c>
      <c r="H379" s="183" t="str">
        <f t="shared" si="76"/>
        <v>na</v>
      </c>
      <c r="I379" s="17">
        <f t="shared" si="77"/>
        <v>0</v>
      </c>
      <c r="J379" s="113">
        <f t="shared" si="78"/>
        <v>2.0888999999999998</v>
      </c>
      <c r="K379" s="325">
        <v>0.25</v>
      </c>
      <c r="L379" s="19">
        <f t="shared" si="79"/>
        <v>1.8388999999999998</v>
      </c>
      <c r="M379" s="325">
        <f t="shared" si="74"/>
        <v>0</v>
      </c>
      <c r="N379" s="112">
        <f t="shared" si="72"/>
        <v>0</v>
      </c>
      <c r="O379" s="112">
        <f t="shared" si="73"/>
        <v>0</v>
      </c>
      <c r="S379" s="312">
        <v>728487</v>
      </c>
      <c r="T379" s="478" t="s">
        <v>366</v>
      </c>
    </row>
    <row r="380" spans="1:20" ht="15" customHeight="1" x14ac:dyDescent="0.2">
      <c r="A380" s="16" t="s">
        <v>1443</v>
      </c>
      <c r="B380" s="17">
        <v>113927</v>
      </c>
      <c r="C380" s="312">
        <v>720361</v>
      </c>
      <c r="D380" s="478" t="s">
        <v>526</v>
      </c>
      <c r="E380" s="17"/>
      <c r="F380" s="17">
        <v>69249</v>
      </c>
      <c r="G380" s="17" t="s">
        <v>527</v>
      </c>
      <c r="H380" s="183" t="str">
        <f t="shared" si="76"/>
        <v>na</v>
      </c>
      <c r="I380" s="17">
        <f t="shared" si="77"/>
        <v>0</v>
      </c>
      <c r="J380" s="113">
        <f t="shared" si="78"/>
        <v>2.0888999999999998</v>
      </c>
      <c r="K380" s="325">
        <v>0.25</v>
      </c>
      <c r="L380" s="19">
        <f t="shared" si="79"/>
        <v>1.8388999999999998</v>
      </c>
      <c r="M380" s="325">
        <f t="shared" si="74"/>
        <v>0</v>
      </c>
      <c r="N380" s="112">
        <f t="shared" si="72"/>
        <v>0</v>
      </c>
      <c r="O380" s="112">
        <f t="shared" si="73"/>
        <v>0</v>
      </c>
      <c r="S380" s="312">
        <v>729326</v>
      </c>
      <c r="T380" s="478" t="s">
        <v>523</v>
      </c>
    </row>
    <row r="381" spans="1:20" ht="15" customHeight="1" x14ac:dyDescent="0.2">
      <c r="A381" s="16" t="s">
        <v>1443</v>
      </c>
      <c r="B381" s="17">
        <v>113928</v>
      </c>
      <c r="C381" s="312">
        <v>720548</v>
      </c>
      <c r="D381" s="478" t="s">
        <v>526</v>
      </c>
      <c r="E381" s="17"/>
      <c r="F381" s="17">
        <v>69249</v>
      </c>
      <c r="G381" s="17" t="s">
        <v>527</v>
      </c>
      <c r="H381" s="183" t="str">
        <f t="shared" si="76"/>
        <v>na</v>
      </c>
      <c r="I381" s="17">
        <f t="shared" si="77"/>
        <v>0</v>
      </c>
      <c r="J381" s="113">
        <f t="shared" si="78"/>
        <v>2.0888999999999998</v>
      </c>
      <c r="K381" s="325">
        <v>0.25</v>
      </c>
      <c r="L381" s="19">
        <f t="shared" si="79"/>
        <v>1.8388999999999998</v>
      </c>
      <c r="M381" s="325">
        <f t="shared" si="74"/>
        <v>0</v>
      </c>
      <c r="N381" s="112">
        <f t="shared" si="72"/>
        <v>0</v>
      </c>
      <c r="O381" s="112">
        <f t="shared" si="73"/>
        <v>0</v>
      </c>
      <c r="S381" s="312">
        <v>729406</v>
      </c>
      <c r="T381" s="478" t="s">
        <v>465</v>
      </c>
    </row>
    <row r="382" spans="1:20" ht="15" customHeight="1" x14ac:dyDescent="0.2">
      <c r="A382" s="16" t="s">
        <v>1443</v>
      </c>
      <c r="B382" s="17">
        <v>113904</v>
      </c>
      <c r="C382" s="312">
        <v>724021</v>
      </c>
      <c r="D382" s="478" t="s">
        <v>526</v>
      </c>
      <c r="E382" s="17"/>
      <c r="F382" s="17">
        <v>69249</v>
      </c>
      <c r="G382" s="17" t="s">
        <v>527</v>
      </c>
      <c r="H382" s="183" t="str">
        <f t="shared" si="76"/>
        <v>na</v>
      </c>
      <c r="I382" s="17">
        <f t="shared" si="77"/>
        <v>0</v>
      </c>
      <c r="J382" s="113">
        <f t="shared" si="78"/>
        <v>2.0888999999999998</v>
      </c>
      <c r="K382" s="325">
        <v>0.25</v>
      </c>
      <c r="L382" s="19">
        <f t="shared" si="79"/>
        <v>1.8388999999999998</v>
      </c>
      <c r="M382" s="325">
        <f t="shared" si="74"/>
        <v>0</v>
      </c>
      <c r="N382" s="112">
        <f t="shared" si="72"/>
        <v>0</v>
      </c>
      <c r="O382" s="112">
        <f t="shared" si="73"/>
        <v>0</v>
      </c>
      <c r="S382" s="312">
        <v>729432</v>
      </c>
      <c r="T382" s="478" t="s">
        <v>536</v>
      </c>
    </row>
    <row r="383" spans="1:20" ht="15" customHeight="1" x14ac:dyDescent="0.2">
      <c r="A383" s="16" t="s">
        <v>1443</v>
      </c>
      <c r="B383" s="17">
        <v>113905</v>
      </c>
      <c r="C383" s="312">
        <v>731821</v>
      </c>
      <c r="D383" s="478" t="s">
        <v>526</v>
      </c>
      <c r="E383" s="17"/>
      <c r="F383" s="17">
        <v>69249</v>
      </c>
      <c r="G383" s="17" t="s">
        <v>527</v>
      </c>
      <c r="H383" s="183" t="str">
        <f t="shared" si="76"/>
        <v>na</v>
      </c>
      <c r="I383" s="17">
        <f t="shared" si="77"/>
        <v>0</v>
      </c>
      <c r="J383" s="113">
        <f t="shared" si="78"/>
        <v>2.0888999999999998</v>
      </c>
      <c r="K383" s="325">
        <v>0.25</v>
      </c>
      <c r="L383" s="19">
        <f t="shared" si="79"/>
        <v>1.8388999999999998</v>
      </c>
      <c r="M383" s="325">
        <f t="shared" si="74"/>
        <v>0</v>
      </c>
      <c r="N383" s="112">
        <f t="shared" si="72"/>
        <v>0</v>
      </c>
      <c r="O383" s="112">
        <f t="shared" si="73"/>
        <v>0</v>
      </c>
      <c r="S383" s="367">
        <v>729472</v>
      </c>
      <c r="T383" s="477" t="s">
        <v>1608</v>
      </c>
    </row>
    <row r="384" spans="1:20" ht="15" customHeight="1" x14ac:dyDescent="0.2">
      <c r="A384" s="16" t="s">
        <v>1443</v>
      </c>
      <c r="B384" s="17">
        <v>113906</v>
      </c>
      <c r="C384" s="312">
        <v>731822</v>
      </c>
      <c r="D384" s="478" t="s">
        <v>526</v>
      </c>
      <c r="E384" s="17"/>
      <c r="F384" s="17">
        <v>69249</v>
      </c>
      <c r="G384" s="17" t="s">
        <v>527</v>
      </c>
      <c r="H384" s="183" t="str">
        <f t="shared" si="76"/>
        <v>na</v>
      </c>
      <c r="I384" s="17">
        <f t="shared" si="77"/>
        <v>0</v>
      </c>
      <c r="J384" s="113">
        <f t="shared" si="78"/>
        <v>2.0888999999999998</v>
      </c>
      <c r="K384" s="325">
        <v>0.25</v>
      </c>
      <c r="L384" s="19">
        <f t="shared" si="79"/>
        <v>1.8388999999999998</v>
      </c>
      <c r="M384" s="325">
        <f t="shared" si="74"/>
        <v>0</v>
      </c>
      <c r="N384" s="112">
        <f t="shared" si="72"/>
        <v>0</v>
      </c>
      <c r="O384" s="112">
        <f t="shared" si="73"/>
        <v>0</v>
      </c>
      <c r="S384" s="312">
        <v>729664</v>
      </c>
      <c r="T384" s="478" t="s">
        <v>480</v>
      </c>
    </row>
    <row r="385" spans="1:20" ht="15" customHeight="1" x14ac:dyDescent="0.2">
      <c r="A385" s="16" t="s">
        <v>1443</v>
      </c>
      <c r="B385" s="17">
        <v>113907</v>
      </c>
      <c r="C385" s="312">
        <v>731823</v>
      </c>
      <c r="D385" s="478" t="s">
        <v>526</v>
      </c>
      <c r="E385" s="17"/>
      <c r="F385" s="17">
        <v>69249</v>
      </c>
      <c r="G385" s="17" t="s">
        <v>527</v>
      </c>
      <c r="H385" s="183" t="str">
        <f t="shared" si="76"/>
        <v>na</v>
      </c>
      <c r="I385" s="17">
        <f t="shared" si="77"/>
        <v>0</v>
      </c>
      <c r="J385" s="113">
        <f t="shared" si="78"/>
        <v>2.0888999999999998</v>
      </c>
      <c r="K385" s="325">
        <v>0.25</v>
      </c>
      <c r="L385" s="19">
        <f t="shared" si="79"/>
        <v>1.8388999999999998</v>
      </c>
      <c r="M385" s="325">
        <f t="shared" si="74"/>
        <v>0</v>
      </c>
      <c r="N385" s="112">
        <f t="shared" si="72"/>
        <v>0</v>
      </c>
      <c r="O385" s="112">
        <f t="shared" si="73"/>
        <v>0</v>
      </c>
      <c r="S385" s="312">
        <v>729665</v>
      </c>
      <c r="T385" s="478" t="s">
        <v>480</v>
      </c>
    </row>
    <row r="386" spans="1:20" ht="15" customHeight="1" x14ac:dyDescent="0.2">
      <c r="A386" s="16" t="s">
        <v>1443</v>
      </c>
      <c r="B386" s="17">
        <v>113908</v>
      </c>
      <c r="C386" s="312">
        <v>731824</v>
      </c>
      <c r="D386" s="478" t="s">
        <v>526</v>
      </c>
      <c r="E386" s="17"/>
      <c r="F386" s="17">
        <v>69249</v>
      </c>
      <c r="G386" s="17" t="s">
        <v>527</v>
      </c>
      <c r="H386" s="183" t="str">
        <f t="shared" si="76"/>
        <v>na</v>
      </c>
      <c r="I386" s="17">
        <f t="shared" si="77"/>
        <v>0</v>
      </c>
      <c r="J386" s="113">
        <f t="shared" si="78"/>
        <v>2.0888999999999998</v>
      </c>
      <c r="K386" s="325">
        <v>0.25</v>
      </c>
      <c r="L386" s="19">
        <f t="shared" si="79"/>
        <v>1.8388999999999998</v>
      </c>
      <c r="M386" s="325">
        <f t="shared" si="74"/>
        <v>0</v>
      </c>
      <c r="N386" s="112">
        <f t="shared" si="72"/>
        <v>0</v>
      </c>
      <c r="O386" s="112">
        <f t="shared" si="73"/>
        <v>0</v>
      </c>
      <c r="S386" s="312">
        <v>729666</v>
      </c>
      <c r="T386" s="478" t="s">
        <v>480</v>
      </c>
    </row>
    <row r="387" spans="1:20" ht="15" customHeight="1" x14ac:dyDescent="0.2">
      <c r="A387" s="16" t="s">
        <v>1443</v>
      </c>
      <c r="B387" s="17">
        <v>113909</v>
      </c>
      <c r="C387" s="312">
        <v>731825</v>
      </c>
      <c r="D387" s="478" t="s">
        <v>526</v>
      </c>
      <c r="E387" s="17"/>
      <c r="F387" s="17">
        <v>69249</v>
      </c>
      <c r="G387" s="17" t="s">
        <v>527</v>
      </c>
      <c r="H387" s="183" t="str">
        <f t="shared" si="76"/>
        <v>na</v>
      </c>
      <c r="I387" s="17">
        <f t="shared" si="77"/>
        <v>0</v>
      </c>
      <c r="J387" s="113">
        <f t="shared" si="78"/>
        <v>2.0888999999999998</v>
      </c>
      <c r="K387" s="325">
        <v>0.25</v>
      </c>
      <c r="L387" s="19">
        <f t="shared" si="79"/>
        <v>1.8388999999999998</v>
      </c>
      <c r="M387" s="325">
        <f t="shared" si="74"/>
        <v>0</v>
      </c>
      <c r="N387" s="112">
        <f t="shared" si="72"/>
        <v>0</v>
      </c>
      <c r="O387" s="112">
        <f t="shared" si="73"/>
        <v>0</v>
      </c>
      <c r="S387" s="367">
        <v>729827</v>
      </c>
      <c r="T387" s="477" t="s">
        <v>1499</v>
      </c>
    </row>
    <row r="388" spans="1:20" ht="15" customHeight="1" x14ac:dyDescent="0.2">
      <c r="A388" s="16" t="s">
        <v>1443</v>
      </c>
      <c r="B388" s="17">
        <v>113910</v>
      </c>
      <c r="C388" s="312">
        <v>731937</v>
      </c>
      <c r="D388" s="478" t="s">
        <v>526</v>
      </c>
      <c r="E388" s="17"/>
      <c r="F388" s="17">
        <v>69249</v>
      </c>
      <c r="G388" s="17" t="s">
        <v>527</v>
      </c>
      <c r="H388" s="183" t="str">
        <f t="shared" si="76"/>
        <v>na</v>
      </c>
      <c r="I388" s="17">
        <f t="shared" si="77"/>
        <v>0</v>
      </c>
      <c r="J388" s="113">
        <f t="shared" si="78"/>
        <v>2.0888999999999998</v>
      </c>
      <c r="K388" s="325">
        <v>0.25</v>
      </c>
      <c r="L388" s="19">
        <f t="shared" si="79"/>
        <v>1.8388999999999998</v>
      </c>
      <c r="M388" s="325">
        <f t="shared" si="74"/>
        <v>0</v>
      </c>
      <c r="N388" s="112">
        <f t="shared" si="72"/>
        <v>0</v>
      </c>
      <c r="O388" s="112">
        <f t="shared" si="73"/>
        <v>0</v>
      </c>
      <c r="S388" s="312">
        <v>729914</v>
      </c>
      <c r="T388" s="478" t="s">
        <v>519</v>
      </c>
    </row>
    <row r="389" spans="1:20" s="913" customFormat="1" ht="15" customHeight="1" x14ac:dyDescent="0.2">
      <c r="A389" s="819" t="s">
        <v>1443</v>
      </c>
      <c r="B389" s="328">
        <v>115595</v>
      </c>
      <c r="C389" s="499">
        <v>721421</v>
      </c>
      <c r="D389" s="506" t="s">
        <v>529</v>
      </c>
      <c r="E389" s="328"/>
      <c r="F389" s="328">
        <v>71375</v>
      </c>
      <c r="G389" s="328" t="s">
        <v>530</v>
      </c>
      <c r="H389" s="926" t="str">
        <f t="shared" si="76"/>
        <v>na</v>
      </c>
      <c r="I389" s="328">
        <f t="shared" si="77"/>
        <v>0</v>
      </c>
      <c r="J389" s="909">
        <f>+$J$3*0.995</f>
        <v>2.1293000000000002</v>
      </c>
      <c r="K389" s="910">
        <v>0.25</v>
      </c>
      <c r="L389" s="911">
        <f t="shared" si="79"/>
        <v>1.8793000000000002</v>
      </c>
      <c r="M389" s="910">
        <f t="shared" si="74"/>
        <v>0</v>
      </c>
      <c r="N389" s="912">
        <f t="shared" si="72"/>
        <v>0</v>
      </c>
      <c r="O389" s="912">
        <f t="shared" si="73"/>
        <v>0</v>
      </c>
      <c r="P389" s="908" t="s">
        <v>2002</v>
      </c>
      <c r="S389" s="914">
        <v>730046</v>
      </c>
      <c r="T389" s="481" t="s">
        <v>1426</v>
      </c>
    </row>
    <row r="390" spans="1:20" s="913" customFormat="1" ht="15" customHeight="1" x14ac:dyDescent="0.2">
      <c r="A390" s="819" t="s">
        <v>1443</v>
      </c>
      <c r="B390" s="328">
        <v>119525</v>
      </c>
      <c r="C390" s="499">
        <v>722896</v>
      </c>
      <c r="D390" s="506" t="s">
        <v>529</v>
      </c>
      <c r="E390" s="328"/>
      <c r="F390" s="328">
        <v>71375</v>
      </c>
      <c r="G390" s="328" t="s">
        <v>530</v>
      </c>
      <c r="H390" s="926" t="str">
        <f t="shared" si="76"/>
        <v>na</v>
      </c>
      <c r="I390" s="328">
        <f t="shared" si="77"/>
        <v>0</v>
      </c>
      <c r="J390" s="909">
        <f>+$J$3*0.995</f>
        <v>2.1293000000000002</v>
      </c>
      <c r="K390" s="910">
        <v>0.25</v>
      </c>
      <c r="L390" s="911">
        <f t="shared" si="79"/>
        <v>1.8793000000000002</v>
      </c>
      <c r="M390" s="910">
        <f t="shared" si="74"/>
        <v>0</v>
      </c>
      <c r="N390" s="912">
        <f t="shared" si="72"/>
        <v>0</v>
      </c>
      <c r="O390" s="912">
        <f t="shared" si="73"/>
        <v>0</v>
      </c>
      <c r="P390" s="908" t="s">
        <v>2002</v>
      </c>
      <c r="S390" s="914">
        <v>730061</v>
      </c>
      <c r="T390" s="481" t="s">
        <v>1627</v>
      </c>
    </row>
    <row r="391" spans="1:20" s="913" customFormat="1" ht="15" customHeight="1" x14ac:dyDescent="0.2">
      <c r="A391" s="819" t="s">
        <v>1443</v>
      </c>
      <c r="B391" s="328">
        <v>115597</v>
      </c>
      <c r="C391" s="499">
        <v>732031</v>
      </c>
      <c r="D391" s="506" t="s">
        <v>529</v>
      </c>
      <c r="E391" s="328"/>
      <c r="F391" s="328">
        <v>71375</v>
      </c>
      <c r="G391" s="328" t="s">
        <v>530</v>
      </c>
      <c r="H391" s="926" t="str">
        <f t="shared" si="76"/>
        <v>na</v>
      </c>
      <c r="I391" s="328">
        <f t="shared" si="77"/>
        <v>0</v>
      </c>
      <c r="J391" s="909">
        <f>+$J$3*0.995</f>
        <v>2.1293000000000002</v>
      </c>
      <c r="K391" s="910">
        <v>0.25</v>
      </c>
      <c r="L391" s="911">
        <f t="shared" si="79"/>
        <v>1.8793000000000002</v>
      </c>
      <c r="M391" s="910">
        <f t="shared" si="74"/>
        <v>0</v>
      </c>
      <c r="N391" s="912">
        <f t="shared" si="72"/>
        <v>0</v>
      </c>
      <c r="O391" s="912">
        <f t="shared" si="73"/>
        <v>0</v>
      </c>
      <c r="P391" s="908" t="s">
        <v>2002</v>
      </c>
      <c r="S391" s="499">
        <v>730069</v>
      </c>
      <c r="T391" s="915" t="s">
        <v>499</v>
      </c>
    </row>
    <row r="392" spans="1:20" ht="15" customHeight="1" x14ac:dyDescent="0.2">
      <c r="A392" s="16" t="s">
        <v>1443</v>
      </c>
      <c r="B392" s="17"/>
      <c r="C392" s="312">
        <v>720153</v>
      </c>
      <c r="D392" s="478" t="s">
        <v>531</v>
      </c>
      <c r="E392" s="17"/>
      <c r="F392" s="17">
        <v>71403</v>
      </c>
      <c r="G392" s="17" t="s">
        <v>295</v>
      </c>
      <c r="H392" s="183" t="str">
        <f t="shared" ref="H392:H423" si="80">IF(ISNA(VLOOKUP(C392,gath9909,10,FALSE)),"na",VLOOKUP(C392,gath9909,10,FALSE))</f>
        <v>na</v>
      </c>
      <c r="I392" s="17">
        <f t="shared" ref="I392:I423" si="81">IF(ISNA(VLOOKUP(C392,gath9909,12,FALSE)),0,(VLOOKUP(C392,gath9909,12,FALSE)))</f>
        <v>0</v>
      </c>
      <c r="J392" s="113">
        <f>$J$3-0.02</f>
        <v>2.12</v>
      </c>
      <c r="K392" s="325">
        <v>0.25</v>
      </c>
      <c r="L392" s="19">
        <f t="shared" si="79"/>
        <v>1.87</v>
      </c>
      <c r="M392" s="325">
        <f t="shared" si="74"/>
        <v>0</v>
      </c>
      <c r="N392" s="112">
        <f t="shared" si="72"/>
        <v>0</v>
      </c>
      <c r="O392" s="112">
        <f t="shared" si="73"/>
        <v>0</v>
      </c>
      <c r="S392" s="367">
        <v>730074</v>
      </c>
      <c r="T392" s="477" t="s">
        <v>1627</v>
      </c>
    </row>
    <row r="393" spans="1:20" ht="15" customHeight="1" x14ac:dyDescent="0.2">
      <c r="A393" s="16" t="s">
        <v>1443</v>
      </c>
      <c r="B393" s="17">
        <v>113832</v>
      </c>
      <c r="C393" s="312">
        <v>721141</v>
      </c>
      <c r="D393" s="478" t="s">
        <v>531</v>
      </c>
      <c r="E393" s="17"/>
      <c r="F393" s="17">
        <v>71403</v>
      </c>
      <c r="G393" s="17" t="s">
        <v>295</v>
      </c>
      <c r="H393" s="183" t="str">
        <f t="shared" si="80"/>
        <v>na</v>
      </c>
      <c r="I393" s="17">
        <f t="shared" si="81"/>
        <v>0</v>
      </c>
      <c r="J393" s="113">
        <f>$J$3-0.02</f>
        <v>2.12</v>
      </c>
      <c r="K393" s="325">
        <v>0.25</v>
      </c>
      <c r="L393" s="19">
        <f t="shared" si="79"/>
        <v>1.87</v>
      </c>
      <c r="M393" s="325">
        <f t="shared" si="74"/>
        <v>0</v>
      </c>
      <c r="N393" s="112">
        <f t="shared" si="72"/>
        <v>0</v>
      </c>
      <c r="O393" s="112">
        <f t="shared" si="73"/>
        <v>0</v>
      </c>
      <c r="S393" s="312">
        <v>730081</v>
      </c>
      <c r="T393" s="478" t="s">
        <v>1448</v>
      </c>
    </row>
    <row r="394" spans="1:20" ht="15" customHeight="1" x14ac:dyDescent="0.2">
      <c r="A394" s="16" t="s">
        <v>1443</v>
      </c>
      <c r="B394" s="17">
        <v>113829</v>
      </c>
      <c r="C394" s="312">
        <v>722023</v>
      </c>
      <c r="D394" s="478" t="s">
        <v>531</v>
      </c>
      <c r="E394" s="17"/>
      <c r="F394" s="17">
        <v>71403</v>
      </c>
      <c r="G394" s="17" t="s">
        <v>295</v>
      </c>
      <c r="H394" s="183" t="str">
        <f t="shared" si="80"/>
        <v>na</v>
      </c>
      <c r="I394" s="17">
        <f t="shared" si="81"/>
        <v>0</v>
      </c>
      <c r="J394" s="113">
        <f>$J$3-0.02</f>
        <v>2.12</v>
      </c>
      <c r="K394" s="325">
        <v>0.25</v>
      </c>
      <c r="L394" s="19">
        <f t="shared" si="79"/>
        <v>1.87</v>
      </c>
      <c r="M394" s="325">
        <f t="shared" si="74"/>
        <v>0</v>
      </c>
      <c r="N394" s="112">
        <f t="shared" si="72"/>
        <v>0</v>
      </c>
      <c r="O394" s="112">
        <f t="shared" si="73"/>
        <v>0</v>
      </c>
      <c r="S394" s="312">
        <v>730094</v>
      </c>
      <c r="T394" s="478" t="s">
        <v>471</v>
      </c>
    </row>
    <row r="395" spans="1:20" ht="15" customHeight="1" x14ac:dyDescent="0.2">
      <c r="A395" s="16" t="s">
        <v>1443</v>
      </c>
      <c r="B395" s="17">
        <v>113827</v>
      </c>
      <c r="C395" s="312">
        <v>722108</v>
      </c>
      <c r="D395" s="478" t="s">
        <v>531</v>
      </c>
      <c r="E395" s="17"/>
      <c r="F395" s="17">
        <v>71403</v>
      </c>
      <c r="G395" s="17" t="s">
        <v>295</v>
      </c>
      <c r="H395" s="183" t="str">
        <f t="shared" si="80"/>
        <v>na</v>
      </c>
      <c r="I395" s="17">
        <f t="shared" si="81"/>
        <v>0</v>
      </c>
      <c r="J395" s="113">
        <f>$J$3-0.02</f>
        <v>2.12</v>
      </c>
      <c r="K395" s="325">
        <v>0.25</v>
      </c>
      <c r="L395" s="19">
        <f t="shared" si="79"/>
        <v>1.87</v>
      </c>
      <c r="M395" s="325">
        <f t="shared" si="74"/>
        <v>0</v>
      </c>
      <c r="N395" s="112">
        <f t="shared" si="72"/>
        <v>0</v>
      </c>
      <c r="O395" s="112">
        <f t="shared" si="73"/>
        <v>0</v>
      </c>
      <c r="S395" s="367">
        <v>730098</v>
      </c>
      <c r="T395" s="477" t="s">
        <v>1502</v>
      </c>
    </row>
    <row r="396" spans="1:20" ht="15" customHeight="1" x14ac:dyDescent="0.2">
      <c r="A396" s="223" t="s">
        <v>1443</v>
      </c>
      <c r="B396" s="134"/>
      <c r="C396" s="367">
        <v>732021</v>
      </c>
      <c r="D396" s="477" t="s">
        <v>1698</v>
      </c>
      <c r="E396" s="17"/>
      <c r="F396" s="16"/>
      <c r="G396" s="267" t="s">
        <v>1427</v>
      </c>
      <c r="H396" s="183" t="str">
        <f t="shared" si="80"/>
        <v>na</v>
      </c>
      <c r="I396" s="17">
        <f t="shared" si="81"/>
        <v>0</v>
      </c>
      <c r="J396" s="113">
        <f>+$J$3*0.98</f>
        <v>2.0972</v>
      </c>
      <c r="K396" s="325">
        <v>0.25</v>
      </c>
      <c r="L396" s="19">
        <f t="shared" si="79"/>
        <v>1.8472</v>
      </c>
      <c r="M396" s="325">
        <f t="shared" si="74"/>
        <v>0</v>
      </c>
      <c r="N396" s="112">
        <f t="shared" si="72"/>
        <v>0</v>
      </c>
      <c r="O396" s="112">
        <f t="shared" si="73"/>
        <v>0</v>
      </c>
      <c r="S396" s="367">
        <v>730163</v>
      </c>
      <c r="T396" s="477" t="s">
        <v>1450</v>
      </c>
    </row>
    <row r="397" spans="1:20" ht="15" customHeight="1" x14ac:dyDescent="0.2">
      <c r="A397" s="223" t="s">
        <v>1444</v>
      </c>
      <c r="B397" s="17">
        <v>113907</v>
      </c>
      <c r="C397" s="367">
        <v>721351</v>
      </c>
      <c r="D397" s="477" t="s">
        <v>1715</v>
      </c>
      <c r="E397" s="17"/>
      <c r="F397" s="16"/>
      <c r="G397" s="267" t="s">
        <v>1424</v>
      </c>
      <c r="H397" s="183" t="str">
        <f t="shared" si="80"/>
        <v>na</v>
      </c>
      <c r="I397" s="17">
        <f t="shared" si="81"/>
        <v>0</v>
      </c>
      <c r="J397" s="113">
        <f>+$J$3</f>
        <v>2.14</v>
      </c>
      <c r="K397" s="325">
        <v>0.25</v>
      </c>
      <c r="L397" s="19">
        <f t="shared" si="79"/>
        <v>1.8900000000000001</v>
      </c>
      <c r="M397" s="325">
        <f t="shared" si="74"/>
        <v>0</v>
      </c>
      <c r="N397" s="112">
        <f t="shared" si="72"/>
        <v>0</v>
      </c>
      <c r="O397" s="112">
        <f t="shared" si="73"/>
        <v>0</v>
      </c>
      <c r="S397" s="367">
        <v>730228</v>
      </c>
      <c r="T397" s="477" t="s">
        <v>1426</v>
      </c>
    </row>
    <row r="398" spans="1:20" ht="15" customHeight="1" x14ac:dyDescent="0.2">
      <c r="A398" s="223" t="s">
        <v>1443</v>
      </c>
      <c r="B398" s="134"/>
      <c r="C398" s="367">
        <v>731303</v>
      </c>
      <c r="D398" s="477" t="s">
        <v>1715</v>
      </c>
      <c r="E398" s="17"/>
      <c r="F398" s="16"/>
      <c r="G398" s="267" t="s">
        <v>1424</v>
      </c>
      <c r="H398" s="183">
        <f t="shared" si="80"/>
        <v>0</v>
      </c>
      <c r="I398" s="17">
        <f t="shared" si="81"/>
        <v>0</v>
      </c>
      <c r="J398" s="113">
        <f>+$J$3</f>
        <v>2.14</v>
      </c>
      <c r="K398" s="325">
        <v>0.25</v>
      </c>
      <c r="L398" s="19">
        <f t="shared" si="79"/>
        <v>1.8900000000000001</v>
      </c>
      <c r="M398" s="325">
        <f t="shared" si="74"/>
        <v>0</v>
      </c>
      <c r="N398" s="112">
        <f t="shared" si="72"/>
        <v>0</v>
      </c>
      <c r="O398" s="112">
        <f t="shared" si="73"/>
        <v>0</v>
      </c>
      <c r="S398" s="367">
        <v>730258</v>
      </c>
      <c r="T398" s="477" t="s">
        <v>1538</v>
      </c>
    </row>
    <row r="399" spans="1:20" ht="15" customHeight="1" x14ac:dyDescent="0.2">
      <c r="A399" s="16" t="s">
        <v>1444</v>
      </c>
      <c r="B399" s="17">
        <v>113796</v>
      </c>
      <c r="C399" s="312">
        <v>704759</v>
      </c>
      <c r="D399" s="478" t="s">
        <v>532</v>
      </c>
      <c r="E399" s="17"/>
      <c r="F399" s="17">
        <v>72145</v>
      </c>
      <c r="G399" s="17" t="s">
        <v>533</v>
      </c>
      <c r="H399" s="183" t="str">
        <f t="shared" si="80"/>
        <v>na</v>
      </c>
      <c r="I399" s="17">
        <f t="shared" si="81"/>
        <v>0</v>
      </c>
      <c r="J399" s="113">
        <f>+$J$3</f>
        <v>2.14</v>
      </c>
      <c r="K399" s="325">
        <v>0.25</v>
      </c>
      <c r="L399" s="19">
        <f t="shared" si="79"/>
        <v>1.8900000000000001</v>
      </c>
      <c r="M399" s="325">
        <f t="shared" si="74"/>
        <v>0</v>
      </c>
      <c r="N399" s="112">
        <f t="shared" si="72"/>
        <v>0</v>
      </c>
      <c r="O399" s="112">
        <f t="shared" si="73"/>
        <v>0</v>
      </c>
      <c r="S399" s="312">
        <v>730318</v>
      </c>
      <c r="T399" s="478" t="s">
        <v>543</v>
      </c>
    </row>
    <row r="400" spans="1:20" ht="15" customHeight="1" x14ac:dyDescent="0.2">
      <c r="A400" s="16" t="s">
        <v>1444</v>
      </c>
      <c r="B400" s="17">
        <v>109784</v>
      </c>
      <c r="C400" s="312">
        <v>713617</v>
      </c>
      <c r="D400" s="478" t="s">
        <v>532</v>
      </c>
      <c r="E400" s="17"/>
      <c r="F400" s="17">
        <v>72145</v>
      </c>
      <c r="G400" s="17" t="s">
        <v>533</v>
      </c>
      <c r="H400" s="183" t="str">
        <f t="shared" si="80"/>
        <v>na</v>
      </c>
      <c r="I400" s="17">
        <f t="shared" si="81"/>
        <v>0</v>
      </c>
      <c r="J400" s="113">
        <f>+$J$3</f>
        <v>2.14</v>
      </c>
      <c r="K400" s="325">
        <v>0.25</v>
      </c>
      <c r="L400" s="19">
        <f t="shared" si="79"/>
        <v>1.8900000000000001</v>
      </c>
      <c r="M400" s="325">
        <f t="shared" si="74"/>
        <v>0</v>
      </c>
      <c r="N400" s="112">
        <f t="shared" si="72"/>
        <v>0</v>
      </c>
      <c r="O400" s="112">
        <f t="shared" si="73"/>
        <v>0</v>
      </c>
      <c r="S400" s="367">
        <v>730359</v>
      </c>
      <c r="T400" s="477" t="s">
        <v>1499</v>
      </c>
    </row>
    <row r="401" spans="1:20" ht="15" customHeight="1" x14ac:dyDescent="0.2">
      <c r="A401" s="16" t="s">
        <v>1444</v>
      </c>
      <c r="B401" s="17">
        <v>113798</v>
      </c>
      <c r="C401" s="312">
        <v>730035</v>
      </c>
      <c r="D401" s="478" t="s">
        <v>532</v>
      </c>
      <c r="E401" s="17"/>
      <c r="F401" s="17">
        <v>72145</v>
      </c>
      <c r="G401" s="17" t="s">
        <v>533</v>
      </c>
      <c r="H401" s="183" t="str">
        <f t="shared" si="80"/>
        <v>na</v>
      </c>
      <c r="I401" s="17">
        <f t="shared" si="81"/>
        <v>0</v>
      </c>
      <c r="J401" s="113">
        <f>+$J$3</f>
        <v>2.14</v>
      </c>
      <c r="K401" s="325">
        <v>0.25</v>
      </c>
      <c r="L401" s="19">
        <f t="shared" si="79"/>
        <v>1.8900000000000001</v>
      </c>
      <c r="M401" s="325">
        <f t="shared" si="74"/>
        <v>0</v>
      </c>
      <c r="N401" s="112">
        <f t="shared" si="72"/>
        <v>0</v>
      </c>
      <c r="O401" s="112">
        <f t="shared" si="73"/>
        <v>0</v>
      </c>
      <c r="S401" s="367">
        <v>730379</v>
      </c>
      <c r="T401" s="477" t="s">
        <v>1540</v>
      </c>
    </row>
    <row r="402" spans="1:20" ht="15" customHeight="1" x14ac:dyDescent="0.2">
      <c r="A402" s="223" t="s">
        <v>1443</v>
      </c>
      <c r="B402" s="17">
        <v>115591</v>
      </c>
      <c r="C402" s="367">
        <v>717457</v>
      </c>
      <c r="D402" s="477" t="s">
        <v>1604</v>
      </c>
      <c r="E402" s="17"/>
      <c r="F402" s="16"/>
      <c r="G402" s="159" t="s">
        <v>1713</v>
      </c>
      <c r="H402" s="183" t="str">
        <f t="shared" si="80"/>
        <v>na</v>
      </c>
      <c r="I402" s="17">
        <f t="shared" si="81"/>
        <v>0</v>
      </c>
      <c r="J402" s="418">
        <f>+'Special Pricing'!$G$537</f>
        <v>5.22</v>
      </c>
      <c r="K402" s="325">
        <v>0.25</v>
      </c>
      <c r="L402" s="19">
        <f t="shared" si="79"/>
        <v>4.97</v>
      </c>
      <c r="M402" s="325">
        <f t="shared" si="74"/>
        <v>0</v>
      </c>
      <c r="N402" s="112">
        <f t="shared" si="72"/>
        <v>0</v>
      </c>
      <c r="O402" s="112">
        <f t="shared" si="73"/>
        <v>0</v>
      </c>
      <c r="S402" s="367">
        <v>730506</v>
      </c>
      <c r="T402" s="477" t="s">
        <v>1685</v>
      </c>
    </row>
    <row r="403" spans="1:20" ht="15" customHeight="1" x14ac:dyDescent="0.2">
      <c r="A403" s="223" t="s">
        <v>1443</v>
      </c>
      <c r="B403" s="17">
        <v>109782</v>
      </c>
      <c r="C403" s="367">
        <v>717622</v>
      </c>
      <c r="D403" s="477" t="s">
        <v>1604</v>
      </c>
      <c r="E403" s="17"/>
      <c r="F403" s="16"/>
      <c r="G403" s="159" t="s">
        <v>1713</v>
      </c>
      <c r="H403" s="183" t="str">
        <f t="shared" si="80"/>
        <v>na</v>
      </c>
      <c r="I403" s="17">
        <f t="shared" si="81"/>
        <v>0</v>
      </c>
      <c r="J403" s="418">
        <f>+'Special Pricing'!$G$537</f>
        <v>5.22</v>
      </c>
      <c r="K403" s="325">
        <v>0.25</v>
      </c>
      <c r="L403" s="19">
        <f t="shared" si="79"/>
        <v>4.97</v>
      </c>
      <c r="M403" s="325">
        <f t="shared" si="74"/>
        <v>0</v>
      </c>
      <c r="N403" s="112">
        <f t="shared" si="72"/>
        <v>0</v>
      </c>
      <c r="O403" s="112">
        <f t="shared" si="73"/>
        <v>0</v>
      </c>
      <c r="S403" s="312">
        <v>730539</v>
      </c>
      <c r="T403" s="478" t="s">
        <v>475</v>
      </c>
    </row>
    <row r="404" spans="1:20" ht="15" customHeight="1" x14ac:dyDescent="0.2">
      <c r="A404" s="223" t="s">
        <v>1443</v>
      </c>
      <c r="B404" s="17">
        <v>109786</v>
      </c>
      <c r="C404" s="367">
        <v>719444</v>
      </c>
      <c r="D404" s="477" t="s">
        <v>1604</v>
      </c>
      <c r="E404" s="17"/>
      <c r="F404" s="16"/>
      <c r="G404" s="159" t="s">
        <v>1713</v>
      </c>
      <c r="H404" s="183" t="str">
        <f t="shared" si="80"/>
        <v>na</v>
      </c>
      <c r="I404" s="17">
        <f t="shared" si="81"/>
        <v>0</v>
      </c>
      <c r="J404" s="418">
        <f>+'Special Pricing'!$G$537</f>
        <v>5.22</v>
      </c>
      <c r="K404" s="325">
        <v>0.25</v>
      </c>
      <c r="L404" s="19">
        <f t="shared" si="79"/>
        <v>4.97</v>
      </c>
      <c r="M404" s="325">
        <f t="shared" si="74"/>
        <v>0</v>
      </c>
      <c r="N404" s="112">
        <f t="shared" ref="N404:N448" si="82">+L404*I404</f>
        <v>0</v>
      </c>
      <c r="O404" s="112">
        <f t="shared" si="73"/>
        <v>0</v>
      </c>
      <c r="S404" s="367">
        <v>730580</v>
      </c>
      <c r="T404" s="477" t="s">
        <v>1686</v>
      </c>
    </row>
    <row r="405" spans="1:20" ht="15" customHeight="1" x14ac:dyDescent="0.2">
      <c r="A405" s="223" t="s">
        <v>1443</v>
      </c>
      <c r="B405" s="17">
        <v>113910</v>
      </c>
      <c r="C405" s="367">
        <v>721843</v>
      </c>
      <c r="D405" s="477" t="s">
        <v>1604</v>
      </c>
      <c r="E405" s="17"/>
      <c r="F405" s="16"/>
      <c r="G405" s="159" t="s">
        <v>1713</v>
      </c>
      <c r="H405" s="183" t="str">
        <f t="shared" si="80"/>
        <v>na</v>
      </c>
      <c r="I405" s="17">
        <f t="shared" si="81"/>
        <v>0</v>
      </c>
      <c r="J405" s="418">
        <f>+'Special Pricing'!$G$537</f>
        <v>5.22</v>
      </c>
      <c r="K405" s="325">
        <v>0.25</v>
      </c>
      <c r="L405" s="19">
        <f t="shared" ref="L405:L435" si="83">+J405-K405</f>
        <v>4.97</v>
      </c>
      <c r="M405" s="325">
        <f t="shared" si="74"/>
        <v>0</v>
      </c>
      <c r="N405" s="112">
        <f t="shared" si="82"/>
        <v>0</v>
      </c>
      <c r="O405" s="112">
        <f t="shared" si="73"/>
        <v>0</v>
      </c>
      <c r="S405" s="312">
        <v>730583</v>
      </c>
      <c r="T405" s="478" t="s">
        <v>355</v>
      </c>
    </row>
    <row r="406" spans="1:20" ht="15" customHeight="1" x14ac:dyDescent="0.2">
      <c r="A406" s="223" t="s">
        <v>1443</v>
      </c>
      <c r="B406" s="17">
        <v>109816</v>
      </c>
      <c r="C406" s="367">
        <v>721845</v>
      </c>
      <c r="D406" s="477" t="s">
        <v>1604</v>
      </c>
      <c r="E406" s="17"/>
      <c r="F406" s="16"/>
      <c r="G406" s="159" t="s">
        <v>1713</v>
      </c>
      <c r="H406" s="183" t="str">
        <f t="shared" si="80"/>
        <v>na</v>
      </c>
      <c r="I406" s="17">
        <f t="shared" si="81"/>
        <v>0</v>
      </c>
      <c r="J406" s="418">
        <f>+'Special Pricing'!$G$537</f>
        <v>5.22</v>
      </c>
      <c r="K406" s="325">
        <v>0.25</v>
      </c>
      <c r="L406" s="19">
        <f t="shared" si="83"/>
        <v>4.97</v>
      </c>
      <c r="M406" s="325">
        <f t="shared" si="74"/>
        <v>0</v>
      </c>
      <c r="N406" s="112">
        <f t="shared" si="82"/>
        <v>0</v>
      </c>
      <c r="O406" s="112">
        <f t="shared" si="73"/>
        <v>0</v>
      </c>
      <c r="S406" s="312">
        <v>730584</v>
      </c>
      <c r="T406" s="478" t="s">
        <v>355</v>
      </c>
    </row>
    <row r="407" spans="1:20" ht="15" customHeight="1" x14ac:dyDescent="0.2">
      <c r="A407" s="223" t="s">
        <v>1443</v>
      </c>
      <c r="B407" s="17">
        <v>113892</v>
      </c>
      <c r="C407" s="367">
        <v>725870</v>
      </c>
      <c r="D407" s="477" t="s">
        <v>1604</v>
      </c>
      <c r="E407" s="17"/>
      <c r="F407" s="16"/>
      <c r="G407" s="159" t="s">
        <v>1713</v>
      </c>
      <c r="H407" s="183" t="str">
        <f t="shared" si="80"/>
        <v>na</v>
      </c>
      <c r="I407" s="17">
        <f t="shared" si="81"/>
        <v>0</v>
      </c>
      <c r="J407" s="418">
        <f>+'Special Pricing'!$G$537</f>
        <v>5.22</v>
      </c>
      <c r="K407" s="325">
        <v>0.25</v>
      </c>
      <c r="L407" s="19">
        <f t="shared" si="83"/>
        <v>4.97</v>
      </c>
      <c r="M407" s="325">
        <f t="shared" si="74"/>
        <v>0</v>
      </c>
      <c r="N407" s="112">
        <f t="shared" si="82"/>
        <v>0</v>
      </c>
      <c r="O407" s="112">
        <f t="shared" si="73"/>
        <v>0</v>
      </c>
      <c r="S407" s="367">
        <v>730646</v>
      </c>
      <c r="T407" s="477" t="s">
        <v>1690</v>
      </c>
    </row>
    <row r="408" spans="1:20" ht="15" customHeight="1" x14ac:dyDescent="0.2">
      <c r="A408" s="223" t="s">
        <v>1443</v>
      </c>
      <c r="B408" s="134"/>
      <c r="C408" s="367">
        <v>730805</v>
      </c>
      <c r="D408" s="477" t="s">
        <v>1604</v>
      </c>
      <c r="E408" s="17"/>
      <c r="F408" s="16"/>
      <c r="G408" s="159" t="s">
        <v>1713</v>
      </c>
      <c r="H408" s="183" t="str">
        <f t="shared" si="80"/>
        <v>na</v>
      </c>
      <c r="I408" s="17">
        <f t="shared" si="81"/>
        <v>0</v>
      </c>
      <c r="J408" s="418">
        <f>+'Special Pricing'!$G$537</f>
        <v>5.22</v>
      </c>
      <c r="K408" s="325">
        <v>0.25</v>
      </c>
      <c r="L408" s="19">
        <f t="shared" si="83"/>
        <v>4.97</v>
      </c>
      <c r="M408" s="325">
        <f t="shared" si="74"/>
        <v>0</v>
      </c>
      <c r="N408" s="112">
        <f t="shared" si="82"/>
        <v>0</v>
      </c>
      <c r="O408" s="112">
        <f t="shared" si="73"/>
        <v>0</v>
      </c>
      <c r="S408" s="312">
        <v>730681</v>
      </c>
      <c r="T408" s="478" t="s">
        <v>1448</v>
      </c>
    </row>
    <row r="409" spans="1:20" ht="15" customHeight="1" x14ac:dyDescent="0.2">
      <c r="A409" s="223" t="s">
        <v>1443</v>
      </c>
      <c r="B409" s="17">
        <v>115588</v>
      </c>
      <c r="C409" s="367">
        <v>717255</v>
      </c>
      <c r="D409" s="477" t="s">
        <v>1602</v>
      </c>
      <c r="E409" s="17"/>
      <c r="F409" s="16"/>
      <c r="G409" s="17" t="s">
        <v>1716</v>
      </c>
      <c r="H409" s="183" t="str">
        <f t="shared" si="80"/>
        <v>na</v>
      </c>
      <c r="I409" s="17">
        <f t="shared" si="81"/>
        <v>0</v>
      </c>
      <c r="J409" s="113">
        <f>+$J$3-0.02</f>
        <v>2.12</v>
      </c>
      <c r="K409" s="325">
        <v>0.25</v>
      </c>
      <c r="L409" s="19">
        <f t="shared" si="83"/>
        <v>1.87</v>
      </c>
      <c r="M409" s="325">
        <f t="shared" si="74"/>
        <v>0</v>
      </c>
      <c r="N409" s="112">
        <f t="shared" si="82"/>
        <v>0</v>
      </c>
      <c r="O409" s="112">
        <f t="shared" si="73"/>
        <v>0</v>
      </c>
      <c r="P409" s="21"/>
      <c r="Q409" s="21"/>
      <c r="S409" s="367">
        <v>730805</v>
      </c>
      <c r="T409" s="477" t="s">
        <v>1604</v>
      </c>
    </row>
    <row r="410" spans="1:20" ht="15" customHeight="1" x14ac:dyDescent="0.2">
      <c r="A410" s="16" t="s">
        <v>1443</v>
      </c>
      <c r="B410" s="17">
        <v>109829</v>
      </c>
      <c r="C410" s="312">
        <v>734168</v>
      </c>
      <c r="D410" s="478" t="s">
        <v>534</v>
      </c>
      <c r="E410" s="17"/>
      <c r="F410" s="17">
        <v>3853</v>
      </c>
      <c r="G410" s="17" t="s">
        <v>473</v>
      </c>
      <c r="H410" s="183" t="str">
        <f t="shared" si="80"/>
        <v>na</v>
      </c>
      <c r="I410" s="17">
        <f t="shared" si="81"/>
        <v>0</v>
      </c>
      <c r="J410" s="113">
        <f>$J$3-0.08</f>
        <v>2.06</v>
      </c>
      <c r="K410" s="325">
        <v>0.25</v>
      </c>
      <c r="L410" s="19">
        <f t="shared" si="83"/>
        <v>1.81</v>
      </c>
      <c r="M410" s="325">
        <f t="shared" si="74"/>
        <v>0</v>
      </c>
      <c r="N410" s="112">
        <f t="shared" si="82"/>
        <v>0</v>
      </c>
      <c r="O410" s="112">
        <f t="shared" si="73"/>
        <v>0</v>
      </c>
      <c r="S410" s="312">
        <v>730824</v>
      </c>
      <c r="T410" s="478" t="s">
        <v>471</v>
      </c>
    </row>
    <row r="411" spans="1:20" ht="15" customHeight="1" x14ac:dyDescent="0.2">
      <c r="A411" s="223" t="s">
        <v>1443</v>
      </c>
      <c r="B411" s="17">
        <v>133260</v>
      </c>
      <c r="C411" s="367">
        <v>704162</v>
      </c>
      <c r="D411" s="477" t="s">
        <v>1547</v>
      </c>
      <c r="E411" s="17"/>
      <c r="F411" s="16"/>
      <c r="G411" s="267" t="s">
        <v>1456</v>
      </c>
      <c r="H411" s="183" t="str">
        <f t="shared" si="80"/>
        <v>na</v>
      </c>
      <c r="I411" s="17">
        <f t="shared" si="81"/>
        <v>0</v>
      </c>
      <c r="J411" s="113">
        <f>+$J$3*0.95</f>
        <v>2.0329999999999999</v>
      </c>
      <c r="K411" s="325">
        <v>0.25</v>
      </c>
      <c r="L411" s="19">
        <f t="shared" si="83"/>
        <v>1.7829999999999999</v>
      </c>
      <c r="M411" s="325">
        <f t="shared" si="74"/>
        <v>0</v>
      </c>
      <c r="N411" s="112">
        <f t="shared" si="82"/>
        <v>0</v>
      </c>
      <c r="O411" s="112">
        <f t="shared" si="73"/>
        <v>0</v>
      </c>
      <c r="S411" s="312">
        <v>730916</v>
      </c>
      <c r="T411" s="478" t="s">
        <v>506</v>
      </c>
    </row>
    <row r="412" spans="1:20" ht="15" customHeight="1" x14ac:dyDescent="0.2">
      <c r="A412" s="16" t="s">
        <v>1444</v>
      </c>
      <c r="B412" s="17">
        <v>329405</v>
      </c>
      <c r="C412" s="312">
        <v>720501</v>
      </c>
      <c r="D412" s="478" t="s">
        <v>535</v>
      </c>
      <c r="E412" s="17"/>
      <c r="F412" s="17">
        <v>63640</v>
      </c>
      <c r="G412" s="17" t="s">
        <v>479</v>
      </c>
      <c r="H412" s="183" t="str">
        <f t="shared" si="80"/>
        <v>na</v>
      </c>
      <c r="I412" s="17">
        <f t="shared" si="81"/>
        <v>0</v>
      </c>
      <c r="J412" s="113">
        <f>+$J$3-0.01</f>
        <v>2.1300000000000003</v>
      </c>
      <c r="K412" s="325">
        <v>0.25</v>
      </c>
      <c r="L412" s="19">
        <f t="shared" si="83"/>
        <v>1.8800000000000003</v>
      </c>
      <c r="M412" s="325">
        <f t="shared" si="74"/>
        <v>0</v>
      </c>
      <c r="N412" s="112">
        <f t="shared" si="82"/>
        <v>0</v>
      </c>
      <c r="O412" s="112">
        <f t="shared" si="73"/>
        <v>0</v>
      </c>
      <c r="P412" s="21"/>
      <c r="Q412" s="21"/>
      <c r="S412" s="368">
        <v>731230</v>
      </c>
      <c r="T412" s="483" t="s">
        <v>1904</v>
      </c>
    </row>
    <row r="413" spans="1:20" ht="15" customHeight="1" x14ac:dyDescent="0.2">
      <c r="A413" s="223" t="s">
        <v>1444</v>
      </c>
      <c r="B413" s="134"/>
      <c r="C413" s="367">
        <v>732263</v>
      </c>
      <c r="D413" s="477" t="s">
        <v>1700</v>
      </c>
      <c r="E413" s="17"/>
      <c r="F413" s="16"/>
      <c r="G413" s="267" t="s">
        <v>1421</v>
      </c>
      <c r="H413" s="183" t="str">
        <f t="shared" si="80"/>
        <v>na</v>
      </c>
      <c r="I413" s="17">
        <f t="shared" si="81"/>
        <v>0</v>
      </c>
      <c r="J413" s="113">
        <f>+$J$3*0.97</f>
        <v>2.0758000000000001</v>
      </c>
      <c r="K413" s="325">
        <v>0.25</v>
      </c>
      <c r="L413" s="19">
        <f t="shared" si="83"/>
        <v>1.8258000000000001</v>
      </c>
      <c r="M413" s="325">
        <f t="shared" si="74"/>
        <v>0</v>
      </c>
      <c r="N413" s="112">
        <f t="shared" si="82"/>
        <v>0</v>
      </c>
      <c r="O413" s="112">
        <f t="shared" si="73"/>
        <v>0</v>
      </c>
      <c r="S413" s="367">
        <v>731232</v>
      </c>
      <c r="T413" s="477" t="s">
        <v>1608</v>
      </c>
    </row>
    <row r="414" spans="1:20" ht="15" customHeight="1" x14ac:dyDescent="0.2">
      <c r="A414" s="16" t="s">
        <v>1443</v>
      </c>
      <c r="B414" s="17"/>
      <c r="C414" s="333">
        <v>712763</v>
      </c>
      <c r="D414" s="478" t="s">
        <v>819</v>
      </c>
      <c r="E414" s="17"/>
      <c r="F414" s="17">
        <v>74202</v>
      </c>
      <c r="G414" s="17" t="s">
        <v>295</v>
      </c>
      <c r="H414" s="183" t="str">
        <f t="shared" si="80"/>
        <v>na</v>
      </c>
      <c r="I414" s="17">
        <f t="shared" si="81"/>
        <v>0</v>
      </c>
      <c r="J414" s="287">
        <f>$J$3-0.02</f>
        <v>2.12</v>
      </c>
      <c r="K414" s="325">
        <v>0.25</v>
      </c>
      <c r="L414" s="19">
        <f t="shared" si="83"/>
        <v>1.87</v>
      </c>
      <c r="M414" s="325">
        <f t="shared" si="74"/>
        <v>0</v>
      </c>
      <c r="N414" s="112">
        <f t="shared" si="82"/>
        <v>0</v>
      </c>
      <c r="O414" s="112">
        <f t="shared" si="73"/>
        <v>0</v>
      </c>
      <c r="S414" s="312">
        <v>731244</v>
      </c>
      <c r="T414" s="478" t="s">
        <v>355</v>
      </c>
    </row>
    <row r="415" spans="1:20" ht="15" customHeight="1" x14ac:dyDescent="0.2">
      <c r="A415" s="16" t="s">
        <v>1443</v>
      </c>
      <c r="B415" s="17"/>
      <c r="C415" s="333">
        <v>734807</v>
      </c>
      <c r="D415" s="478" t="s">
        <v>819</v>
      </c>
      <c r="E415" s="17"/>
      <c r="F415" s="17">
        <v>74202</v>
      </c>
      <c r="G415" s="17" t="s">
        <v>295</v>
      </c>
      <c r="H415" s="183" t="str">
        <f t="shared" si="80"/>
        <v>na</v>
      </c>
      <c r="I415" s="17">
        <f t="shared" si="81"/>
        <v>0</v>
      </c>
      <c r="J415" s="287">
        <f>$J$3-0.02</f>
        <v>2.12</v>
      </c>
      <c r="K415" s="325">
        <v>0.25</v>
      </c>
      <c r="L415" s="19">
        <f t="shared" si="83"/>
        <v>1.87</v>
      </c>
      <c r="M415" s="325">
        <f t="shared" si="74"/>
        <v>0</v>
      </c>
      <c r="N415" s="112">
        <f t="shared" si="82"/>
        <v>0</v>
      </c>
      <c r="O415" s="112">
        <f t="shared" ref="O415:O448" si="84">(+L415*I415)-M415</f>
        <v>0</v>
      </c>
      <c r="S415" s="367">
        <v>731303</v>
      </c>
      <c r="T415" s="477" t="s">
        <v>1715</v>
      </c>
    </row>
    <row r="416" spans="1:20" ht="15" customHeight="1" x14ac:dyDescent="0.2">
      <c r="A416" s="223" t="s">
        <v>1443</v>
      </c>
      <c r="B416" s="17">
        <v>133260</v>
      </c>
      <c r="C416" s="368">
        <v>722642</v>
      </c>
      <c r="D416" s="477" t="s">
        <v>24</v>
      </c>
      <c r="E416" s="17"/>
      <c r="F416" s="16"/>
      <c r="G416" s="267" t="s">
        <v>1424</v>
      </c>
      <c r="H416" s="183">
        <f t="shared" si="80"/>
        <v>0</v>
      </c>
      <c r="I416" s="17">
        <f t="shared" si="81"/>
        <v>0</v>
      </c>
      <c r="J416" s="113">
        <f>+$J$3</f>
        <v>2.14</v>
      </c>
      <c r="K416" s="325">
        <v>0.25</v>
      </c>
      <c r="L416" s="19">
        <f t="shared" si="83"/>
        <v>1.8900000000000001</v>
      </c>
      <c r="M416" s="325">
        <f t="shared" si="74"/>
        <v>0</v>
      </c>
      <c r="N416" s="112">
        <f t="shared" si="82"/>
        <v>0</v>
      </c>
      <c r="O416" s="112">
        <f t="shared" si="84"/>
        <v>0</v>
      </c>
      <c r="S416" s="367">
        <v>731314</v>
      </c>
      <c r="T416" s="477" t="s">
        <v>1426</v>
      </c>
    </row>
    <row r="417" spans="1:20" ht="15" customHeight="1" x14ac:dyDescent="0.2">
      <c r="A417" s="359" t="s">
        <v>1443</v>
      </c>
      <c r="B417" s="17"/>
      <c r="C417" s="360">
        <v>702431</v>
      </c>
      <c r="D417" s="480" t="s">
        <v>619</v>
      </c>
      <c r="E417" s="17"/>
      <c r="F417" s="17">
        <v>76053</v>
      </c>
      <c r="G417" s="159" t="s">
        <v>825</v>
      </c>
      <c r="H417" s="488" t="str">
        <f t="shared" si="80"/>
        <v>na</v>
      </c>
      <c r="I417" s="159">
        <f t="shared" si="81"/>
        <v>0</v>
      </c>
      <c r="J417" s="418" t="e">
        <f>+'Special Pricing'!$G$550</f>
        <v>#DIV/0!</v>
      </c>
      <c r="K417" s="325">
        <v>0.25</v>
      </c>
      <c r="L417" s="19" t="e">
        <f t="shared" si="83"/>
        <v>#DIV/0!</v>
      </c>
      <c r="M417" s="325">
        <f t="shared" ref="M417:M449" si="85">IF(H417&gt;=0,I417*0.001,0)</f>
        <v>0</v>
      </c>
      <c r="N417" s="112" t="e">
        <f t="shared" si="82"/>
        <v>#DIV/0!</v>
      </c>
      <c r="O417" s="112" t="e">
        <f t="shared" si="84"/>
        <v>#DIV/0!</v>
      </c>
      <c r="S417" s="367">
        <v>731315</v>
      </c>
      <c r="T417" s="477" t="s">
        <v>1694</v>
      </c>
    </row>
    <row r="418" spans="1:20" ht="15" customHeight="1" x14ac:dyDescent="0.2">
      <c r="A418" s="359" t="s">
        <v>1443</v>
      </c>
      <c r="B418" s="17"/>
      <c r="C418" s="360">
        <v>702465</v>
      </c>
      <c r="D418" s="480" t="s">
        <v>619</v>
      </c>
      <c r="E418" s="17"/>
      <c r="F418" s="17">
        <v>76053</v>
      </c>
      <c r="G418" s="159" t="s">
        <v>825</v>
      </c>
      <c r="H418" s="488" t="str">
        <f t="shared" si="80"/>
        <v>na</v>
      </c>
      <c r="I418" s="159">
        <f t="shared" si="81"/>
        <v>0</v>
      </c>
      <c r="J418" s="418" t="e">
        <f>+'Special Pricing'!$G$550</f>
        <v>#DIV/0!</v>
      </c>
      <c r="K418" s="325">
        <v>0.25</v>
      </c>
      <c r="L418" s="19" t="e">
        <f t="shared" si="83"/>
        <v>#DIV/0!</v>
      </c>
      <c r="M418" s="325">
        <f t="shared" si="85"/>
        <v>0</v>
      </c>
      <c r="N418" s="112" t="e">
        <f t="shared" si="82"/>
        <v>#DIV/0!</v>
      </c>
      <c r="O418" s="112" t="e">
        <f t="shared" si="84"/>
        <v>#DIV/0!</v>
      </c>
      <c r="S418" s="360">
        <v>731617</v>
      </c>
      <c r="T418" s="370" t="s">
        <v>811</v>
      </c>
    </row>
    <row r="419" spans="1:20" ht="15" customHeight="1" x14ac:dyDescent="0.2">
      <c r="A419" s="359" t="s">
        <v>1443</v>
      </c>
      <c r="B419" s="17"/>
      <c r="C419" s="360">
        <v>702478</v>
      </c>
      <c r="D419" s="480" t="s">
        <v>619</v>
      </c>
      <c r="E419" s="17"/>
      <c r="F419" s="17">
        <v>76053</v>
      </c>
      <c r="G419" s="159" t="s">
        <v>825</v>
      </c>
      <c r="H419" s="488" t="str">
        <f t="shared" si="80"/>
        <v>na</v>
      </c>
      <c r="I419" s="159">
        <f t="shared" si="81"/>
        <v>0</v>
      </c>
      <c r="J419" s="418" t="e">
        <f>+'Special Pricing'!$G$550</f>
        <v>#DIV/0!</v>
      </c>
      <c r="K419" s="325">
        <v>0.25</v>
      </c>
      <c r="L419" s="19" t="e">
        <f t="shared" si="83"/>
        <v>#DIV/0!</v>
      </c>
      <c r="M419" s="325">
        <f t="shared" si="85"/>
        <v>0</v>
      </c>
      <c r="N419" s="112" t="e">
        <f t="shared" si="82"/>
        <v>#DIV/0!</v>
      </c>
      <c r="O419" s="112" t="e">
        <f t="shared" si="84"/>
        <v>#DIV/0!</v>
      </c>
      <c r="S419" s="312">
        <v>731657</v>
      </c>
      <c r="T419" s="478" t="s">
        <v>1447</v>
      </c>
    </row>
    <row r="420" spans="1:20" ht="15" customHeight="1" x14ac:dyDescent="0.2">
      <c r="A420" s="359" t="s">
        <v>1443</v>
      </c>
      <c r="B420" s="17"/>
      <c r="C420" s="360">
        <v>702556</v>
      </c>
      <c r="D420" s="480" t="s">
        <v>619</v>
      </c>
      <c r="E420" s="17"/>
      <c r="F420" s="17">
        <v>76053</v>
      </c>
      <c r="G420" s="159" t="s">
        <v>825</v>
      </c>
      <c r="H420" s="488" t="str">
        <f t="shared" si="80"/>
        <v>na</v>
      </c>
      <c r="I420" s="159">
        <f t="shared" si="81"/>
        <v>0</v>
      </c>
      <c r="J420" s="418" t="e">
        <f>+'Special Pricing'!$G$550</f>
        <v>#DIV/0!</v>
      </c>
      <c r="K420" s="325">
        <v>0.25</v>
      </c>
      <c r="L420" s="19" t="e">
        <f t="shared" si="83"/>
        <v>#DIV/0!</v>
      </c>
      <c r="M420" s="325">
        <f t="shared" si="85"/>
        <v>0</v>
      </c>
      <c r="N420" s="112" t="e">
        <f t="shared" si="82"/>
        <v>#DIV/0!</v>
      </c>
      <c r="O420" s="112" t="e">
        <f t="shared" si="84"/>
        <v>#DIV/0!</v>
      </c>
      <c r="S420" s="367">
        <v>731658</v>
      </c>
      <c r="T420" s="477" t="s">
        <v>1499</v>
      </c>
    </row>
    <row r="421" spans="1:20" ht="15" customHeight="1" x14ac:dyDescent="0.2">
      <c r="A421" s="359" t="s">
        <v>1443</v>
      </c>
      <c r="B421" s="17"/>
      <c r="C421" s="360">
        <v>702557</v>
      </c>
      <c r="D421" s="480" t="s">
        <v>619</v>
      </c>
      <c r="E421" s="17"/>
      <c r="F421" s="17">
        <v>76053</v>
      </c>
      <c r="G421" s="159" t="s">
        <v>825</v>
      </c>
      <c r="H421" s="488" t="str">
        <f t="shared" si="80"/>
        <v>na</v>
      </c>
      <c r="I421" s="159">
        <f t="shared" si="81"/>
        <v>0</v>
      </c>
      <c r="J421" s="418" t="e">
        <f>+'Special Pricing'!$G$550</f>
        <v>#DIV/0!</v>
      </c>
      <c r="K421" s="325">
        <v>0.25</v>
      </c>
      <c r="L421" s="19" t="e">
        <f t="shared" si="83"/>
        <v>#DIV/0!</v>
      </c>
      <c r="M421" s="325">
        <f t="shared" si="85"/>
        <v>0</v>
      </c>
      <c r="N421" s="112" t="e">
        <f t="shared" si="82"/>
        <v>#DIV/0!</v>
      </c>
      <c r="O421" s="112" t="e">
        <f t="shared" si="84"/>
        <v>#DIV/0!</v>
      </c>
      <c r="S421" s="312">
        <v>731680</v>
      </c>
      <c r="T421" s="478" t="s">
        <v>542</v>
      </c>
    </row>
    <row r="422" spans="1:20" ht="15" customHeight="1" x14ac:dyDescent="0.2">
      <c r="A422" s="359" t="s">
        <v>1443</v>
      </c>
      <c r="B422" s="17"/>
      <c r="C422" s="360">
        <v>702592</v>
      </c>
      <c r="D422" s="480" t="s">
        <v>619</v>
      </c>
      <c r="E422" s="17"/>
      <c r="F422" s="17">
        <v>76053</v>
      </c>
      <c r="G422" s="159" t="s">
        <v>825</v>
      </c>
      <c r="H422" s="488" t="str">
        <f t="shared" si="80"/>
        <v>na</v>
      </c>
      <c r="I422" s="159">
        <f t="shared" si="81"/>
        <v>0</v>
      </c>
      <c r="J422" s="418" t="e">
        <f>+'Special Pricing'!$G$550</f>
        <v>#DIV/0!</v>
      </c>
      <c r="K422" s="325">
        <v>0.25</v>
      </c>
      <c r="L422" s="19" t="e">
        <f t="shared" si="83"/>
        <v>#DIV/0!</v>
      </c>
      <c r="M422" s="325">
        <f t="shared" si="85"/>
        <v>0</v>
      </c>
      <c r="N422" s="112" t="e">
        <f t="shared" si="82"/>
        <v>#DIV/0!</v>
      </c>
      <c r="O422" s="112" t="e">
        <f t="shared" si="84"/>
        <v>#DIV/0!</v>
      </c>
      <c r="S422" s="367">
        <v>731681</v>
      </c>
      <c r="T422" s="477" t="s">
        <v>1499</v>
      </c>
    </row>
    <row r="423" spans="1:20" ht="15" customHeight="1" x14ac:dyDescent="0.2">
      <c r="A423" s="359" t="s">
        <v>1443</v>
      </c>
      <c r="B423" s="17"/>
      <c r="C423" s="360">
        <v>705511</v>
      </c>
      <c r="D423" s="480" t="s">
        <v>619</v>
      </c>
      <c r="E423" s="17"/>
      <c r="F423" s="17">
        <v>76053</v>
      </c>
      <c r="G423" s="159" t="s">
        <v>825</v>
      </c>
      <c r="H423" s="488" t="str">
        <f t="shared" si="80"/>
        <v>na</v>
      </c>
      <c r="I423" s="159">
        <f t="shared" si="81"/>
        <v>0</v>
      </c>
      <c r="J423" s="418" t="e">
        <f>+'Special Pricing'!$G$550</f>
        <v>#DIV/0!</v>
      </c>
      <c r="K423" s="325">
        <v>0.25</v>
      </c>
      <c r="L423" s="19" t="e">
        <f t="shared" si="83"/>
        <v>#DIV/0!</v>
      </c>
      <c r="M423" s="325">
        <f t="shared" si="85"/>
        <v>0</v>
      </c>
      <c r="N423" s="112" t="e">
        <f t="shared" si="82"/>
        <v>#DIV/0!</v>
      </c>
      <c r="O423" s="112" t="e">
        <f t="shared" si="84"/>
        <v>#DIV/0!</v>
      </c>
      <c r="S423" s="312">
        <v>731724</v>
      </c>
      <c r="T423" s="478" t="s">
        <v>463</v>
      </c>
    </row>
    <row r="424" spans="1:20" ht="15" customHeight="1" x14ac:dyDescent="0.2">
      <c r="A424" s="359" t="s">
        <v>1443</v>
      </c>
      <c r="B424" s="17"/>
      <c r="C424" s="360">
        <v>829051</v>
      </c>
      <c r="D424" s="480" t="s">
        <v>619</v>
      </c>
      <c r="E424" s="17"/>
      <c r="F424" s="17">
        <v>76053</v>
      </c>
      <c r="G424" s="159" t="s">
        <v>825</v>
      </c>
      <c r="H424" s="488" t="str">
        <f t="shared" ref="H424:H448" si="86">IF(ISNA(VLOOKUP(C424,gath9909,10,FALSE)),"na",VLOOKUP(C424,gath9909,10,FALSE))</f>
        <v>na</v>
      </c>
      <c r="I424" s="159">
        <f t="shared" ref="I424:I448" si="87">IF(ISNA(VLOOKUP(C424,gath9909,12,FALSE)),0,(VLOOKUP(C424,gath9909,12,FALSE)))</f>
        <v>0</v>
      </c>
      <c r="J424" s="418" t="e">
        <f>+'Special Pricing'!$G$550</f>
        <v>#DIV/0!</v>
      </c>
      <c r="K424" s="325">
        <v>0.25</v>
      </c>
      <c r="L424" s="19" t="e">
        <f t="shared" si="83"/>
        <v>#DIV/0!</v>
      </c>
      <c r="M424" s="325">
        <f t="shared" si="85"/>
        <v>0</v>
      </c>
      <c r="N424" s="112" t="e">
        <f t="shared" si="82"/>
        <v>#DIV/0!</v>
      </c>
      <c r="O424" s="112" t="e">
        <f t="shared" si="84"/>
        <v>#DIV/0!</v>
      </c>
      <c r="S424" s="367">
        <v>731726</v>
      </c>
      <c r="T424" s="477" t="s">
        <v>1686</v>
      </c>
    </row>
    <row r="425" spans="1:20" ht="15" customHeight="1" x14ac:dyDescent="0.2">
      <c r="A425" s="223" t="s">
        <v>1443</v>
      </c>
      <c r="B425" s="17">
        <v>113779</v>
      </c>
      <c r="C425" s="367">
        <v>713755</v>
      </c>
      <c r="D425" s="477" t="s">
        <v>5</v>
      </c>
      <c r="E425" s="320" t="s">
        <v>1601</v>
      </c>
      <c r="F425" s="16"/>
      <c r="G425" s="267" t="s">
        <v>1456</v>
      </c>
      <c r="H425" s="183" t="str">
        <f t="shared" si="86"/>
        <v>na</v>
      </c>
      <c r="I425" s="17">
        <f t="shared" si="87"/>
        <v>0</v>
      </c>
      <c r="J425" s="113">
        <f>+$J$3*0.95</f>
        <v>2.0329999999999999</v>
      </c>
      <c r="K425" s="325">
        <v>0.25</v>
      </c>
      <c r="L425" s="19">
        <f t="shared" si="83"/>
        <v>1.7829999999999999</v>
      </c>
      <c r="M425" s="325">
        <f t="shared" si="85"/>
        <v>0</v>
      </c>
      <c r="N425" s="112">
        <f t="shared" si="82"/>
        <v>0</v>
      </c>
      <c r="O425" s="112">
        <f t="shared" si="84"/>
        <v>0</v>
      </c>
      <c r="S425" s="367">
        <v>731758</v>
      </c>
      <c r="T425" s="477" t="s">
        <v>1499</v>
      </c>
    </row>
    <row r="426" spans="1:20" ht="15" customHeight="1" x14ac:dyDescent="0.2">
      <c r="A426" s="16" t="s">
        <v>1443</v>
      </c>
      <c r="B426" s="17">
        <v>109736</v>
      </c>
      <c r="C426" s="312">
        <v>719397</v>
      </c>
      <c r="D426" s="478" t="s">
        <v>536</v>
      </c>
      <c r="E426" s="17"/>
      <c r="F426" s="17">
        <v>77595</v>
      </c>
      <c r="G426" s="17" t="s">
        <v>467</v>
      </c>
      <c r="H426" s="183" t="str">
        <f t="shared" si="86"/>
        <v>na</v>
      </c>
      <c r="I426" s="17">
        <f t="shared" si="87"/>
        <v>0</v>
      </c>
      <c r="J426" s="113">
        <f>+$J$3*0.99</f>
        <v>2.1186000000000003</v>
      </c>
      <c r="K426" s="325">
        <v>0.25</v>
      </c>
      <c r="L426" s="19">
        <f t="shared" si="83"/>
        <v>1.8686000000000003</v>
      </c>
      <c r="M426" s="325">
        <f t="shared" si="85"/>
        <v>0</v>
      </c>
      <c r="N426" s="112">
        <f t="shared" si="82"/>
        <v>0</v>
      </c>
      <c r="O426" s="112">
        <f t="shared" si="84"/>
        <v>0</v>
      </c>
      <c r="S426" s="360">
        <v>731779</v>
      </c>
      <c r="T426" s="370" t="s">
        <v>811</v>
      </c>
    </row>
    <row r="427" spans="1:20" ht="15" customHeight="1" x14ac:dyDescent="0.2">
      <c r="A427" s="16" t="s">
        <v>1443</v>
      </c>
      <c r="B427" s="17">
        <v>113624</v>
      </c>
      <c r="C427" s="312">
        <v>722754</v>
      </c>
      <c r="D427" s="478" t="s">
        <v>536</v>
      </c>
      <c r="E427" s="17"/>
      <c r="F427" s="17">
        <v>77595</v>
      </c>
      <c r="G427" s="17" t="s">
        <v>467</v>
      </c>
      <c r="H427" s="183" t="str">
        <f t="shared" si="86"/>
        <v>na</v>
      </c>
      <c r="I427" s="17">
        <f t="shared" si="87"/>
        <v>0</v>
      </c>
      <c r="J427" s="113">
        <f>+$J$3*0.99</f>
        <v>2.1186000000000003</v>
      </c>
      <c r="K427" s="325">
        <v>0.25</v>
      </c>
      <c r="L427" s="19">
        <f t="shared" si="83"/>
        <v>1.8686000000000003</v>
      </c>
      <c r="M427" s="325">
        <f t="shared" si="85"/>
        <v>0</v>
      </c>
      <c r="N427" s="112">
        <f t="shared" si="82"/>
        <v>0</v>
      </c>
      <c r="O427" s="112">
        <f t="shared" si="84"/>
        <v>0</v>
      </c>
      <c r="S427" s="312">
        <v>731821</v>
      </c>
      <c r="T427" s="478" t="s">
        <v>526</v>
      </c>
    </row>
    <row r="428" spans="1:20" ht="15" customHeight="1" x14ac:dyDescent="0.2">
      <c r="A428" s="16" t="s">
        <v>1443</v>
      </c>
      <c r="B428" s="17">
        <v>113626</v>
      </c>
      <c r="C428" s="312">
        <v>729432</v>
      </c>
      <c r="D428" s="478" t="s">
        <v>536</v>
      </c>
      <c r="E428" s="17"/>
      <c r="F428" s="17">
        <v>77595</v>
      </c>
      <c r="G428" s="17" t="s">
        <v>467</v>
      </c>
      <c r="H428" s="183" t="str">
        <f t="shared" si="86"/>
        <v>na</v>
      </c>
      <c r="I428" s="17">
        <f t="shared" si="87"/>
        <v>0</v>
      </c>
      <c r="J428" s="113">
        <f>+$J$3*0.99</f>
        <v>2.1186000000000003</v>
      </c>
      <c r="K428" s="325">
        <v>0.25</v>
      </c>
      <c r="L428" s="19">
        <f t="shared" si="83"/>
        <v>1.8686000000000003</v>
      </c>
      <c r="M428" s="325">
        <f t="shared" si="85"/>
        <v>0</v>
      </c>
      <c r="N428" s="112">
        <f t="shared" si="82"/>
        <v>0</v>
      </c>
      <c r="O428" s="112">
        <f t="shared" si="84"/>
        <v>0</v>
      </c>
      <c r="S428" s="312">
        <v>731822</v>
      </c>
      <c r="T428" s="478" t="s">
        <v>526</v>
      </c>
    </row>
    <row r="429" spans="1:20" ht="15" customHeight="1" x14ac:dyDescent="0.2">
      <c r="A429" s="16" t="s">
        <v>1443</v>
      </c>
      <c r="B429" s="17"/>
      <c r="C429" s="312">
        <v>734583</v>
      </c>
      <c r="D429" s="422" t="s">
        <v>826</v>
      </c>
      <c r="E429" s="17"/>
      <c r="F429" s="17">
        <v>78624</v>
      </c>
      <c r="G429" s="17" t="s">
        <v>1424</v>
      </c>
      <c r="H429" s="183" t="str">
        <f t="shared" si="86"/>
        <v>na</v>
      </c>
      <c r="I429" s="17">
        <f t="shared" si="87"/>
        <v>0</v>
      </c>
      <c r="J429" s="354">
        <f>+$J$3</f>
        <v>2.14</v>
      </c>
      <c r="K429" s="325">
        <v>0.25</v>
      </c>
      <c r="L429" s="19">
        <f t="shared" si="83"/>
        <v>1.8900000000000001</v>
      </c>
      <c r="M429" s="325">
        <f t="shared" si="85"/>
        <v>0</v>
      </c>
      <c r="N429" s="112">
        <f t="shared" si="82"/>
        <v>0</v>
      </c>
      <c r="O429" s="112">
        <f t="shared" si="84"/>
        <v>0</v>
      </c>
      <c r="S429" s="312">
        <v>731823</v>
      </c>
      <c r="T429" s="478" t="s">
        <v>526</v>
      </c>
    </row>
    <row r="430" spans="1:20" ht="15" customHeight="1" x14ac:dyDescent="0.2">
      <c r="A430" s="16" t="s">
        <v>1444</v>
      </c>
      <c r="B430" s="17">
        <v>133422</v>
      </c>
      <c r="C430" s="312">
        <v>716991</v>
      </c>
      <c r="D430" s="552" t="s">
        <v>145</v>
      </c>
      <c r="E430" s="506" t="s">
        <v>144</v>
      </c>
      <c r="F430" s="17">
        <v>79572</v>
      </c>
      <c r="G430" s="267" t="s">
        <v>464</v>
      </c>
      <c r="H430" s="183" t="str">
        <f t="shared" si="86"/>
        <v>na</v>
      </c>
      <c r="I430" s="17">
        <f t="shared" si="87"/>
        <v>0</v>
      </c>
      <c r="J430" s="113">
        <f>+$J$3*0.985</f>
        <v>2.1078999999999999</v>
      </c>
      <c r="K430" s="325">
        <v>0.25</v>
      </c>
      <c r="L430" s="19">
        <f t="shared" si="83"/>
        <v>1.8578999999999999</v>
      </c>
      <c r="M430" s="325">
        <f t="shared" si="85"/>
        <v>0</v>
      </c>
      <c r="N430" s="112">
        <f t="shared" si="82"/>
        <v>0</v>
      </c>
      <c r="O430" s="112">
        <f t="shared" si="84"/>
        <v>0</v>
      </c>
      <c r="S430" s="312">
        <v>731824</v>
      </c>
      <c r="T430" s="478" t="s">
        <v>526</v>
      </c>
    </row>
    <row r="431" spans="1:20" ht="15" customHeight="1" x14ac:dyDescent="0.2">
      <c r="A431" s="16" t="s">
        <v>1444</v>
      </c>
      <c r="B431" s="17">
        <v>124605</v>
      </c>
      <c r="C431" s="312">
        <v>721340</v>
      </c>
      <c r="D431" s="552" t="s">
        <v>145</v>
      </c>
      <c r="E431" s="506" t="s">
        <v>144</v>
      </c>
      <c r="F431" s="17">
        <v>79572</v>
      </c>
      <c r="G431" s="267" t="s">
        <v>464</v>
      </c>
      <c r="H431" s="183" t="str">
        <f t="shared" si="86"/>
        <v>na</v>
      </c>
      <c r="I431" s="17">
        <f t="shared" si="87"/>
        <v>0</v>
      </c>
      <c r="J431" s="113">
        <f>+$J$3*0.985</f>
        <v>2.1078999999999999</v>
      </c>
      <c r="K431" s="325">
        <v>0.25</v>
      </c>
      <c r="L431" s="19">
        <f t="shared" si="83"/>
        <v>1.8578999999999999</v>
      </c>
      <c r="M431" s="325">
        <f t="shared" si="85"/>
        <v>0</v>
      </c>
      <c r="N431" s="112">
        <f t="shared" si="82"/>
        <v>0</v>
      </c>
      <c r="O431" s="112">
        <f t="shared" si="84"/>
        <v>0</v>
      </c>
      <c r="S431" s="312">
        <v>731825</v>
      </c>
      <c r="T431" s="478" t="s">
        <v>526</v>
      </c>
    </row>
    <row r="432" spans="1:20" ht="15" customHeight="1" x14ac:dyDescent="0.2">
      <c r="A432" s="16" t="s">
        <v>1443</v>
      </c>
      <c r="B432" s="17">
        <v>109808</v>
      </c>
      <c r="C432" s="312">
        <v>720488</v>
      </c>
      <c r="D432" s="544" t="s">
        <v>890</v>
      </c>
      <c r="E432" s="17"/>
      <c r="F432" s="17">
        <v>81782</v>
      </c>
      <c r="G432" s="17" t="s">
        <v>473</v>
      </c>
      <c r="H432" s="183" t="str">
        <f t="shared" si="86"/>
        <v>na</v>
      </c>
      <c r="I432" s="17">
        <f t="shared" si="87"/>
        <v>0</v>
      </c>
      <c r="J432" s="113">
        <f>+$J$3-0.08</f>
        <v>2.06</v>
      </c>
      <c r="K432" s="325">
        <v>0.25</v>
      </c>
      <c r="L432" s="19">
        <f t="shared" si="83"/>
        <v>1.81</v>
      </c>
      <c r="M432" s="325">
        <f t="shared" si="85"/>
        <v>0</v>
      </c>
      <c r="N432" s="112">
        <f t="shared" si="82"/>
        <v>0</v>
      </c>
      <c r="O432" s="112">
        <f t="shared" si="84"/>
        <v>0</v>
      </c>
      <c r="S432" s="368">
        <v>731828</v>
      </c>
      <c r="T432" s="477" t="s">
        <v>1906</v>
      </c>
    </row>
    <row r="433" spans="1:20" ht="15" customHeight="1" x14ac:dyDescent="0.2">
      <c r="A433" s="16" t="s">
        <v>1443</v>
      </c>
      <c r="B433" s="17"/>
      <c r="C433" s="312">
        <v>720491</v>
      </c>
      <c r="D433" s="544" t="s">
        <v>890</v>
      </c>
      <c r="E433" s="17"/>
      <c r="F433" s="17">
        <v>81782</v>
      </c>
      <c r="G433" s="17" t="s">
        <v>473</v>
      </c>
      <c r="H433" s="183" t="str">
        <f t="shared" si="86"/>
        <v>na</v>
      </c>
      <c r="I433" s="17">
        <f t="shared" si="87"/>
        <v>0</v>
      </c>
      <c r="J433" s="113">
        <f>+$J$3-0.08</f>
        <v>2.06</v>
      </c>
      <c r="K433" s="325">
        <v>0.25</v>
      </c>
      <c r="L433" s="19">
        <f t="shared" si="83"/>
        <v>1.81</v>
      </c>
      <c r="M433" s="325">
        <f t="shared" si="85"/>
        <v>0</v>
      </c>
      <c r="N433" s="112">
        <f t="shared" si="82"/>
        <v>0</v>
      </c>
      <c r="O433" s="112">
        <f t="shared" si="84"/>
        <v>0</v>
      </c>
      <c r="S433" s="367">
        <v>731850</v>
      </c>
      <c r="T433" s="477" t="s">
        <v>1696</v>
      </c>
    </row>
    <row r="434" spans="1:20" ht="15" customHeight="1" x14ac:dyDescent="0.2">
      <c r="A434" s="16" t="s">
        <v>1443</v>
      </c>
      <c r="B434" s="17">
        <v>113882</v>
      </c>
      <c r="C434" s="312">
        <v>723318</v>
      </c>
      <c r="D434" s="544" t="s">
        <v>890</v>
      </c>
      <c r="E434" s="17"/>
      <c r="F434" s="17">
        <v>81782</v>
      </c>
      <c r="G434" s="17" t="s">
        <v>473</v>
      </c>
      <c r="H434" s="183" t="str">
        <f t="shared" si="86"/>
        <v>na</v>
      </c>
      <c r="I434" s="17">
        <f t="shared" si="87"/>
        <v>0</v>
      </c>
      <c r="J434" s="113">
        <f>+$J$3-0.08</f>
        <v>2.06</v>
      </c>
      <c r="K434" s="325">
        <v>0.25</v>
      </c>
      <c r="L434" s="19">
        <f t="shared" si="83"/>
        <v>1.81</v>
      </c>
      <c r="M434" s="325">
        <f t="shared" si="85"/>
        <v>0</v>
      </c>
      <c r="N434" s="112">
        <f t="shared" si="82"/>
        <v>0</v>
      </c>
      <c r="O434" s="112">
        <f t="shared" si="84"/>
        <v>0</v>
      </c>
      <c r="S434" s="312">
        <v>731937</v>
      </c>
      <c r="T434" s="478" t="s">
        <v>526</v>
      </c>
    </row>
    <row r="435" spans="1:20" ht="15" customHeight="1" x14ac:dyDescent="0.2">
      <c r="A435" s="16" t="s">
        <v>1443</v>
      </c>
      <c r="B435" s="17">
        <v>113885</v>
      </c>
      <c r="C435" s="312">
        <v>712390</v>
      </c>
      <c r="D435" s="478" t="s">
        <v>442</v>
      </c>
      <c r="E435" s="17"/>
      <c r="F435" s="17">
        <v>82500</v>
      </c>
      <c r="G435" s="17" t="s">
        <v>540</v>
      </c>
      <c r="H435" s="183" t="str">
        <f t="shared" si="86"/>
        <v>na</v>
      </c>
      <c r="I435" s="17">
        <f t="shared" si="87"/>
        <v>0</v>
      </c>
      <c r="J435" s="113">
        <f>$J$3</f>
        <v>2.14</v>
      </c>
      <c r="K435" s="325">
        <v>0.25</v>
      </c>
      <c r="L435" s="19">
        <f t="shared" si="83"/>
        <v>1.8900000000000001</v>
      </c>
      <c r="M435" s="325">
        <f t="shared" si="85"/>
        <v>0</v>
      </c>
      <c r="N435" s="112">
        <f t="shared" si="82"/>
        <v>0</v>
      </c>
      <c r="O435" s="112">
        <f t="shared" si="84"/>
        <v>0</v>
      </c>
      <c r="S435" s="312">
        <v>731945</v>
      </c>
      <c r="T435" s="478" t="s">
        <v>484</v>
      </c>
    </row>
    <row r="436" spans="1:20" ht="15" customHeight="1" x14ac:dyDescent="0.2">
      <c r="A436" s="16" t="s">
        <v>1443</v>
      </c>
      <c r="B436" s="17">
        <v>119527</v>
      </c>
      <c r="C436" s="312">
        <v>712519</v>
      </c>
      <c r="D436" s="478" t="s">
        <v>442</v>
      </c>
      <c r="E436" s="17"/>
      <c r="F436" s="17">
        <v>82500</v>
      </c>
      <c r="G436" s="17" t="s">
        <v>540</v>
      </c>
      <c r="H436" s="183" t="str">
        <f t="shared" si="86"/>
        <v>na</v>
      </c>
      <c r="I436" s="17">
        <f t="shared" si="87"/>
        <v>0</v>
      </c>
      <c r="J436" s="113">
        <f>$J$3</f>
        <v>2.14</v>
      </c>
      <c r="K436" s="325">
        <v>0.25</v>
      </c>
      <c r="L436" s="19">
        <f t="shared" ref="L436:L448" si="88">+J436-K436</f>
        <v>1.8900000000000001</v>
      </c>
      <c r="M436" s="325">
        <f t="shared" si="85"/>
        <v>0</v>
      </c>
      <c r="N436" s="112">
        <f t="shared" si="82"/>
        <v>0</v>
      </c>
      <c r="O436" s="112">
        <f t="shared" si="84"/>
        <v>0</v>
      </c>
      <c r="S436" s="367">
        <v>732021</v>
      </c>
      <c r="T436" s="477" t="s">
        <v>1698</v>
      </c>
    </row>
    <row r="437" spans="1:20" ht="15" customHeight="1" x14ac:dyDescent="0.2">
      <c r="A437" s="16" t="s">
        <v>1443</v>
      </c>
      <c r="B437" s="17">
        <v>109831</v>
      </c>
      <c r="C437" s="312">
        <v>712766</v>
      </c>
      <c r="D437" s="769" t="s">
        <v>442</v>
      </c>
      <c r="E437" s="278"/>
      <c r="F437" s="278">
        <v>82500</v>
      </c>
      <c r="G437" s="278" t="s">
        <v>540</v>
      </c>
      <c r="H437" s="927" t="str">
        <f t="shared" si="86"/>
        <v>na</v>
      </c>
      <c r="I437" s="278">
        <f t="shared" si="87"/>
        <v>0</v>
      </c>
      <c r="J437" s="770">
        <f>$J$3</f>
        <v>2.14</v>
      </c>
      <c r="K437" s="325">
        <v>0.25</v>
      </c>
      <c r="L437" s="772">
        <f t="shared" si="88"/>
        <v>1.8900000000000001</v>
      </c>
      <c r="M437" s="771">
        <f t="shared" si="85"/>
        <v>0</v>
      </c>
      <c r="N437" s="773">
        <f t="shared" si="82"/>
        <v>0</v>
      </c>
      <c r="O437" s="773">
        <f t="shared" si="84"/>
        <v>0</v>
      </c>
      <c r="S437" s="312">
        <v>732031</v>
      </c>
      <c r="T437" s="478" t="s">
        <v>529</v>
      </c>
    </row>
    <row r="438" spans="1:20" ht="15" customHeight="1" x14ac:dyDescent="0.2">
      <c r="A438" s="223" t="s">
        <v>1443</v>
      </c>
      <c r="B438" s="17"/>
      <c r="C438" s="367">
        <v>717786</v>
      </c>
      <c r="D438" s="477" t="s">
        <v>1499</v>
      </c>
      <c r="E438" s="17"/>
      <c r="F438" s="16"/>
      <c r="G438" s="267" t="s">
        <v>1424</v>
      </c>
      <c r="H438" s="183" t="str">
        <f t="shared" si="86"/>
        <v>na</v>
      </c>
      <c r="I438" s="215">
        <f t="shared" si="87"/>
        <v>0</v>
      </c>
      <c r="J438" s="113">
        <f t="shared" ref="J438:J464" si="89">+$J$3</f>
        <v>2.14</v>
      </c>
      <c r="K438" s="325">
        <v>0.25</v>
      </c>
      <c r="L438" s="19">
        <f t="shared" si="88"/>
        <v>1.8900000000000001</v>
      </c>
      <c r="M438" s="325">
        <f t="shared" si="85"/>
        <v>0</v>
      </c>
      <c r="N438" s="112">
        <f t="shared" si="82"/>
        <v>0</v>
      </c>
      <c r="O438" s="112">
        <f t="shared" si="84"/>
        <v>0</v>
      </c>
      <c r="S438" s="312">
        <v>732037</v>
      </c>
      <c r="T438" s="478" t="s">
        <v>509</v>
      </c>
    </row>
    <row r="439" spans="1:20" ht="15" customHeight="1" x14ac:dyDescent="0.2">
      <c r="A439" s="223" t="s">
        <v>1443</v>
      </c>
      <c r="B439" s="17">
        <v>109748</v>
      </c>
      <c r="C439" s="367">
        <v>719206</v>
      </c>
      <c r="D439" s="477" t="s">
        <v>1499</v>
      </c>
      <c r="E439" s="17"/>
      <c r="F439" s="16"/>
      <c r="G439" s="267" t="s">
        <v>1424</v>
      </c>
      <c r="H439" s="183" t="str">
        <f t="shared" si="86"/>
        <v>na</v>
      </c>
      <c r="I439" s="17">
        <f t="shared" si="87"/>
        <v>0</v>
      </c>
      <c r="J439" s="113">
        <f t="shared" si="89"/>
        <v>2.14</v>
      </c>
      <c r="K439" s="325">
        <v>0.25</v>
      </c>
      <c r="L439" s="19">
        <f t="shared" si="88"/>
        <v>1.8900000000000001</v>
      </c>
      <c r="M439" s="325">
        <f t="shared" si="85"/>
        <v>0</v>
      </c>
      <c r="N439" s="112">
        <f t="shared" si="82"/>
        <v>0</v>
      </c>
      <c r="O439" s="112">
        <f t="shared" si="84"/>
        <v>0</v>
      </c>
      <c r="S439" s="312">
        <v>732209</v>
      </c>
      <c r="T439" s="478" t="s">
        <v>543</v>
      </c>
    </row>
    <row r="440" spans="1:20" ht="15" customHeight="1" x14ac:dyDescent="0.2">
      <c r="A440" s="223" t="s">
        <v>1443</v>
      </c>
      <c r="B440" s="17">
        <v>113802</v>
      </c>
      <c r="C440" s="367">
        <v>719228</v>
      </c>
      <c r="D440" s="477" t="s">
        <v>1499</v>
      </c>
      <c r="E440" s="17"/>
      <c r="F440" s="16"/>
      <c r="G440" s="267" t="s">
        <v>1424</v>
      </c>
      <c r="H440" s="183" t="str">
        <f t="shared" si="86"/>
        <v>na</v>
      </c>
      <c r="I440" s="17">
        <f t="shared" si="87"/>
        <v>0</v>
      </c>
      <c r="J440" s="113">
        <f t="shared" si="89"/>
        <v>2.14</v>
      </c>
      <c r="K440" s="325">
        <v>0.25</v>
      </c>
      <c r="L440" s="19">
        <f t="shared" si="88"/>
        <v>1.8900000000000001</v>
      </c>
      <c r="M440" s="325">
        <f t="shared" si="85"/>
        <v>0</v>
      </c>
      <c r="N440" s="112">
        <f t="shared" si="82"/>
        <v>0</v>
      </c>
      <c r="O440" s="112">
        <f t="shared" si="84"/>
        <v>0</v>
      </c>
      <c r="S440" s="312">
        <v>732211</v>
      </c>
      <c r="T440" s="478" t="s">
        <v>543</v>
      </c>
    </row>
    <row r="441" spans="1:20" ht="15" customHeight="1" x14ac:dyDescent="0.2">
      <c r="A441" s="223" t="s">
        <v>1443</v>
      </c>
      <c r="B441" s="17">
        <v>113802</v>
      </c>
      <c r="C441" s="367">
        <v>720074</v>
      </c>
      <c r="D441" s="477" t="s">
        <v>1499</v>
      </c>
      <c r="E441" s="17"/>
      <c r="F441" s="16"/>
      <c r="G441" s="267" t="s">
        <v>1424</v>
      </c>
      <c r="H441" s="183" t="str">
        <f t="shared" si="86"/>
        <v>na</v>
      </c>
      <c r="I441" s="215">
        <f t="shared" si="87"/>
        <v>0</v>
      </c>
      <c r="J441" s="113">
        <f t="shared" si="89"/>
        <v>2.14</v>
      </c>
      <c r="K441" s="325">
        <v>0.25</v>
      </c>
      <c r="L441" s="19">
        <f t="shared" si="88"/>
        <v>1.8900000000000001</v>
      </c>
      <c r="M441" s="325">
        <f t="shared" si="85"/>
        <v>0</v>
      </c>
      <c r="N441" s="112">
        <f t="shared" si="82"/>
        <v>0</v>
      </c>
      <c r="O441" s="112">
        <f t="shared" si="84"/>
        <v>0</v>
      </c>
      <c r="S441" s="367">
        <v>732214</v>
      </c>
      <c r="T441" s="477" t="s">
        <v>1717</v>
      </c>
    </row>
    <row r="442" spans="1:20" ht="15" customHeight="1" x14ac:dyDescent="0.2">
      <c r="A442" s="223" t="s">
        <v>1443</v>
      </c>
      <c r="B442" s="17">
        <v>113911</v>
      </c>
      <c r="C442" s="367">
        <v>720732</v>
      </c>
      <c r="D442" s="477" t="s">
        <v>1499</v>
      </c>
      <c r="E442" s="320" t="s">
        <v>1425</v>
      </c>
      <c r="F442" s="16"/>
      <c r="G442" s="267" t="s">
        <v>1424</v>
      </c>
      <c r="H442" s="183" t="str">
        <f t="shared" si="86"/>
        <v>na</v>
      </c>
      <c r="I442" s="215">
        <f t="shared" si="87"/>
        <v>0</v>
      </c>
      <c r="J442" s="113">
        <f t="shared" si="89"/>
        <v>2.14</v>
      </c>
      <c r="K442" s="325">
        <v>0.25</v>
      </c>
      <c r="L442" s="19">
        <f t="shared" si="88"/>
        <v>1.8900000000000001</v>
      </c>
      <c r="M442" s="325">
        <f t="shared" si="85"/>
        <v>0</v>
      </c>
      <c r="N442" s="112">
        <f t="shared" si="82"/>
        <v>0</v>
      </c>
      <c r="O442" s="112">
        <f t="shared" si="84"/>
        <v>0</v>
      </c>
      <c r="S442" s="367">
        <v>732263</v>
      </c>
      <c r="T442" s="477" t="s">
        <v>1700</v>
      </c>
    </row>
    <row r="443" spans="1:20" ht="15" customHeight="1" x14ac:dyDescent="0.2">
      <c r="A443" s="223" t="s">
        <v>1443</v>
      </c>
      <c r="B443" s="17">
        <v>109814</v>
      </c>
      <c r="C443" s="368">
        <v>720926</v>
      </c>
      <c r="D443" s="477" t="s">
        <v>1499</v>
      </c>
      <c r="E443" s="17"/>
      <c r="F443" s="16"/>
      <c r="G443" s="267" t="s">
        <v>1424</v>
      </c>
      <c r="H443" s="183" t="str">
        <f>IF(ISNA(VLOOKUP(C443,gath9909,10,FALSE)),"na",VLOOKUP(C443,gath9909,10,FALSE))</f>
        <v>na</v>
      </c>
      <c r="I443" s="215">
        <f>IF(ISNA(VLOOKUP(C443,gath9909,12,FALSE)),0,(VLOOKUP(C443,gath9909,12,FALSE)))</f>
        <v>0</v>
      </c>
      <c r="J443" s="113">
        <f t="shared" si="89"/>
        <v>2.14</v>
      </c>
      <c r="K443" s="325">
        <v>0.25</v>
      </c>
      <c r="L443" s="19">
        <f>+J443-K443</f>
        <v>1.8900000000000001</v>
      </c>
      <c r="M443" s="325">
        <f>IF(H443&gt;=0,I443*0.001,0)</f>
        <v>0</v>
      </c>
      <c r="N443" s="112">
        <f>+L443*I443</f>
        <v>0</v>
      </c>
      <c r="O443" s="112">
        <f>(+L443*I443)-M443</f>
        <v>0</v>
      </c>
      <c r="S443" s="367">
        <v>732277</v>
      </c>
      <c r="T443" s="477" t="s">
        <v>1499</v>
      </c>
    </row>
    <row r="444" spans="1:20" ht="15" customHeight="1" x14ac:dyDescent="0.2">
      <c r="A444" s="223" t="s">
        <v>1443</v>
      </c>
      <c r="B444" s="17">
        <v>109814</v>
      </c>
      <c r="C444" s="367">
        <v>721038</v>
      </c>
      <c r="D444" s="477" t="s">
        <v>1499</v>
      </c>
      <c r="E444" s="17"/>
      <c r="F444" s="16"/>
      <c r="G444" s="267" t="s">
        <v>1424</v>
      </c>
      <c r="H444" s="183" t="str">
        <f t="shared" si="86"/>
        <v>na</v>
      </c>
      <c r="I444" s="215">
        <f t="shared" si="87"/>
        <v>0</v>
      </c>
      <c r="J444" s="113">
        <f t="shared" si="89"/>
        <v>2.14</v>
      </c>
      <c r="K444" s="325">
        <v>0.25</v>
      </c>
      <c r="L444" s="19">
        <f t="shared" si="88"/>
        <v>1.8900000000000001</v>
      </c>
      <c r="M444" s="325">
        <f t="shared" si="85"/>
        <v>0</v>
      </c>
      <c r="N444" s="112">
        <f t="shared" si="82"/>
        <v>0</v>
      </c>
      <c r="O444" s="112">
        <f t="shared" si="84"/>
        <v>0</v>
      </c>
      <c r="S444" s="367">
        <v>732277</v>
      </c>
      <c r="T444" s="477" t="s">
        <v>1499</v>
      </c>
    </row>
    <row r="445" spans="1:20" ht="15" customHeight="1" x14ac:dyDescent="0.2">
      <c r="A445" s="223" t="s">
        <v>1443</v>
      </c>
      <c r="B445" s="17">
        <v>109814</v>
      </c>
      <c r="C445" s="367">
        <v>722031</v>
      </c>
      <c r="D445" s="477" t="s">
        <v>1499</v>
      </c>
      <c r="E445" s="17"/>
      <c r="F445" s="16"/>
      <c r="G445" s="267" t="s">
        <v>1424</v>
      </c>
      <c r="H445" s="183" t="str">
        <f>IF(ISNA(VLOOKUP(C445,gath9909,10,FALSE)),"na",VLOOKUP(C445,gath9909,10,FALSE))</f>
        <v>na</v>
      </c>
      <c r="I445" s="215">
        <f>IF(ISNA(VLOOKUP(C445,gath9909,12,FALSE)),0,(VLOOKUP(C445,gath9909,12,FALSE)))</f>
        <v>0</v>
      </c>
      <c r="J445" s="113">
        <f t="shared" si="89"/>
        <v>2.14</v>
      </c>
      <c r="K445" s="325">
        <v>0.25</v>
      </c>
      <c r="L445" s="19">
        <f>+J445-K445</f>
        <v>1.8900000000000001</v>
      </c>
      <c r="M445" s="325">
        <f>IF(H445&gt;=0,I445*0.001,0)</f>
        <v>0</v>
      </c>
      <c r="N445" s="112">
        <f>+L445*I445</f>
        <v>0</v>
      </c>
      <c r="O445" s="112">
        <f>(+L445*I445)-M445</f>
        <v>0</v>
      </c>
      <c r="S445" s="367">
        <v>732289</v>
      </c>
      <c r="T445" s="477" t="s">
        <v>1622</v>
      </c>
    </row>
    <row r="446" spans="1:20" ht="15" customHeight="1" x14ac:dyDescent="0.2">
      <c r="A446" s="223" t="s">
        <v>1443</v>
      </c>
      <c r="B446" s="17">
        <v>109814</v>
      </c>
      <c r="C446" s="367">
        <v>722126</v>
      </c>
      <c r="D446" s="477" t="s">
        <v>1499</v>
      </c>
      <c r="E446" s="17"/>
      <c r="F446" s="16"/>
      <c r="G446" s="267" t="s">
        <v>1424</v>
      </c>
      <c r="H446" s="183" t="str">
        <f>IF(ISNA(VLOOKUP(C446,gath9909,10,FALSE)),"na",VLOOKUP(C446,gath9909,10,FALSE))</f>
        <v>na</v>
      </c>
      <c r="I446" s="215">
        <f>IF(ISNA(VLOOKUP(C446,gath9909,12,FALSE)),0,(VLOOKUP(C446,gath9909,12,FALSE)))</f>
        <v>0</v>
      </c>
      <c r="J446" s="113">
        <f t="shared" si="89"/>
        <v>2.14</v>
      </c>
      <c r="K446" s="325">
        <v>0.25</v>
      </c>
      <c r="L446" s="19">
        <f>+J446-K446</f>
        <v>1.8900000000000001</v>
      </c>
      <c r="M446" s="325">
        <f>IF(H446&gt;=0,I446*0.001,0)</f>
        <v>0</v>
      </c>
      <c r="N446" s="112">
        <f>+L446*I446</f>
        <v>0</v>
      </c>
      <c r="O446" s="112">
        <f>(+L446*I446)-M446</f>
        <v>0</v>
      </c>
      <c r="S446" s="312">
        <v>732296</v>
      </c>
      <c r="T446" s="478" t="s">
        <v>490</v>
      </c>
    </row>
    <row r="447" spans="1:20" ht="15" customHeight="1" x14ac:dyDescent="0.2">
      <c r="A447" s="223" t="s">
        <v>1443</v>
      </c>
      <c r="B447" s="17">
        <v>109814</v>
      </c>
      <c r="C447" s="367">
        <v>722321</v>
      </c>
      <c r="D447" s="477" t="s">
        <v>1499</v>
      </c>
      <c r="E447" s="17"/>
      <c r="F447" s="16"/>
      <c r="G447" s="267" t="s">
        <v>1424</v>
      </c>
      <c r="H447" s="183" t="str">
        <f>IF(ISNA(VLOOKUP(C447,gath9909,10,FALSE)),"na",VLOOKUP(C447,gath9909,10,FALSE))</f>
        <v>na</v>
      </c>
      <c r="I447" s="215">
        <f>IF(ISNA(VLOOKUP(C447,gath9909,12,FALSE)),0,(VLOOKUP(C447,gath9909,12,FALSE)))</f>
        <v>0</v>
      </c>
      <c r="J447" s="113">
        <f t="shared" si="89"/>
        <v>2.14</v>
      </c>
      <c r="K447" s="325">
        <v>0.25</v>
      </c>
      <c r="L447" s="19">
        <f>+J447-K447</f>
        <v>1.8900000000000001</v>
      </c>
      <c r="M447" s="325">
        <f>IF(H447&gt;=0,I447*0.001,0)</f>
        <v>0</v>
      </c>
      <c r="N447" s="112">
        <f>+L447*I447</f>
        <v>0</v>
      </c>
      <c r="O447" s="112">
        <f>(+L447*I447)-M447</f>
        <v>0</v>
      </c>
      <c r="S447" s="312">
        <v>732296</v>
      </c>
      <c r="T447" s="478" t="s">
        <v>490</v>
      </c>
    </row>
    <row r="448" spans="1:20" ht="15" customHeight="1" x14ac:dyDescent="0.2">
      <c r="A448" s="223" t="s">
        <v>1443</v>
      </c>
      <c r="B448" s="17">
        <v>109736</v>
      </c>
      <c r="C448" s="367">
        <v>722433</v>
      </c>
      <c r="D448" s="477" t="s">
        <v>1499</v>
      </c>
      <c r="E448" s="320" t="s">
        <v>1425</v>
      </c>
      <c r="F448" s="16"/>
      <c r="G448" s="267" t="s">
        <v>1424</v>
      </c>
      <c r="H448" s="183" t="str">
        <f t="shared" si="86"/>
        <v>na</v>
      </c>
      <c r="I448" s="215">
        <f t="shared" si="87"/>
        <v>0</v>
      </c>
      <c r="J448" s="113">
        <f t="shared" si="89"/>
        <v>2.14</v>
      </c>
      <c r="K448" s="325">
        <v>0.25</v>
      </c>
      <c r="L448" s="19">
        <f t="shared" si="88"/>
        <v>1.8900000000000001</v>
      </c>
      <c r="M448" s="325">
        <f t="shared" si="85"/>
        <v>0</v>
      </c>
      <c r="N448" s="112">
        <f t="shared" si="82"/>
        <v>0</v>
      </c>
      <c r="O448" s="112">
        <f t="shared" si="84"/>
        <v>0</v>
      </c>
      <c r="S448" s="312">
        <v>732731</v>
      </c>
      <c r="T448" s="478" t="s">
        <v>471</v>
      </c>
    </row>
    <row r="449" spans="1:20" ht="15" customHeight="1" x14ac:dyDescent="0.2">
      <c r="A449" s="223" t="s">
        <v>1443</v>
      </c>
      <c r="B449" s="17"/>
      <c r="C449" s="367">
        <v>722645</v>
      </c>
      <c r="D449" s="477" t="s">
        <v>1499</v>
      </c>
      <c r="E449" s="17"/>
      <c r="F449" s="16"/>
      <c r="G449" s="267" t="s">
        <v>1424</v>
      </c>
      <c r="H449" s="183" t="str">
        <f t="shared" ref="H449:H470" si="90">IF(ISNA(VLOOKUP(C449,gath9909,10,FALSE)),"na",VLOOKUP(C449,gath9909,10,FALSE))</f>
        <v>na</v>
      </c>
      <c r="I449" s="17">
        <f t="shared" ref="I449:I470" si="91">IF(ISNA(VLOOKUP(C449,gath9909,12,FALSE)),0,(VLOOKUP(C449,gath9909,12,FALSE)))</f>
        <v>0</v>
      </c>
      <c r="J449" s="113">
        <f t="shared" si="89"/>
        <v>2.14</v>
      </c>
      <c r="K449" s="325">
        <v>0.25</v>
      </c>
      <c r="L449" s="19">
        <f t="shared" ref="L449:L500" si="92">+J449-K449</f>
        <v>1.8900000000000001</v>
      </c>
      <c r="M449" s="325">
        <f t="shared" si="85"/>
        <v>0</v>
      </c>
      <c r="N449" s="112">
        <f t="shared" ref="N449:N500" si="93">+L449*I449</f>
        <v>0</v>
      </c>
      <c r="O449" s="112">
        <f t="shared" ref="O449:O488" si="94">(+L449*I449)-M449</f>
        <v>0</v>
      </c>
      <c r="S449" s="367">
        <v>732986</v>
      </c>
      <c r="T449" s="477" t="s">
        <v>1517</v>
      </c>
    </row>
    <row r="450" spans="1:20" ht="15" customHeight="1" x14ac:dyDescent="0.2">
      <c r="A450" s="223" t="s">
        <v>1443</v>
      </c>
      <c r="B450" s="17">
        <v>109831</v>
      </c>
      <c r="C450" s="367">
        <v>722735</v>
      </c>
      <c r="D450" s="477" t="s">
        <v>1499</v>
      </c>
      <c r="E450" s="17"/>
      <c r="F450" s="16"/>
      <c r="G450" s="267" t="s">
        <v>1424</v>
      </c>
      <c r="H450" s="183" t="str">
        <f>IF(ISNA(VLOOKUP(C450,gath9909,10,FALSE)),"na",VLOOKUP(C450,gath9909,10,FALSE))</f>
        <v>na</v>
      </c>
      <c r="I450" s="215">
        <f>IF(ISNA(VLOOKUP(C450,gath9909,12,FALSE)),0,(VLOOKUP(C450,gath9909,12,FALSE)))</f>
        <v>0</v>
      </c>
      <c r="J450" s="113">
        <f t="shared" si="89"/>
        <v>2.14</v>
      </c>
      <c r="K450" s="325">
        <v>0.25</v>
      </c>
      <c r="L450" s="19">
        <f>+J450-K450</f>
        <v>1.8900000000000001</v>
      </c>
      <c r="M450" s="325">
        <f>IF(H450&gt;=0,I450*0.001,0)</f>
        <v>0</v>
      </c>
      <c r="N450" s="112">
        <f>+L450*I450</f>
        <v>0</v>
      </c>
      <c r="O450" s="112">
        <f>(+L450*I450)-M450</f>
        <v>0</v>
      </c>
      <c r="S450" s="367">
        <v>733013</v>
      </c>
      <c r="T450" s="477" t="s">
        <v>1517</v>
      </c>
    </row>
    <row r="451" spans="1:20" ht="15" customHeight="1" x14ac:dyDescent="0.2">
      <c r="A451" s="223" t="s">
        <v>1443</v>
      </c>
      <c r="B451" s="17">
        <v>124599</v>
      </c>
      <c r="C451" s="367">
        <v>722991</v>
      </c>
      <c r="D451" s="477" t="s">
        <v>1499</v>
      </c>
      <c r="E451" s="17"/>
      <c r="F451" s="16"/>
      <c r="G451" s="267" t="s">
        <v>1424</v>
      </c>
      <c r="H451" s="183" t="str">
        <f t="shared" si="90"/>
        <v>na</v>
      </c>
      <c r="I451" s="215">
        <f t="shared" si="91"/>
        <v>0</v>
      </c>
      <c r="J451" s="113">
        <f t="shared" si="89"/>
        <v>2.14</v>
      </c>
      <c r="K451" s="325">
        <v>0.25</v>
      </c>
      <c r="L451" s="19">
        <f t="shared" si="92"/>
        <v>1.8900000000000001</v>
      </c>
      <c r="M451" s="325">
        <f t="shared" ref="M451:M490" si="95">IF(H451&gt;=0,I451*0.001,0)</f>
        <v>0</v>
      </c>
      <c r="N451" s="112">
        <f t="shared" si="93"/>
        <v>0</v>
      </c>
      <c r="O451" s="112">
        <f t="shared" si="94"/>
        <v>0</v>
      </c>
      <c r="S451" s="367">
        <v>733021</v>
      </c>
      <c r="T451" s="477" t="s">
        <v>1426</v>
      </c>
    </row>
    <row r="452" spans="1:20" ht="15" customHeight="1" x14ac:dyDescent="0.2">
      <c r="A452" s="223" t="s">
        <v>1443</v>
      </c>
      <c r="B452" s="134"/>
      <c r="C452" s="367">
        <v>729827</v>
      </c>
      <c r="D452" s="477" t="s">
        <v>1499</v>
      </c>
      <c r="E452" s="17"/>
      <c r="F452" s="16"/>
      <c r="G452" s="267" t="s">
        <v>1424</v>
      </c>
      <c r="H452" s="183" t="str">
        <f t="shared" si="90"/>
        <v>na</v>
      </c>
      <c r="I452" s="215">
        <f t="shared" si="91"/>
        <v>0</v>
      </c>
      <c r="J452" s="113">
        <f t="shared" si="89"/>
        <v>2.14</v>
      </c>
      <c r="K452" s="325">
        <v>0.25</v>
      </c>
      <c r="L452" s="19">
        <f t="shared" si="92"/>
        <v>1.8900000000000001</v>
      </c>
      <c r="M452" s="325">
        <f t="shared" si="95"/>
        <v>0</v>
      </c>
      <c r="N452" s="112">
        <f t="shared" si="93"/>
        <v>0</v>
      </c>
      <c r="O452" s="112">
        <f t="shared" si="94"/>
        <v>0</v>
      </c>
      <c r="S452" s="367">
        <v>733208</v>
      </c>
      <c r="T452" s="477" t="s">
        <v>1694</v>
      </c>
    </row>
    <row r="453" spans="1:20" ht="15" customHeight="1" x14ac:dyDescent="0.2">
      <c r="A453" s="223" t="s">
        <v>1443</v>
      </c>
      <c r="B453" s="134"/>
      <c r="C453" s="367">
        <v>730359</v>
      </c>
      <c r="D453" s="477" t="s">
        <v>1499</v>
      </c>
      <c r="E453" s="17"/>
      <c r="F453" s="16"/>
      <c r="G453" s="267" t="s">
        <v>1424</v>
      </c>
      <c r="H453" s="183" t="str">
        <f t="shared" si="90"/>
        <v>na</v>
      </c>
      <c r="I453" s="215">
        <f t="shared" si="91"/>
        <v>0</v>
      </c>
      <c r="J453" s="113">
        <f t="shared" si="89"/>
        <v>2.14</v>
      </c>
      <c r="K453" s="325">
        <v>0.25</v>
      </c>
      <c r="L453" s="19">
        <f t="shared" si="92"/>
        <v>1.8900000000000001</v>
      </c>
      <c r="M453" s="325">
        <f t="shared" si="95"/>
        <v>0</v>
      </c>
      <c r="N453" s="112">
        <f t="shared" si="93"/>
        <v>0</v>
      </c>
      <c r="O453" s="112">
        <f t="shared" si="94"/>
        <v>0</v>
      </c>
      <c r="S453" s="367">
        <v>733255</v>
      </c>
      <c r="T453" s="477" t="s">
        <v>1622</v>
      </c>
    </row>
    <row r="454" spans="1:20" ht="15" customHeight="1" x14ac:dyDescent="0.2">
      <c r="A454" s="223" t="s">
        <v>1443</v>
      </c>
      <c r="B454" s="134"/>
      <c r="C454" s="367">
        <v>731570</v>
      </c>
      <c r="D454" s="477" t="s">
        <v>1499</v>
      </c>
      <c r="E454" s="17"/>
      <c r="F454" s="16"/>
      <c r="G454" s="267" t="s">
        <v>1424</v>
      </c>
      <c r="H454" s="183" t="str">
        <f t="shared" si="90"/>
        <v>na</v>
      </c>
      <c r="I454" s="17">
        <f t="shared" si="91"/>
        <v>0</v>
      </c>
      <c r="J454" s="113">
        <f t="shared" si="89"/>
        <v>2.14</v>
      </c>
      <c r="K454" s="325">
        <v>0.25</v>
      </c>
      <c r="L454" s="19">
        <f t="shared" si="92"/>
        <v>1.8900000000000001</v>
      </c>
      <c r="M454" s="325">
        <f t="shared" si="95"/>
        <v>0</v>
      </c>
      <c r="N454" s="112">
        <f t="shared" si="93"/>
        <v>0</v>
      </c>
      <c r="O454" s="112">
        <f t="shared" si="94"/>
        <v>0</v>
      </c>
      <c r="S454" s="367">
        <v>733372</v>
      </c>
      <c r="T454" s="477" t="s">
        <v>1426</v>
      </c>
    </row>
    <row r="455" spans="1:20" ht="15" customHeight="1" x14ac:dyDescent="0.2">
      <c r="A455" s="223" t="s">
        <v>1443</v>
      </c>
      <c r="B455" s="134"/>
      <c r="C455" s="367">
        <v>731658</v>
      </c>
      <c r="D455" s="477" t="s">
        <v>1499</v>
      </c>
      <c r="E455" s="17"/>
      <c r="F455" s="16"/>
      <c r="G455" s="267" t="s">
        <v>1424</v>
      </c>
      <c r="H455" s="183" t="str">
        <f t="shared" si="90"/>
        <v>na</v>
      </c>
      <c r="I455" s="215">
        <f t="shared" si="91"/>
        <v>0</v>
      </c>
      <c r="J455" s="113">
        <f t="shared" si="89"/>
        <v>2.14</v>
      </c>
      <c r="K455" s="325">
        <v>0.25</v>
      </c>
      <c r="L455" s="19">
        <f t="shared" si="92"/>
        <v>1.8900000000000001</v>
      </c>
      <c r="M455" s="325">
        <f t="shared" si="95"/>
        <v>0</v>
      </c>
      <c r="N455" s="112">
        <f t="shared" si="93"/>
        <v>0</v>
      </c>
      <c r="O455" s="112">
        <f t="shared" si="94"/>
        <v>0</v>
      </c>
      <c r="S455" s="367">
        <v>733417</v>
      </c>
      <c r="T455" s="477" t="s">
        <v>1702</v>
      </c>
    </row>
    <row r="456" spans="1:20" ht="15" customHeight="1" x14ac:dyDescent="0.2">
      <c r="A456" s="223" t="s">
        <v>1443</v>
      </c>
      <c r="B456" s="134"/>
      <c r="C456" s="367">
        <v>731681</v>
      </c>
      <c r="D456" s="477" t="s">
        <v>1499</v>
      </c>
      <c r="E456" s="17"/>
      <c r="F456" s="16"/>
      <c r="G456" s="267" t="s">
        <v>1424</v>
      </c>
      <c r="H456" s="183" t="str">
        <f>IF(ISNA(VLOOKUP(C456,gath9909,10,FALSE)),"na",VLOOKUP(C456,gath9909,10,FALSE))</f>
        <v>na</v>
      </c>
      <c r="I456" s="17">
        <f>IF(ISNA(VLOOKUP(C456,gath9909,12,FALSE)),0,(VLOOKUP(C456,gath9909,12,FALSE)))</f>
        <v>0</v>
      </c>
      <c r="J456" s="113">
        <f t="shared" si="89"/>
        <v>2.14</v>
      </c>
      <c r="K456" s="325">
        <v>0.25</v>
      </c>
      <c r="L456" s="19">
        <f>+J456-K456</f>
        <v>1.8900000000000001</v>
      </c>
      <c r="M456" s="325">
        <f>IF(H456&gt;=0,I456*0.001,0)</f>
        <v>0</v>
      </c>
      <c r="N456" s="112">
        <f>+L456*I456</f>
        <v>0</v>
      </c>
      <c r="O456" s="112">
        <f>(+L456*I456)-M456</f>
        <v>0</v>
      </c>
      <c r="S456" s="367">
        <v>733577</v>
      </c>
      <c r="T456" s="477" t="s">
        <v>1517</v>
      </c>
    </row>
    <row r="457" spans="1:20" ht="15" customHeight="1" x14ac:dyDescent="0.2">
      <c r="A457" s="223" t="s">
        <v>1443</v>
      </c>
      <c r="B457" s="134"/>
      <c r="C457" s="367">
        <v>731758</v>
      </c>
      <c r="D457" s="477" t="s">
        <v>1499</v>
      </c>
      <c r="E457" s="17"/>
      <c r="F457" s="16"/>
      <c r="G457" s="267" t="s">
        <v>1424</v>
      </c>
      <c r="H457" s="183" t="str">
        <f t="shared" si="90"/>
        <v>na</v>
      </c>
      <c r="I457" s="17">
        <f t="shared" si="91"/>
        <v>0</v>
      </c>
      <c r="J457" s="113">
        <f t="shared" si="89"/>
        <v>2.14</v>
      </c>
      <c r="K457" s="325">
        <v>0.25</v>
      </c>
      <c r="L457" s="19">
        <f t="shared" si="92"/>
        <v>1.8900000000000001</v>
      </c>
      <c r="M457" s="325">
        <f t="shared" si="95"/>
        <v>0</v>
      </c>
      <c r="N457" s="112">
        <f t="shared" si="93"/>
        <v>0</v>
      </c>
      <c r="O457" s="112">
        <f t="shared" si="94"/>
        <v>0</v>
      </c>
      <c r="S457" s="367">
        <v>733577</v>
      </c>
      <c r="T457" s="477" t="s">
        <v>1517</v>
      </c>
    </row>
    <row r="458" spans="1:20" ht="15" customHeight="1" x14ac:dyDescent="0.2">
      <c r="A458" s="223" t="s">
        <v>1443</v>
      </c>
      <c r="B458" s="134"/>
      <c r="C458" s="367">
        <v>732277</v>
      </c>
      <c r="D458" s="477" t="s">
        <v>1499</v>
      </c>
      <c r="E458" s="17"/>
      <c r="F458" s="16"/>
      <c r="G458" s="267" t="s">
        <v>1424</v>
      </c>
      <c r="H458" s="183" t="str">
        <f>IF(ISNA(VLOOKUP(C458,gath9909,10,FALSE)),"na",VLOOKUP(C458,gath9909,10,FALSE))</f>
        <v>na</v>
      </c>
      <c r="I458" s="17">
        <f>IF(ISNA(VLOOKUP(C458,gath9909,12,FALSE)),0,(VLOOKUP(C458,gath9909,12,FALSE)))</f>
        <v>0</v>
      </c>
      <c r="J458" s="113">
        <f t="shared" si="89"/>
        <v>2.14</v>
      </c>
      <c r="K458" s="325">
        <v>0.25</v>
      </c>
      <c r="L458" s="19">
        <f>+J458-K458</f>
        <v>1.8900000000000001</v>
      </c>
      <c r="M458" s="325">
        <f>IF(H458&gt;=0,I458*0.001,0)</f>
        <v>0</v>
      </c>
      <c r="N458" s="112">
        <f>+L458*I458</f>
        <v>0</v>
      </c>
      <c r="O458" s="112">
        <f>(+L458*I458)-M458</f>
        <v>0</v>
      </c>
      <c r="S458" s="367"/>
      <c r="T458" s="477"/>
    </row>
    <row r="459" spans="1:20" s="803" customFormat="1" ht="15" customHeight="1" x14ac:dyDescent="0.2">
      <c r="A459" s="795" t="s">
        <v>1443</v>
      </c>
      <c r="B459" s="176">
        <v>122840</v>
      </c>
      <c r="C459" s="640">
        <v>734986</v>
      </c>
      <c r="D459" s="796" t="s">
        <v>1499</v>
      </c>
      <c r="E459" s="797" t="s">
        <v>1425</v>
      </c>
      <c r="F459" s="798">
        <v>12180</v>
      </c>
      <c r="G459" s="176" t="s">
        <v>1424</v>
      </c>
      <c r="H459" s="928" t="str">
        <f>IF(ISNA(VLOOKUP(C459,gath9909,10,FALSE)),"na",VLOOKUP(C459,gath9909,10,FALSE))</f>
        <v>na</v>
      </c>
      <c r="I459" s="176">
        <f>IF(ISNA(VLOOKUP(C459,gath9909,12,FALSE)),0,(VLOOKUP(C459,gath9909,12,FALSE)))</f>
        <v>0</v>
      </c>
      <c r="J459" s="642">
        <f t="shared" si="89"/>
        <v>2.14</v>
      </c>
      <c r="K459" s="325">
        <v>0.25</v>
      </c>
      <c r="L459" s="800">
        <f>+J459-K459</f>
        <v>1.8900000000000001</v>
      </c>
      <c r="M459" s="799">
        <f>IF(H459&gt;=0,I459*0.001,0)</f>
        <v>0</v>
      </c>
      <c r="N459" s="801">
        <f>+L459*I459</f>
        <v>0</v>
      </c>
      <c r="O459" s="801">
        <f>(+L459*I459)-M459</f>
        <v>0</v>
      </c>
      <c r="P459" s="802" t="s">
        <v>479</v>
      </c>
      <c r="Q459" s="804" t="s">
        <v>1461</v>
      </c>
      <c r="S459" s="640">
        <v>707894</v>
      </c>
      <c r="T459" s="641" t="s">
        <v>813</v>
      </c>
    </row>
    <row r="460" spans="1:20" ht="15" customHeight="1" x14ac:dyDescent="0.2">
      <c r="A460" s="223" t="s">
        <v>1443</v>
      </c>
      <c r="B460" s="134"/>
      <c r="C460" s="367">
        <v>736098</v>
      </c>
      <c r="D460" s="477" t="s">
        <v>1499</v>
      </c>
      <c r="E460" s="17"/>
      <c r="F460" s="16"/>
      <c r="G460" s="267" t="s">
        <v>1424</v>
      </c>
      <c r="H460" s="183" t="str">
        <f>IF(ISNA(VLOOKUP(C460,gath9909,10,FALSE)),"na",VLOOKUP(C460,gath9909,10,FALSE))</f>
        <v>na</v>
      </c>
      <c r="I460" s="17">
        <f>IF(ISNA(VLOOKUP(C460,gath9909,12,FALSE)),0,(VLOOKUP(C460,gath9909,12,FALSE)))</f>
        <v>0</v>
      </c>
      <c r="J460" s="113">
        <f t="shared" si="89"/>
        <v>2.14</v>
      </c>
      <c r="K460" s="325">
        <v>0.25</v>
      </c>
      <c r="L460" s="19">
        <f>+J460-K460</f>
        <v>1.8900000000000001</v>
      </c>
      <c r="M460" s="325">
        <f>IF(H460&gt;=0,I460*0.001,0)</f>
        <v>0</v>
      </c>
      <c r="N460" s="112">
        <f>+L460*I460</f>
        <v>0</v>
      </c>
      <c r="O460" s="112">
        <f>(+L460*I460)-M460</f>
        <v>0</v>
      </c>
      <c r="S460" s="367">
        <v>733615</v>
      </c>
      <c r="T460" s="477" t="s">
        <v>1622</v>
      </c>
    </row>
    <row r="461" spans="1:20" ht="15" customHeight="1" x14ac:dyDescent="0.2">
      <c r="A461" s="223" t="s">
        <v>1443</v>
      </c>
      <c r="B461" s="134"/>
      <c r="C461" s="367">
        <v>736112</v>
      </c>
      <c r="D461" s="477" t="s">
        <v>1499</v>
      </c>
      <c r="E461" s="17"/>
      <c r="F461" s="16"/>
      <c r="G461" s="267" t="s">
        <v>1424</v>
      </c>
      <c r="H461" s="183" t="str">
        <f t="shared" si="90"/>
        <v>na</v>
      </c>
      <c r="I461" s="215">
        <f t="shared" si="91"/>
        <v>0</v>
      </c>
      <c r="J461" s="113">
        <f t="shared" si="89"/>
        <v>2.14</v>
      </c>
      <c r="K461" s="325">
        <v>0.25</v>
      </c>
      <c r="L461" s="19">
        <f t="shared" si="92"/>
        <v>1.8900000000000001</v>
      </c>
      <c r="M461" s="325">
        <f t="shared" si="95"/>
        <v>0</v>
      </c>
      <c r="N461" s="112">
        <f t="shared" si="93"/>
        <v>0</v>
      </c>
      <c r="O461" s="112">
        <f t="shared" si="94"/>
        <v>0</v>
      </c>
      <c r="S461" s="367">
        <v>733615</v>
      </c>
      <c r="T461" s="477" t="s">
        <v>1622</v>
      </c>
    </row>
    <row r="462" spans="1:20" ht="15" customHeight="1" x14ac:dyDescent="0.2">
      <c r="A462" s="223" t="s">
        <v>1443</v>
      </c>
      <c r="B462" s="134"/>
      <c r="C462" s="368">
        <v>736135</v>
      </c>
      <c r="D462" s="477" t="s">
        <v>1499</v>
      </c>
      <c r="E462" s="17"/>
      <c r="F462" s="16"/>
      <c r="G462" s="267" t="s">
        <v>1424</v>
      </c>
      <c r="H462" s="183" t="str">
        <f>IF(ISNA(VLOOKUP(C462,gath9909,10,FALSE)),"na",VLOOKUP(C462,gath9909,10,FALSE))</f>
        <v>na</v>
      </c>
      <c r="I462" s="215">
        <f>IF(ISNA(VLOOKUP(C462,gath9909,12,FALSE)),0,(VLOOKUP(C462,gath9909,12,FALSE)))</f>
        <v>0</v>
      </c>
      <c r="J462" s="113">
        <f t="shared" si="89"/>
        <v>2.14</v>
      </c>
      <c r="K462" s="325">
        <v>0.25</v>
      </c>
      <c r="L462" s="19">
        <f>+J462-K462</f>
        <v>1.8900000000000001</v>
      </c>
      <c r="M462" s="325">
        <f>IF(H462&gt;=0,I462*0.001,0)</f>
        <v>0</v>
      </c>
      <c r="N462" s="112">
        <f>+L462*I462</f>
        <v>0</v>
      </c>
      <c r="O462" s="112">
        <f>(+L462*I462)-M462</f>
        <v>0</v>
      </c>
      <c r="S462" s="367">
        <v>733615</v>
      </c>
      <c r="T462" s="477" t="s">
        <v>1622</v>
      </c>
    </row>
    <row r="463" spans="1:20" ht="15" customHeight="1" x14ac:dyDescent="0.2">
      <c r="A463" s="223" t="s">
        <v>1443</v>
      </c>
      <c r="B463" s="134"/>
      <c r="C463" s="368">
        <v>736136</v>
      </c>
      <c r="D463" s="477" t="s">
        <v>1499</v>
      </c>
      <c r="E463" s="17"/>
      <c r="F463" s="16"/>
      <c r="G463" s="267" t="s">
        <v>1424</v>
      </c>
      <c r="H463" s="183" t="str">
        <f>IF(ISNA(VLOOKUP(C463,gath9909,10,FALSE)),"na",VLOOKUP(C463,gath9909,10,FALSE))</f>
        <v>na</v>
      </c>
      <c r="I463" s="215">
        <f>IF(ISNA(VLOOKUP(C463,gath9909,12,FALSE)),0,(VLOOKUP(C463,gath9909,12,FALSE)))</f>
        <v>0</v>
      </c>
      <c r="J463" s="113">
        <f t="shared" si="89"/>
        <v>2.14</v>
      </c>
      <c r="K463" s="325">
        <v>0.25</v>
      </c>
      <c r="L463" s="19">
        <f>+J463-K463</f>
        <v>1.8900000000000001</v>
      </c>
      <c r="M463" s="325">
        <f>IF(H463&gt;=0,I463*0.001,0)</f>
        <v>0</v>
      </c>
      <c r="N463" s="112">
        <f>+L463*I463</f>
        <v>0</v>
      </c>
      <c r="O463" s="112">
        <f>(+L463*I463)-M463</f>
        <v>0</v>
      </c>
      <c r="S463" s="367">
        <v>733615</v>
      </c>
      <c r="T463" s="477" t="s">
        <v>1622</v>
      </c>
    </row>
    <row r="464" spans="1:20" ht="15" customHeight="1" x14ac:dyDescent="0.2">
      <c r="A464" s="223" t="s">
        <v>1443</v>
      </c>
      <c r="B464" s="17"/>
      <c r="C464" s="367">
        <v>722990</v>
      </c>
      <c r="D464" s="477" t="s">
        <v>942</v>
      </c>
      <c r="E464" s="481" t="s">
        <v>941</v>
      </c>
      <c r="F464" s="505"/>
      <c r="G464" s="267" t="s">
        <v>1424</v>
      </c>
      <c r="H464" s="183" t="str">
        <f>IF(ISNA(VLOOKUP(C464,gath9909,10,FALSE)),"na",VLOOKUP(C464,gath9909,10,FALSE))</f>
        <v>na</v>
      </c>
      <c r="I464" s="278">
        <f>IF(ISNA(VLOOKUP(C464,gath9909,12,FALSE)),0,(VLOOKUP(C464,gath9909,12,FALSE)))</f>
        <v>0</v>
      </c>
      <c r="J464" s="113">
        <f t="shared" si="89"/>
        <v>2.14</v>
      </c>
      <c r="K464" s="325">
        <v>0.25</v>
      </c>
      <c r="L464" s="19">
        <f>+J464-K464</f>
        <v>1.8900000000000001</v>
      </c>
      <c r="M464" s="325">
        <f t="shared" si="95"/>
        <v>0</v>
      </c>
      <c r="N464" s="112">
        <f>+L464*I464</f>
        <v>0</v>
      </c>
      <c r="O464" s="112">
        <f>(+L464*I464)-M464</f>
        <v>0</v>
      </c>
      <c r="S464" s="367">
        <v>733019</v>
      </c>
      <c r="T464" s="477" t="s">
        <v>1503</v>
      </c>
    </row>
    <row r="465" spans="1:20" ht="15" customHeight="1" x14ac:dyDescent="0.2">
      <c r="A465" s="16" t="s">
        <v>1443</v>
      </c>
      <c r="B465" s="17">
        <v>124599</v>
      </c>
      <c r="C465" s="312">
        <v>712018</v>
      </c>
      <c r="D465" s="478" t="s">
        <v>541</v>
      </c>
      <c r="E465" s="17"/>
      <c r="F465" s="17">
        <v>64934</v>
      </c>
      <c r="G465" s="17" t="s">
        <v>273</v>
      </c>
      <c r="H465" s="183" t="str">
        <f t="shared" si="90"/>
        <v>na</v>
      </c>
      <c r="I465" s="17">
        <f t="shared" si="91"/>
        <v>0</v>
      </c>
      <c r="J465" s="113">
        <f>+$J$2*0.95</f>
        <v>2.0044999999999997</v>
      </c>
      <c r="K465" s="325">
        <v>0.25</v>
      </c>
      <c r="L465" s="19">
        <f t="shared" si="92"/>
        <v>1.7544999999999997</v>
      </c>
      <c r="M465" s="325">
        <f t="shared" si="95"/>
        <v>0</v>
      </c>
      <c r="N465" s="112">
        <f t="shared" si="93"/>
        <v>0</v>
      </c>
      <c r="O465" s="112">
        <f t="shared" si="94"/>
        <v>0</v>
      </c>
      <c r="S465" s="312">
        <v>733694</v>
      </c>
      <c r="T465" s="478" t="s">
        <v>355</v>
      </c>
    </row>
    <row r="466" spans="1:20" ht="15" customHeight="1" x14ac:dyDescent="0.2">
      <c r="A466" s="16" t="s">
        <v>1443</v>
      </c>
      <c r="B466" s="17">
        <v>124597</v>
      </c>
      <c r="C466" s="312">
        <v>720164</v>
      </c>
      <c r="D466" s="478" t="s">
        <v>541</v>
      </c>
      <c r="E466" s="17"/>
      <c r="F466" s="17">
        <v>64934</v>
      </c>
      <c r="G466" s="17" t="s">
        <v>273</v>
      </c>
      <c r="H466" s="183" t="str">
        <f t="shared" si="90"/>
        <v>na</v>
      </c>
      <c r="I466" s="17">
        <f t="shared" si="91"/>
        <v>0</v>
      </c>
      <c r="J466" s="113">
        <f>+$J$2*0.95</f>
        <v>2.0044999999999997</v>
      </c>
      <c r="K466" s="325">
        <v>0.25</v>
      </c>
      <c r="L466" s="19">
        <f t="shared" si="92"/>
        <v>1.7544999999999997</v>
      </c>
      <c r="M466" s="325">
        <f t="shared" si="95"/>
        <v>0</v>
      </c>
      <c r="N466" s="112">
        <f t="shared" si="93"/>
        <v>0</v>
      </c>
      <c r="O466" s="112">
        <f t="shared" si="94"/>
        <v>0</v>
      </c>
      <c r="S466" s="367">
        <v>733714</v>
      </c>
      <c r="T466" s="477" t="s">
        <v>1686</v>
      </c>
    </row>
    <row r="467" spans="1:20" ht="15" customHeight="1" x14ac:dyDescent="0.2">
      <c r="A467" s="223" t="s">
        <v>1444</v>
      </c>
      <c r="B467" s="17">
        <v>110375</v>
      </c>
      <c r="C467" s="367">
        <v>705822</v>
      </c>
      <c r="D467" s="477" t="s">
        <v>1550</v>
      </c>
      <c r="E467" s="17"/>
      <c r="F467" s="16"/>
      <c r="G467" s="267" t="s">
        <v>1456</v>
      </c>
      <c r="H467" s="183">
        <f t="shared" si="90"/>
        <v>194</v>
      </c>
      <c r="I467" s="17">
        <f t="shared" si="91"/>
        <v>197</v>
      </c>
      <c r="J467" s="113">
        <f>+$J$3*0.95</f>
        <v>2.0329999999999999</v>
      </c>
      <c r="K467" s="325">
        <v>0.25</v>
      </c>
      <c r="L467" s="19">
        <f t="shared" si="92"/>
        <v>1.7829999999999999</v>
      </c>
      <c r="M467" s="325">
        <f t="shared" si="95"/>
        <v>0.19700000000000001</v>
      </c>
      <c r="N467" s="112">
        <f t="shared" si="93"/>
        <v>351.25099999999998</v>
      </c>
      <c r="O467" s="112">
        <f t="shared" si="94"/>
        <v>351.05399999999997</v>
      </c>
      <c r="S467" s="367">
        <v>733719</v>
      </c>
      <c r="T467" s="477" t="s">
        <v>1703</v>
      </c>
    </row>
    <row r="468" spans="1:20" ht="15" customHeight="1" x14ac:dyDescent="0.2">
      <c r="A468" s="223" t="s">
        <v>1443</v>
      </c>
      <c r="B468" s="17">
        <v>113796</v>
      </c>
      <c r="C468" s="367">
        <v>722214</v>
      </c>
      <c r="D468" s="482" t="s">
        <v>1665</v>
      </c>
      <c r="E468" s="17"/>
      <c r="F468" s="16"/>
      <c r="G468" s="267" t="s">
        <v>1427</v>
      </c>
      <c r="H468" s="183" t="str">
        <f t="shared" si="90"/>
        <v>na</v>
      </c>
      <c r="I468" s="17">
        <f t="shared" si="91"/>
        <v>0</v>
      </c>
      <c r="J468" s="113">
        <f>+$J$3*0.98</f>
        <v>2.0972</v>
      </c>
      <c r="K468" s="325">
        <v>0.25</v>
      </c>
      <c r="L468" s="19">
        <f t="shared" si="92"/>
        <v>1.8472</v>
      </c>
      <c r="M468" s="325">
        <f t="shared" si="95"/>
        <v>0</v>
      </c>
      <c r="N468" s="112">
        <f t="shared" si="93"/>
        <v>0</v>
      </c>
      <c r="O468" s="112">
        <f t="shared" si="94"/>
        <v>0</v>
      </c>
      <c r="S468" s="367">
        <v>733817</v>
      </c>
      <c r="T468" s="477" t="s">
        <v>1704</v>
      </c>
    </row>
    <row r="469" spans="1:20" ht="15" customHeight="1" x14ac:dyDescent="0.2">
      <c r="A469" s="359" t="s">
        <v>1443</v>
      </c>
      <c r="B469" s="17"/>
      <c r="C469" s="360">
        <v>720942</v>
      </c>
      <c r="D469" s="370" t="s">
        <v>811</v>
      </c>
      <c r="E469" s="17"/>
      <c r="F469" s="17">
        <v>89903</v>
      </c>
      <c r="G469" s="536" t="s">
        <v>497</v>
      </c>
      <c r="H469" s="488" t="str">
        <f t="shared" si="90"/>
        <v>na</v>
      </c>
      <c r="I469" s="267">
        <f t="shared" si="91"/>
        <v>0</v>
      </c>
      <c r="J469" s="423" t="e">
        <f>+'Special Pricing'!$G$577</f>
        <v>#DIV/0!</v>
      </c>
      <c r="K469" s="325">
        <v>0.25</v>
      </c>
      <c r="L469" s="19" t="e">
        <f t="shared" si="92"/>
        <v>#DIV/0!</v>
      </c>
      <c r="M469" s="325">
        <f t="shared" si="95"/>
        <v>0</v>
      </c>
      <c r="N469" s="112" t="e">
        <f t="shared" si="93"/>
        <v>#DIV/0!</v>
      </c>
      <c r="O469" s="112" t="e">
        <f t="shared" si="94"/>
        <v>#DIV/0!</v>
      </c>
      <c r="S469" s="367">
        <v>733839</v>
      </c>
      <c r="T469" s="477" t="s">
        <v>1610</v>
      </c>
    </row>
    <row r="470" spans="1:20" ht="15" customHeight="1" x14ac:dyDescent="0.2">
      <c r="A470" s="359" t="s">
        <v>1443</v>
      </c>
      <c r="B470" s="17"/>
      <c r="C470" s="360">
        <v>722123</v>
      </c>
      <c r="D470" s="370" t="s">
        <v>811</v>
      </c>
      <c r="E470" s="17"/>
      <c r="F470" s="17">
        <v>89903</v>
      </c>
      <c r="G470" s="536" t="s">
        <v>497</v>
      </c>
      <c r="H470" s="488" t="str">
        <f t="shared" si="90"/>
        <v>na</v>
      </c>
      <c r="I470" s="267">
        <f t="shared" si="91"/>
        <v>0</v>
      </c>
      <c r="J470" s="423" t="e">
        <f>+'Special Pricing'!$G$577</f>
        <v>#DIV/0!</v>
      </c>
      <c r="K470" s="325">
        <v>0.25</v>
      </c>
      <c r="L470" s="19" t="e">
        <f t="shared" si="92"/>
        <v>#DIV/0!</v>
      </c>
      <c r="M470" s="325">
        <f t="shared" si="95"/>
        <v>0</v>
      </c>
      <c r="N470" s="112" t="e">
        <f t="shared" si="93"/>
        <v>#DIV/0!</v>
      </c>
      <c r="O470" s="112" t="e">
        <f t="shared" si="94"/>
        <v>#DIV/0!</v>
      </c>
      <c r="S470" s="312">
        <v>733864</v>
      </c>
      <c r="T470" s="478" t="s">
        <v>509</v>
      </c>
    </row>
    <row r="471" spans="1:20" ht="15" customHeight="1" x14ac:dyDescent="0.2">
      <c r="A471" s="359" t="s">
        <v>1443</v>
      </c>
      <c r="B471" s="17"/>
      <c r="C471" s="360">
        <v>722480</v>
      </c>
      <c r="D471" s="370" t="s">
        <v>811</v>
      </c>
      <c r="E471" s="328" t="s">
        <v>828</v>
      </c>
      <c r="F471" s="17">
        <v>89903</v>
      </c>
      <c r="G471" s="536" t="s">
        <v>497</v>
      </c>
      <c r="H471" s="488" t="str">
        <f>IF(ISNA(VLOOKUP(C471,gath9909,10,FALSE)),"na",VLOOKUP(C471,gath9909,10,FALSE))</f>
        <v>na</v>
      </c>
      <c r="I471" s="159">
        <f>IF(ISNA(VLOOKUP(C471,gath9909,12,FALSE)),0,(VLOOKUP(C471,gath9909,12,FALSE)))</f>
        <v>0</v>
      </c>
      <c r="J471" s="423" t="e">
        <f>+'Special Pricing'!$G$577</f>
        <v>#DIV/0!</v>
      </c>
      <c r="K471" s="325">
        <v>0.25</v>
      </c>
      <c r="L471" s="19" t="e">
        <f t="shared" si="92"/>
        <v>#DIV/0!</v>
      </c>
      <c r="M471" s="325">
        <f t="shared" si="95"/>
        <v>0</v>
      </c>
      <c r="N471" s="112" t="e">
        <f t="shared" si="93"/>
        <v>#DIV/0!</v>
      </c>
      <c r="O471" s="112" t="e">
        <f t="shared" si="94"/>
        <v>#DIV/0!</v>
      </c>
      <c r="S471" s="367">
        <v>733875</v>
      </c>
      <c r="T471" s="477" t="s">
        <v>1659</v>
      </c>
    </row>
    <row r="472" spans="1:20" ht="15" customHeight="1" x14ac:dyDescent="0.2">
      <c r="A472" s="359" t="s">
        <v>1443</v>
      </c>
      <c r="B472" s="17"/>
      <c r="C472" s="360">
        <v>722481</v>
      </c>
      <c r="D472" s="370" t="s">
        <v>811</v>
      </c>
      <c r="E472" s="17"/>
      <c r="F472" s="17">
        <v>89903</v>
      </c>
      <c r="G472" s="536" t="s">
        <v>497</v>
      </c>
      <c r="H472" s="488" t="str">
        <f t="shared" ref="H472:H500" si="96">IF(ISNA(VLOOKUP(C472,gath9909,10,FALSE)),"na",VLOOKUP(C472,gath9909,10,FALSE))</f>
        <v>na</v>
      </c>
      <c r="I472" s="267">
        <f t="shared" ref="I472:I500" si="97">IF(ISNA(VLOOKUP(C472,gath9909,12,FALSE)),0,(VLOOKUP(C472,gath9909,12,FALSE)))</f>
        <v>0</v>
      </c>
      <c r="J472" s="423" t="e">
        <f>+'Special Pricing'!$G$577</f>
        <v>#DIV/0!</v>
      </c>
      <c r="K472" s="325">
        <v>0.25</v>
      </c>
      <c r="L472" s="19" t="e">
        <f t="shared" si="92"/>
        <v>#DIV/0!</v>
      </c>
      <c r="M472" s="325">
        <f t="shared" si="95"/>
        <v>0</v>
      </c>
      <c r="N472" s="112" t="e">
        <f t="shared" si="93"/>
        <v>#DIV/0!</v>
      </c>
      <c r="O472" s="112" t="e">
        <f t="shared" si="94"/>
        <v>#DIV/0!</v>
      </c>
      <c r="S472" s="312">
        <v>733946</v>
      </c>
      <c r="T472" s="478" t="s">
        <v>519</v>
      </c>
    </row>
    <row r="473" spans="1:20" ht="15" customHeight="1" x14ac:dyDescent="0.2">
      <c r="A473" s="359" t="s">
        <v>1443</v>
      </c>
      <c r="B473" s="17"/>
      <c r="C473" s="360">
        <v>722752</v>
      </c>
      <c r="D473" s="370" t="s">
        <v>811</v>
      </c>
      <c r="E473" s="17"/>
      <c r="F473" s="17">
        <v>89903</v>
      </c>
      <c r="G473" s="536" t="s">
        <v>497</v>
      </c>
      <c r="H473" s="488" t="str">
        <f t="shared" si="96"/>
        <v>na</v>
      </c>
      <c r="I473" s="267">
        <f t="shared" si="97"/>
        <v>0</v>
      </c>
      <c r="J473" s="423" t="e">
        <f>+'Special Pricing'!$G$577</f>
        <v>#DIV/0!</v>
      </c>
      <c r="K473" s="325">
        <v>0.25</v>
      </c>
      <c r="L473" s="19" t="e">
        <f t="shared" si="92"/>
        <v>#DIV/0!</v>
      </c>
      <c r="M473" s="325">
        <f t="shared" si="95"/>
        <v>0</v>
      </c>
      <c r="N473" s="112" t="e">
        <f t="shared" si="93"/>
        <v>#DIV/0!</v>
      </c>
      <c r="O473" s="112" t="e">
        <f t="shared" si="94"/>
        <v>#DIV/0!</v>
      </c>
      <c r="S473" s="367">
        <v>733958</v>
      </c>
      <c r="T473" s="477" t="s">
        <v>1627</v>
      </c>
    </row>
    <row r="474" spans="1:20" ht="15" customHeight="1" x14ac:dyDescent="0.2">
      <c r="A474" s="359" t="s">
        <v>468</v>
      </c>
      <c r="B474" s="17"/>
      <c r="C474" s="360">
        <v>731617</v>
      </c>
      <c r="D474" s="370" t="s">
        <v>811</v>
      </c>
      <c r="E474" s="17"/>
      <c r="F474" s="17">
        <v>89903</v>
      </c>
      <c r="G474" s="536" t="s">
        <v>497</v>
      </c>
      <c r="H474" s="488" t="str">
        <f t="shared" si="96"/>
        <v>na</v>
      </c>
      <c r="I474" s="159">
        <f t="shared" si="97"/>
        <v>0</v>
      </c>
      <c r="J474" s="423" t="e">
        <f>+'Special Pricing'!$G$577</f>
        <v>#DIV/0!</v>
      </c>
      <c r="K474" s="325">
        <v>0.25</v>
      </c>
      <c r="L474" s="19" t="e">
        <f t="shared" si="92"/>
        <v>#DIV/0!</v>
      </c>
      <c r="M474" s="325">
        <f t="shared" si="95"/>
        <v>0</v>
      </c>
      <c r="N474" s="112" t="e">
        <f t="shared" si="93"/>
        <v>#DIV/0!</v>
      </c>
      <c r="O474" s="112" t="e">
        <f t="shared" si="94"/>
        <v>#DIV/0!</v>
      </c>
      <c r="S474" s="368">
        <v>733985</v>
      </c>
      <c r="T474" s="477" t="s">
        <v>1426</v>
      </c>
    </row>
    <row r="475" spans="1:20" ht="15" customHeight="1" x14ac:dyDescent="0.2">
      <c r="A475" s="359" t="s">
        <v>1443</v>
      </c>
      <c r="B475" s="17"/>
      <c r="C475" s="360">
        <v>731779</v>
      </c>
      <c r="D475" s="370" t="s">
        <v>811</v>
      </c>
      <c r="E475" s="17"/>
      <c r="F475" s="17">
        <v>89903</v>
      </c>
      <c r="G475" s="536" t="s">
        <v>497</v>
      </c>
      <c r="H475" s="488" t="str">
        <f t="shared" si="96"/>
        <v>na</v>
      </c>
      <c r="I475" s="267">
        <f t="shared" si="97"/>
        <v>0</v>
      </c>
      <c r="J475" s="423" t="e">
        <f>+'Special Pricing'!$G$577</f>
        <v>#DIV/0!</v>
      </c>
      <c r="K475" s="325">
        <v>0.25</v>
      </c>
      <c r="L475" s="19" t="e">
        <f t="shared" si="92"/>
        <v>#DIV/0!</v>
      </c>
      <c r="M475" s="325">
        <f t="shared" si="95"/>
        <v>0</v>
      </c>
      <c r="N475" s="112" t="e">
        <f t="shared" si="93"/>
        <v>#DIV/0!</v>
      </c>
      <c r="O475" s="112" t="e">
        <f t="shared" si="94"/>
        <v>#DIV/0!</v>
      </c>
      <c r="S475" s="312">
        <v>734123</v>
      </c>
      <c r="T475" s="478" t="s">
        <v>355</v>
      </c>
    </row>
    <row r="476" spans="1:20" ht="15" customHeight="1" x14ac:dyDescent="0.2">
      <c r="A476" s="359" t="s">
        <v>1443</v>
      </c>
      <c r="B476" s="17"/>
      <c r="C476" s="360">
        <v>731780</v>
      </c>
      <c r="D476" s="370" t="s">
        <v>811</v>
      </c>
      <c r="E476" s="17"/>
      <c r="F476" s="17">
        <v>89903</v>
      </c>
      <c r="G476" s="536" t="s">
        <v>497</v>
      </c>
      <c r="H476" s="488" t="str">
        <f t="shared" si="96"/>
        <v>na</v>
      </c>
      <c r="I476" s="267">
        <f t="shared" si="97"/>
        <v>0</v>
      </c>
      <c r="J476" s="423" t="e">
        <f>+'Special Pricing'!$G$577</f>
        <v>#DIV/0!</v>
      </c>
      <c r="K476" s="325">
        <v>0.25</v>
      </c>
      <c r="L476" s="19" t="e">
        <f t="shared" si="92"/>
        <v>#DIV/0!</v>
      </c>
      <c r="M476" s="325">
        <f t="shared" si="95"/>
        <v>0</v>
      </c>
      <c r="N476" s="112" t="e">
        <f t="shared" si="93"/>
        <v>#DIV/0!</v>
      </c>
      <c r="O476" s="112" t="e">
        <f t="shared" si="94"/>
        <v>#DIV/0!</v>
      </c>
      <c r="S476" s="312">
        <v>734168</v>
      </c>
      <c r="T476" s="478" t="s">
        <v>534</v>
      </c>
    </row>
    <row r="477" spans="1:20" ht="15" customHeight="1" x14ac:dyDescent="0.2">
      <c r="A477" s="359" t="s">
        <v>1443</v>
      </c>
      <c r="B477" s="17"/>
      <c r="C477" s="360">
        <v>735479</v>
      </c>
      <c r="D477" s="370" t="s">
        <v>811</v>
      </c>
      <c r="E477" s="17"/>
      <c r="F477" s="17">
        <v>89903</v>
      </c>
      <c r="G477" s="665" t="s">
        <v>497</v>
      </c>
      <c r="H477" s="488" t="str">
        <f t="shared" si="96"/>
        <v>na</v>
      </c>
      <c r="I477" s="159">
        <f t="shared" si="97"/>
        <v>0</v>
      </c>
      <c r="J477" s="423" t="e">
        <f>+'Special Pricing'!$G$577</f>
        <v>#DIV/0!</v>
      </c>
      <c r="K477" s="325">
        <v>0.25</v>
      </c>
      <c r="L477" s="19" t="e">
        <f t="shared" si="92"/>
        <v>#DIV/0!</v>
      </c>
      <c r="M477" s="325">
        <f t="shared" si="95"/>
        <v>0</v>
      </c>
      <c r="N477" s="112" t="e">
        <f t="shared" si="93"/>
        <v>#DIV/0!</v>
      </c>
      <c r="O477" s="112" t="e">
        <f t="shared" si="94"/>
        <v>#DIV/0!</v>
      </c>
      <c r="S477" s="367">
        <v>734237</v>
      </c>
      <c r="T477" s="477" t="s">
        <v>1706</v>
      </c>
    </row>
    <row r="478" spans="1:20" ht="15" customHeight="1" x14ac:dyDescent="0.2">
      <c r="A478" s="359" t="s">
        <v>468</v>
      </c>
      <c r="B478" s="17"/>
      <c r="C478" s="360">
        <v>736031</v>
      </c>
      <c r="D478" s="370" t="s">
        <v>2285</v>
      </c>
      <c r="E478" s="17"/>
      <c r="F478" s="17">
        <v>89903</v>
      </c>
      <c r="G478" s="536" t="s">
        <v>497</v>
      </c>
      <c r="H478" s="488" t="str">
        <f t="shared" si="96"/>
        <v>na</v>
      </c>
      <c r="I478" s="159">
        <f t="shared" si="97"/>
        <v>0</v>
      </c>
      <c r="J478" s="423" t="e">
        <f>+'Special Pricing'!$G$577</f>
        <v>#DIV/0!</v>
      </c>
      <c r="K478" s="325">
        <v>0.25</v>
      </c>
      <c r="L478" s="19" t="e">
        <f t="shared" si="92"/>
        <v>#DIV/0!</v>
      </c>
      <c r="M478" s="325">
        <f t="shared" si="95"/>
        <v>0</v>
      </c>
      <c r="N478" s="112" t="e">
        <f t="shared" si="93"/>
        <v>#DIV/0!</v>
      </c>
      <c r="O478" s="112" t="e">
        <f t="shared" si="94"/>
        <v>#DIV/0!</v>
      </c>
      <c r="S478" s="312">
        <v>734272</v>
      </c>
      <c r="T478" s="478" t="s">
        <v>490</v>
      </c>
    </row>
    <row r="479" spans="1:20" s="21" customFormat="1" ht="15" customHeight="1" x14ac:dyDescent="0.2">
      <c r="A479" s="179" t="s">
        <v>1443</v>
      </c>
      <c r="B479" s="17">
        <v>109784</v>
      </c>
      <c r="C479" s="366">
        <v>722212</v>
      </c>
      <c r="D479" s="88" t="s">
        <v>2017</v>
      </c>
      <c r="E479" s="466" t="s">
        <v>1502</v>
      </c>
      <c r="F479" s="16"/>
      <c r="G479" s="267" t="s">
        <v>1421</v>
      </c>
      <c r="H479" s="183" t="str">
        <f t="shared" si="96"/>
        <v>na</v>
      </c>
      <c r="I479" s="17">
        <f t="shared" si="97"/>
        <v>0</v>
      </c>
      <c r="J479" s="113">
        <f>+$J$3*0.97</f>
        <v>2.0758000000000001</v>
      </c>
      <c r="K479" s="325">
        <v>0.25</v>
      </c>
      <c r="L479" s="19">
        <f t="shared" si="92"/>
        <v>1.8258000000000001</v>
      </c>
      <c r="M479" s="325">
        <f t="shared" si="95"/>
        <v>0</v>
      </c>
      <c r="N479" s="112">
        <f t="shared" si="93"/>
        <v>0</v>
      </c>
      <c r="O479" s="112">
        <f t="shared" si="94"/>
        <v>0</v>
      </c>
      <c r="S479" s="318">
        <v>717753</v>
      </c>
      <c r="T479" s="369" t="s">
        <v>333</v>
      </c>
    </row>
    <row r="480" spans="1:20" ht="15" customHeight="1" x14ac:dyDescent="0.2">
      <c r="A480" s="223" t="s">
        <v>1444</v>
      </c>
      <c r="B480" s="17"/>
      <c r="C480" s="367">
        <v>722792</v>
      </c>
      <c r="D480" s="477" t="s">
        <v>1676</v>
      </c>
      <c r="E480" s="17"/>
      <c r="F480" s="16"/>
      <c r="G480" s="267" t="s">
        <v>1424</v>
      </c>
      <c r="H480" s="183" t="str">
        <f t="shared" si="96"/>
        <v>na</v>
      </c>
      <c r="I480" s="17">
        <f t="shared" si="97"/>
        <v>0</v>
      </c>
      <c r="J480" s="113">
        <f>+$J$3</f>
        <v>2.14</v>
      </c>
      <c r="K480" s="325">
        <v>0.25</v>
      </c>
      <c r="L480" s="19">
        <f t="shared" si="92"/>
        <v>1.8900000000000001</v>
      </c>
      <c r="M480" s="325">
        <f t="shared" si="95"/>
        <v>0</v>
      </c>
      <c r="N480" s="112">
        <f t="shared" si="93"/>
        <v>0</v>
      </c>
      <c r="O480" s="112">
        <f t="shared" si="94"/>
        <v>0</v>
      </c>
      <c r="S480" s="367">
        <v>734457</v>
      </c>
      <c r="T480" s="477" t="s">
        <v>1517</v>
      </c>
    </row>
    <row r="481" spans="1:20" ht="15" customHeight="1" x14ac:dyDescent="0.2">
      <c r="A481" s="223" t="s">
        <v>1444</v>
      </c>
      <c r="B481" s="134"/>
      <c r="C481" s="367">
        <v>732314</v>
      </c>
      <c r="D481" s="477" t="s">
        <v>1676</v>
      </c>
      <c r="E481" s="17"/>
      <c r="F481" s="16"/>
      <c r="G481" s="267" t="s">
        <v>1424</v>
      </c>
      <c r="H481" s="183" t="str">
        <f t="shared" si="96"/>
        <v>na</v>
      </c>
      <c r="I481" s="17">
        <f t="shared" si="97"/>
        <v>0</v>
      </c>
      <c r="J481" s="113">
        <f>+$J$3</f>
        <v>2.14</v>
      </c>
      <c r="K481" s="325">
        <v>0.25</v>
      </c>
      <c r="L481" s="19">
        <f t="shared" si="92"/>
        <v>1.8900000000000001</v>
      </c>
      <c r="M481" s="325">
        <f t="shared" si="95"/>
        <v>0</v>
      </c>
      <c r="N481" s="112">
        <f t="shared" si="93"/>
        <v>0</v>
      </c>
      <c r="O481" s="112">
        <f t="shared" si="94"/>
        <v>0</v>
      </c>
      <c r="S481" s="487">
        <v>734512</v>
      </c>
      <c r="T481" s="502" t="s">
        <v>1669</v>
      </c>
    </row>
    <row r="482" spans="1:20" ht="15" customHeight="1" x14ac:dyDescent="0.2">
      <c r="A482" s="16" t="s">
        <v>1443</v>
      </c>
      <c r="B482" s="17">
        <v>109834</v>
      </c>
      <c r="C482" s="312">
        <v>731680</v>
      </c>
      <c r="D482" s="478" t="s">
        <v>542</v>
      </c>
      <c r="E482" s="17"/>
      <c r="F482" s="17">
        <v>90556</v>
      </c>
      <c r="G482" s="17" t="s">
        <v>273</v>
      </c>
      <c r="H482" s="183" t="str">
        <f t="shared" si="96"/>
        <v>na</v>
      </c>
      <c r="I482" s="17">
        <f t="shared" si="97"/>
        <v>0</v>
      </c>
      <c r="J482" s="113">
        <f>+$J$2*0.95</f>
        <v>2.0044999999999997</v>
      </c>
      <c r="K482" s="325">
        <v>0.25</v>
      </c>
      <c r="L482" s="19">
        <f t="shared" si="92"/>
        <v>1.7544999999999997</v>
      </c>
      <c r="M482" s="325">
        <f t="shared" si="95"/>
        <v>0</v>
      </c>
      <c r="N482" s="112">
        <f t="shared" si="93"/>
        <v>0</v>
      </c>
      <c r="O482" s="112">
        <f t="shared" si="94"/>
        <v>0</v>
      </c>
      <c r="S482" s="368">
        <v>734524</v>
      </c>
      <c r="T482" s="477" t="s">
        <v>1513</v>
      </c>
    </row>
    <row r="483" spans="1:20" ht="15" customHeight="1" x14ac:dyDescent="0.2">
      <c r="A483" s="16" t="s">
        <v>1444</v>
      </c>
      <c r="B483" s="17">
        <v>124003</v>
      </c>
      <c r="C483" s="312">
        <v>722615</v>
      </c>
      <c r="D483" s="478" t="s">
        <v>543</v>
      </c>
      <c r="E483" s="17"/>
      <c r="F483" s="17">
        <v>91923</v>
      </c>
      <c r="G483" s="536" t="s">
        <v>497</v>
      </c>
      <c r="H483" s="183" t="str">
        <f t="shared" si="96"/>
        <v>na</v>
      </c>
      <c r="I483" s="17">
        <f t="shared" si="97"/>
        <v>0</v>
      </c>
      <c r="J483" s="664">
        <f t="shared" ref="J483:J489" si="98">+$J$3</f>
        <v>2.14</v>
      </c>
      <c r="K483" s="325">
        <v>0.25</v>
      </c>
      <c r="L483" s="19">
        <f t="shared" si="92"/>
        <v>1.8900000000000001</v>
      </c>
      <c r="M483" s="325">
        <f t="shared" si="95"/>
        <v>0</v>
      </c>
      <c r="N483" s="112">
        <f t="shared" si="93"/>
        <v>0</v>
      </c>
      <c r="O483" s="112">
        <f t="shared" si="94"/>
        <v>0</v>
      </c>
      <c r="S483" s="312">
        <v>734583</v>
      </c>
      <c r="T483" s="422" t="s">
        <v>826</v>
      </c>
    </row>
    <row r="484" spans="1:20" ht="15" customHeight="1" x14ac:dyDescent="0.2">
      <c r="A484" s="16" t="s">
        <v>1444</v>
      </c>
      <c r="B484" s="17">
        <v>124005</v>
      </c>
      <c r="C484" s="312">
        <v>723107</v>
      </c>
      <c r="D484" s="478" t="s">
        <v>543</v>
      </c>
      <c r="E484" s="17"/>
      <c r="F484" s="17">
        <v>91923</v>
      </c>
      <c r="G484" s="536" t="s">
        <v>497</v>
      </c>
      <c r="H484" s="183" t="str">
        <f t="shared" si="96"/>
        <v>na</v>
      </c>
      <c r="I484" s="17">
        <f t="shared" si="97"/>
        <v>0</v>
      </c>
      <c r="J484" s="664">
        <f t="shared" si="98"/>
        <v>2.14</v>
      </c>
      <c r="K484" s="325">
        <v>0.25</v>
      </c>
      <c r="L484" s="19">
        <f t="shared" si="92"/>
        <v>1.8900000000000001</v>
      </c>
      <c r="M484" s="325">
        <f t="shared" si="95"/>
        <v>0</v>
      </c>
      <c r="N484" s="112">
        <f t="shared" si="93"/>
        <v>0</v>
      </c>
      <c r="O484" s="112">
        <f t="shared" si="94"/>
        <v>0</v>
      </c>
      <c r="S484" s="500">
        <v>734594</v>
      </c>
      <c r="T484" s="509" t="s">
        <v>1878</v>
      </c>
    </row>
    <row r="485" spans="1:20" ht="15" customHeight="1" x14ac:dyDescent="0.2">
      <c r="A485" s="16" t="s">
        <v>1444</v>
      </c>
      <c r="B485" s="17"/>
      <c r="C485" s="312">
        <v>723889</v>
      </c>
      <c r="D485" s="478" t="s">
        <v>543</v>
      </c>
      <c r="E485" s="17"/>
      <c r="F485" s="17">
        <v>91923</v>
      </c>
      <c r="G485" s="536" t="s">
        <v>497</v>
      </c>
      <c r="H485" s="183" t="str">
        <f t="shared" si="96"/>
        <v>na</v>
      </c>
      <c r="I485" s="17">
        <f t="shared" si="97"/>
        <v>0</v>
      </c>
      <c r="J485" s="664">
        <f t="shared" si="98"/>
        <v>2.14</v>
      </c>
      <c r="K485" s="325">
        <v>0.25</v>
      </c>
      <c r="L485" s="19">
        <f t="shared" si="92"/>
        <v>1.8900000000000001</v>
      </c>
      <c r="M485" s="325">
        <f t="shared" si="95"/>
        <v>0</v>
      </c>
      <c r="N485" s="112">
        <f t="shared" si="93"/>
        <v>0</v>
      </c>
      <c r="O485" s="112">
        <f t="shared" si="94"/>
        <v>0</v>
      </c>
      <c r="S485" s="368">
        <v>734617</v>
      </c>
      <c r="T485" s="477" t="s">
        <v>1703</v>
      </c>
    </row>
    <row r="486" spans="1:20" ht="15" customHeight="1" x14ac:dyDescent="0.2">
      <c r="A486" s="16" t="s">
        <v>1444</v>
      </c>
      <c r="B486" s="17">
        <v>124006</v>
      </c>
      <c r="C486" s="312">
        <v>730318</v>
      </c>
      <c r="D486" s="478" t="s">
        <v>543</v>
      </c>
      <c r="E486" s="17"/>
      <c r="F486" s="17">
        <v>91923</v>
      </c>
      <c r="G486" s="536" t="s">
        <v>497</v>
      </c>
      <c r="H486" s="183" t="str">
        <f t="shared" si="96"/>
        <v>na</v>
      </c>
      <c r="I486" s="17">
        <f t="shared" si="97"/>
        <v>0</v>
      </c>
      <c r="J486" s="664">
        <f t="shared" si="98"/>
        <v>2.14</v>
      </c>
      <c r="K486" s="325">
        <v>0.25</v>
      </c>
      <c r="L486" s="19">
        <f t="shared" si="92"/>
        <v>1.8900000000000001</v>
      </c>
      <c r="M486" s="325">
        <f t="shared" si="95"/>
        <v>0</v>
      </c>
      <c r="N486" s="112">
        <f t="shared" si="93"/>
        <v>0</v>
      </c>
      <c r="O486" s="112">
        <f t="shared" si="94"/>
        <v>0</v>
      </c>
      <c r="S486" s="367">
        <v>734734</v>
      </c>
      <c r="T486" s="477" t="s">
        <v>1659</v>
      </c>
    </row>
    <row r="487" spans="1:20" ht="15" customHeight="1" x14ac:dyDescent="0.2">
      <c r="A487" s="16" t="s">
        <v>1444</v>
      </c>
      <c r="B487" s="17"/>
      <c r="C487" s="312">
        <v>732209</v>
      </c>
      <c r="D487" s="478" t="s">
        <v>543</v>
      </c>
      <c r="E487" s="17"/>
      <c r="F487" s="17">
        <v>91923</v>
      </c>
      <c r="G487" s="536" t="s">
        <v>497</v>
      </c>
      <c r="H487" s="183" t="str">
        <f t="shared" si="96"/>
        <v>na</v>
      </c>
      <c r="I487" s="17">
        <f t="shared" si="97"/>
        <v>0</v>
      </c>
      <c r="J487" s="664">
        <f t="shared" si="98"/>
        <v>2.14</v>
      </c>
      <c r="K487" s="325">
        <v>0.25</v>
      </c>
      <c r="L487" s="19">
        <f t="shared" si="92"/>
        <v>1.8900000000000001</v>
      </c>
      <c r="M487" s="325">
        <f t="shared" si="95"/>
        <v>0</v>
      </c>
      <c r="N487" s="112">
        <f t="shared" si="93"/>
        <v>0</v>
      </c>
      <c r="O487" s="112">
        <f t="shared" si="94"/>
        <v>0</v>
      </c>
      <c r="S487" s="333">
        <v>734807</v>
      </c>
      <c r="T487" s="478" t="s">
        <v>819</v>
      </c>
    </row>
    <row r="488" spans="1:20" ht="15" customHeight="1" x14ac:dyDescent="0.2">
      <c r="A488" s="16" t="s">
        <v>1444</v>
      </c>
      <c r="B488" s="17"/>
      <c r="C488" s="312">
        <v>732211</v>
      </c>
      <c r="D488" s="478" t="s">
        <v>543</v>
      </c>
      <c r="E488" s="17"/>
      <c r="F488" s="17">
        <v>91923</v>
      </c>
      <c r="G488" s="536" t="s">
        <v>497</v>
      </c>
      <c r="H488" s="183">
        <f t="shared" si="96"/>
        <v>0</v>
      </c>
      <c r="I488" s="17">
        <f t="shared" si="97"/>
        <v>0</v>
      </c>
      <c r="J488" s="664">
        <f t="shared" si="98"/>
        <v>2.14</v>
      </c>
      <c r="K488" s="325">
        <v>0.25</v>
      </c>
      <c r="L488" s="19">
        <f t="shared" si="92"/>
        <v>1.8900000000000001</v>
      </c>
      <c r="M488" s="325">
        <f t="shared" si="95"/>
        <v>0</v>
      </c>
      <c r="N488" s="112">
        <f t="shared" si="93"/>
        <v>0</v>
      </c>
      <c r="O488" s="112">
        <f t="shared" si="94"/>
        <v>0</v>
      </c>
      <c r="S488" s="367">
        <v>734866</v>
      </c>
      <c r="T488" s="505" t="s">
        <v>2315</v>
      </c>
    </row>
    <row r="489" spans="1:20" ht="15" customHeight="1" x14ac:dyDescent="0.2">
      <c r="A489" s="223" t="s">
        <v>1443</v>
      </c>
      <c r="B489" s="313">
        <v>122840</v>
      </c>
      <c r="C489" s="367">
        <v>707901</v>
      </c>
      <c r="D489" s="477" t="s">
        <v>1514</v>
      </c>
      <c r="E489" s="17"/>
      <c r="F489" s="16"/>
      <c r="G489" s="176"/>
      <c r="H489" s="183" t="str">
        <f t="shared" si="96"/>
        <v>na</v>
      </c>
      <c r="I489" s="17">
        <f t="shared" si="97"/>
        <v>0</v>
      </c>
      <c r="J489" s="113">
        <f t="shared" si="98"/>
        <v>2.14</v>
      </c>
      <c r="K489" s="325">
        <v>0.25</v>
      </c>
      <c r="L489" s="19">
        <f t="shared" si="92"/>
        <v>1.8900000000000001</v>
      </c>
      <c r="M489" s="325">
        <f t="shared" si="95"/>
        <v>0</v>
      </c>
      <c r="N489" s="112">
        <f t="shared" si="93"/>
        <v>0</v>
      </c>
      <c r="O489" s="112">
        <f t="shared" ref="O489:O500" si="99">(+L489*I489)-M489</f>
        <v>0</v>
      </c>
      <c r="S489" s="312">
        <v>734886</v>
      </c>
      <c r="T489" s="479" t="s">
        <v>525</v>
      </c>
    </row>
    <row r="490" spans="1:20" ht="15" customHeight="1" x14ac:dyDescent="0.2">
      <c r="A490" s="223" t="s">
        <v>1443</v>
      </c>
      <c r="B490" s="134"/>
      <c r="C490" s="367">
        <v>733417</v>
      </c>
      <c r="D490" s="477" t="s">
        <v>1702</v>
      </c>
      <c r="E490" s="17"/>
      <c r="F490" s="16"/>
      <c r="G490" s="17" t="s">
        <v>1427</v>
      </c>
      <c r="H490" s="183" t="str">
        <f t="shared" si="96"/>
        <v>na</v>
      </c>
      <c r="I490" s="17">
        <f t="shared" si="97"/>
        <v>0</v>
      </c>
      <c r="J490" s="113">
        <f>+$J$3*0.98</f>
        <v>2.0972</v>
      </c>
      <c r="K490" s="325">
        <v>0.25</v>
      </c>
      <c r="L490" s="19">
        <f t="shared" si="92"/>
        <v>1.8472</v>
      </c>
      <c r="M490" s="325">
        <f t="shared" si="95"/>
        <v>0</v>
      </c>
      <c r="N490" s="112">
        <f t="shared" si="93"/>
        <v>0</v>
      </c>
      <c r="O490" s="112">
        <f t="shared" si="99"/>
        <v>0</v>
      </c>
      <c r="S490" s="367">
        <v>734949</v>
      </c>
      <c r="T490" s="477" t="s">
        <v>1659</v>
      </c>
    </row>
    <row r="491" spans="1:20" ht="15" customHeight="1" x14ac:dyDescent="0.2">
      <c r="A491" s="223" t="s">
        <v>1443</v>
      </c>
      <c r="B491" s="134"/>
      <c r="C491" s="368">
        <v>731828</v>
      </c>
      <c r="D491" s="477" t="s">
        <v>1906</v>
      </c>
      <c r="E491" s="17"/>
      <c r="F491" s="16"/>
      <c r="G491" s="267" t="s">
        <v>1427</v>
      </c>
      <c r="H491" s="183" t="str">
        <f t="shared" si="96"/>
        <v>na</v>
      </c>
      <c r="I491" s="17">
        <f t="shared" si="97"/>
        <v>0</v>
      </c>
      <c r="J491" s="113">
        <f>+$J$3*0.98</f>
        <v>2.0972</v>
      </c>
      <c r="K491" s="325">
        <v>0.25</v>
      </c>
      <c r="L491" s="19">
        <f t="shared" si="92"/>
        <v>1.8472</v>
      </c>
      <c r="M491" s="325">
        <f t="shared" ref="M491:M500" si="100">IF(H491&gt;=0,I491*0.001,0)</f>
        <v>0</v>
      </c>
      <c r="N491" s="112">
        <f t="shared" si="93"/>
        <v>0</v>
      </c>
      <c r="O491" s="112">
        <f t="shared" si="99"/>
        <v>0</v>
      </c>
      <c r="S491" s="312">
        <v>734986</v>
      </c>
      <c r="T491" s="508" t="s">
        <v>1425</v>
      </c>
    </row>
    <row r="492" spans="1:20" ht="15" customHeight="1" x14ac:dyDescent="0.2">
      <c r="A492" s="16" t="s">
        <v>1443</v>
      </c>
      <c r="B492" s="17">
        <v>109755</v>
      </c>
      <c r="C492" s="312">
        <v>720842</v>
      </c>
      <c r="D492" s="478" t="s">
        <v>544</v>
      </c>
      <c r="E492" s="17"/>
      <c r="F492" s="17">
        <v>94954</v>
      </c>
      <c r="G492" s="17" t="s">
        <v>473</v>
      </c>
      <c r="H492" s="183" t="str">
        <f t="shared" si="96"/>
        <v>na</v>
      </c>
      <c r="I492" s="17">
        <f t="shared" si="97"/>
        <v>0</v>
      </c>
      <c r="J492" s="113">
        <f>+$J$3-0.08</f>
        <v>2.06</v>
      </c>
      <c r="K492" s="325">
        <v>0.25</v>
      </c>
      <c r="L492" s="19">
        <f t="shared" si="92"/>
        <v>1.81</v>
      </c>
      <c r="M492" s="325">
        <f t="shared" si="100"/>
        <v>0</v>
      </c>
      <c r="N492" s="112">
        <f t="shared" si="93"/>
        <v>0</v>
      </c>
      <c r="O492" s="112">
        <f t="shared" si="99"/>
        <v>0</v>
      </c>
      <c r="S492" s="360">
        <v>735479</v>
      </c>
      <c r="T492" s="370" t="s">
        <v>811</v>
      </c>
    </row>
    <row r="493" spans="1:20" ht="15" customHeight="1" x14ac:dyDescent="0.2">
      <c r="A493" s="16" t="s">
        <v>1444</v>
      </c>
      <c r="B493" s="17">
        <v>109788</v>
      </c>
      <c r="C493" s="312">
        <v>720697</v>
      </c>
      <c r="D493" s="478" t="s">
        <v>545</v>
      </c>
      <c r="E493" s="17"/>
      <c r="F493" s="17">
        <v>97579</v>
      </c>
      <c r="G493" s="17" t="s">
        <v>273</v>
      </c>
      <c r="H493" s="183" t="str">
        <f t="shared" si="96"/>
        <v>na</v>
      </c>
      <c r="I493" s="17">
        <f t="shared" si="97"/>
        <v>0</v>
      </c>
      <c r="J493" s="113">
        <f>+$J$2*0.95</f>
        <v>2.0044999999999997</v>
      </c>
      <c r="K493" s="325">
        <v>0.25</v>
      </c>
      <c r="L493" s="19">
        <f t="shared" si="92"/>
        <v>1.7544999999999997</v>
      </c>
      <c r="M493" s="325">
        <f t="shared" si="100"/>
        <v>0</v>
      </c>
      <c r="N493" s="112">
        <f t="shared" si="93"/>
        <v>0</v>
      </c>
      <c r="O493" s="112">
        <f t="shared" si="99"/>
        <v>0</v>
      </c>
      <c r="S493" s="487">
        <v>736003</v>
      </c>
      <c r="T493" s="502" t="s">
        <v>1669</v>
      </c>
    </row>
    <row r="494" spans="1:20" ht="15" customHeight="1" x14ac:dyDescent="0.2">
      <c r="A494" s="223" t="s">
        <v>1443</v>
      </c>
      <c r="B494" s="134"/>
      <c r="C494" s="368">
        <v>731230</v>
      </c>
      <c r="D494" s="483" t="s">
        <v>1904</v>
      </c>
      <c r="E494" s="17"/>
      <c r="F494" s="16"/>
      <c r="G494" s="267" t="s">
        <v>1427</v>
      </c>
      <c r="H494" s="183">
        <f t="shared" si="96"/>
        <v>16</v>
      </c>
      <c r="I494" s="17">
        <f t="shared" si="97"/>
        <v>22</v>
      </c>
      <c r="J494" s="113">
        <f>+$J$3*0.98</f>
        <v>2.0972</v>
      </c>
      <c r="K494" s="325">
        <v>0.25</v>
      </c>
      <c r="L494" s="19">
        <f t="shared" si="92"/>
        <v>1.8472</v>
      </c>
      <c r="M494" s="325">
        <f t="shared" si="100"/>
        <v>2.1999999999999999E-2</v>
      </c>
      <c r="N494" s="112">
        <f t="shared" si="93"/>
        <v>40.638399999999997</v>
      </c>
      <c r="O494" s="112">
        <f t="shared" si="99"/>
        <v>40.616399999999999</v>
      </c>
      <c r="S494" s="487">
        <v>736005</v>
      </c>
      <c r="T494" s="502" t="s">
        <v>1669</v>
      </c>
    </row>
    <row r="495" spans="1:20" ht="15" customHeight="1" x14ac:dyDescent="0.2">
      <c r="A495" s="16" t="s">
        <v>1443</v>
      </c>
      <c r="B495" s="17">
        <v>109760</v>
      </c>
      <c r="C495" s="312">
        <v>712277</v>
      </c>
      <c r="D495" s="478" t="s">
        <v>546</v>
      </c>
      <c r="E495" s="17"/>
      <c r="F495" s="17">
        <v>97588</v>
      </c>
      <c r="G495" s="17" t="s">
        <v>467</v>
      </c>
      <c r="H495" s="183" t="str">
        <f t="shared" si="96"/>
        <v>na</v>
      </c>
      <c r="I495" s="17">
        <f t="shared" si="97"/>
        <v>0</v>
      </c>
      <c r="J495" s="113">
        <f>+$J$3*0.99</f>
        <v>2.1186000000000003</v>
      </c>
      <c r="K495" s="325">
        <v>0.25</v>
      </c>
      <c r="L495" s="19">
        <f t="shared" si="92"/>
        <v>1.8686000000000003</v>
      </c>
      <c r="M495" s="325">
        <f t="shared" si="100"/>
        <v>0</v>
      </c>
      <c r="N495" s="112">
        <f t="shared" si="93"/>
        <v>0</v>
      </c>
      <c r="O495" s="112">
        <f t="shared" si="99"/>
        <v>0</v>
      </c>
      <c r="S495" s="360">
        <v>736031</v>
      </c>
      <c r="T495" s="370" t="s">
        <v>811</v>
      </c>
    </row>
    <row r="496" spans="1:20" ht="15" customHeight="1" x14ac:dyDescent="0.2">
      <c r="A496" s="16" t="s">
        <v>1443</v>
      </c>
      <c r="B496" s="17">
        <v>113892</v>
      </c>
      <c r="C496" s="312">
        <v>720047</v>
      </c>
      <c r="D496" s="478" t="s">
        <v>546</v>
      </c>
      <c r="E496" s="17"/>
      <c r="F496" s="17">
        <v>97588</v>
      </c>
      <c r="G496" s="17" t="s">
        <v>467</v>
      </c>
      <c r="H496" s="183" t="str">
        <f t="shared" si="96"/>
        <v>na</v>
      </c>
      <c r="I496" s="17">
        <f t="shared" si="97"/>
        <v>0</v>
      </c>
      <c r="J496" s="113">
        <f>+$J$3*0.99</f>
        <v>2.1186000000000003</v>
      </c>
      <c r="K496" s="325">
        <v>0.25</v>
      </c>
      <c r="L496" s="19">
        <f t="shared" si="92"/>
        <v>1.8686000000000003</v>
      </c>
      <c r="M496" s="325">
        <f t="shared" si="100"/>
        <v>0</v>
      </c>
      <c r="N496" s="112">
        <f t="shared" si="93"/>
        <v>0</v>
      </c>
      <c r="O496" s="112">
        <f t="shared" si="99"/>
        <v>0</v>
      </c>
      <c r="S496" s="487">
        <v>736048</v>
      </c>
      <c r="T496" s="502" t="s">
        <v>1669</v>
      </c>
    </row>
    <row r="497" spans="1:20" ht="15" customHeight="1" x14ac:dyDescent="0.2">
      <c r="A497" s="16" t="s">
        <v>1443</v>
      </c>
      <c r="B497" s="17">
        <v>113893</v>
      </c>
      <c r="C497" s="312">
        <v>721342</v>
      </c>
      <c r="D497" s="478" t="s">
        <v>546</v>
      </c>
      <c r="E497" s="17"/>
      <c r="F497" s="17">
        <v>97588</v>
      </c>
      <c r="G497" s="17" t="s">
        <v>467</v>
      </c>
      <c r="H497" s="183" t="str">
        <f t="shared" si="96"/>
        <v>na</v>
      </c>
      <c r="I497" s="17">
        <f t="shared" si="97"/>
        <v>0</v>
      </c>
      <c r="J497" s="113">
        <f>+$J$3*0.99</f>
        <v>2.1186000000000003</v>
      </c>
      <c r="K497" s="325">
        <v>0.25</v>
      </c>
      <c r="L497" s="19">
        <f t="shared" si="92"/>
        <v>1.8686000000000003</v>
      </c>
      <c r="M497" s="325">
        <f t="shared" si="100"/>
        <v>0</v>
      </c>
      <c r="N497" s="112">
        <f t="shared" si="93"/>
        <v>0</v>
      </c>
      <c r="O497" s="112">
        <f t="shared" si="99"/>
        <v>0</v>
      </c>
      <c r="S497" s="487">
        <v>736067</v>
      </c>
      <c r="T497" s="502" t="s">
        <v>1669</v>
      </c>
    </row>
    <row r="498" spans="1:20" ht="15" customHeight="1" x14ac:dyDescent="0.2">
      <c r="A498" s="223" t="s">
        <v>1443</v>
      </c>
      <c r="B498" s="134"/>
      <c r="C498" s="367">
        <v>733719</v>
      </c>
      <c r="D498" s="477" t="s">
        <v>1703</v>
      </c>
      <c r="E498" s="17"/>
      <c r="F498" s="16"/>
      <c r="G498" s="267" t="s">
        <v>1427</v>
      </c>
      <c r="H498" s="183" t="str">
        <f t="shared" si="96"/>
        <v>na</v>
      </c>
      <c r="I498" s="17">
        <f t="shared" si="97"/>
        <v>0</v>
      </c>
      <c r="J498" s="113">
        <f>+$J$3*0.98</f>
        <v>2.0972</v>
      </c>
      <c r="K498" s="325">
        <v>0.25</v>
      </c>
      <c r="L498" s="19">
        <f t="shared" si="92"/>
        <v>1.8472</v>
      </c>
      <c r="M498" s="325">
        <f t="shared" si="100"/>
        <v>0</v>
      </c>
      <c r="N498" s="112">
        <f t="shared" si="93"/>
        <v>0</v>
      </c>
      <c r="O498" s="112">
        <f t="shared" si="99"/>
        <v>0</v>
      </c>
      <c r="S498" s="312">
        <v>736071</v>
      </c>
      <c r="T498" s="478" t="s">
        <v>498</v>
      </c>
    </row>
    <row r="499" spans="1:20" ht="15" customHeight="1" x14ac:dyDescent="0.2">
      <c r="A499" s="223" t="s">
        <v>1443</v>
      </c>
      <c r="B499" s="134"/>
      <c r="C499" s="368">
        <v>734617</v>
      </c>
      <c r="D499" s="477" t="s">
        <v>1703</v>
      </c>
      <c r="E499" s="17"/>
      <c r="F499" s="16"/>
      <c r="G499" s="267" t="s">
        <v>1427</v>
      </c>
      <c r="H499" s="183" t="str">
        <f t="shared" si="96"/>
        <v>na</v>
      </c>
      <c r="I499" s="17">
        <f t="shared" si="97"/>
        <v>0</v>
      </c>
      <c r="J499" s="113">
        <f>+$J$3*0.98</f>
        <v>2.0972</v>
      </c>
      <c r="K499" s="325">
        <v>0.25</v>
      </c>
      <c r="L499" s="19">
        <f t="shared" si="92"/>
        <v>1.8472</v>
      </c>
      <c r="M499" s="325">
        <f t="shared" si="100"/>
        <v>0</v>
      </c>
      <c r="N499" s="112">
        <f t="shared" si="93"/>
        <v>0</v>
      </c>
      <c r="O499" s="112">
        <f t="shared" si="99"/>
        <v>0</v>
      </c>
      <c r="S499" s="360">
        <v>829051</v>
      </c>
      <c r="T499" s="480" t="s">
        <v>619</v>
      </c>
    </row>
    <row r="500" spans="1:20" ht="15" customHeight="1" x14ac:dyDescent="0.2">
      <c r="A500" s="223" t="s">
        <v>1443</v>
      </c>
      <c r="B500" s="17">
        <v>109806</v>
      </c>
      <c r="C500" s="367">
        <v>717602</v>
      </c>
      <c r="D500" s="477" t="s">
        <v>1605</v>
      </c>
      <c r="E500" s="17"/>
      <c r="F500" s="16"/>
      <c r="G500" s="267" t="s">
        <v>1427</v>
      </c>
      <c r="H500" s="183" t="str">
        <f t="shared" si="96"/>
        <v>na</v>
      </c>
      <c r="I500" s="17">
        <f t="shared" si="97"/>
        <v>0</v>
      </c>
      <c r="J500" s="113">
        <f>+$J$3*0.98</f>
        <v>2.0972</v>
      </c>
      <c r="K500" s="325">
        <v>0.25</v>
      </c>
      <c r="L500" s="19">
        <f t="shared" si="92"/>
        <v>1.8472</v>
      </c>
      <c r="M500" s="325">
        <f t="shared" si="100"/>
        <v>0</v>
      </c>
      <c r="N500" s="112">
        <f t="shared" si="93"/>
        <v>0</v>
      </c>
      <c r="O500" s="112">
        <f t="shared" si="99"/>
        <v>0</v>
      </c>
      <c r="S500" s="312"/>
      <c r="T500" s="478" t="s">
        <v>466</v>
      </c>
    </row>
    <row r="502" spans="1:20" ht="15" customHeight="1" x14ac:dyDescent="0.2">
      <c r="H502" s="929">
        <f>SUM(H5:H501)</f>
        <v>216</v>
      </c>
      <c r="I502" s="91">
        <f>SUM(I5:I501)</f>
        <v>225</v>
      </c>
    </row>
  </sheetData>
  <phoneticPr fontId="0" type="noConversion"/>
  <printOptions horizontalCentered="1"/>
  <pageMargins left="0.5" right="0.5" top="0.4" bottom="0.41" header="0.18" footer="0.21"/>
  <pageSetup scale="90" fitToHeight="15" orientation="landscape" r:id="rId1"/>
  <headerFooter alignWithMargins="0">
    <oddHeader>&amp;A</oddHeader>
    <oddFooter>&amp;CPage &amp;P&amp;R&amp;D  &amp;T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opLeftCell="A4" workbookViewId="0">
      <selection activeCell="F18" sqref="F18"/>
    </sheetView>
  </sheetViews>
  <sheetFormatPr defaultRowHeight="12.75" x14ac:dyDescent="0.2"/>
  <cols>
    <col min="3" max="3" width="36.28515625" bestFit="1" customWidth="1"/>
    <col min="4" max="4" width="14.28515625" customWidth="1"/>
  </cols>
  <sheetData>
    <row r="1" spans="1:7" x14ac:dyDescent="0.2">
      <c r="A1">
        <v>802041</v>
      </c>
      <c r="B1" s="229" t="s">
        <v>1130</v>
      </c>
      <c r="C1" t="s">
        <v>2130</v>
      </c>
      <c r="E1">
        <v>0</v>
      </c>
      <c r="F1">
        <v>2025</v>
      </c>
      <c r="G1" s="173">
        <v>25</v>
      </c>
    </row>
    <row r="2" spans="1:7" x14ac:dyDescent="0.2">
      <c r="A2">
        <v>821780</v>
      </c>
      <c r="B2" s="229" t="s">
        <v>575</v>
      </c>
      <c r="C2" t="s">
        <v>2146</v>
      </c>
      <c r="E2">
        <v>0</v>
      </c>
      <c r="F2">
        <v>2549</v>
      </c>
      <c r="G2" s="173">
        <v>25</v>
      </c>
    </row>
    <row r="3" spans="1:7" x14ac:dyDescent="0.2">
      <c r="A3">
        <v>805080</v>
      </c>
      <c r="B3" s="229" t="s">
        <v>1131</v>
      </c>
      <c r="C3" t="s">
        <v>2154</v>
      </c>
      <c r="D3" t="s">
        <v>2072</v>
      </c>
      <c r="E3">
        <v>0</v>
      </c>
      <c r="F3">
        <v>945</v>
      </c>
      <c r="G3" s="173">
        <v>25</v>
      </c>
    </row>
    <row r="4" spans="1:7" x14ac:dyDescent="0.2">
      <c r="A4">
        <v>804452</v>
      </c>
      <c r="B4" s="229" t="s">
        <v>603</v>
      </c>
      <c r="C4" t="s">
        <v>1132</v>
      </c>
      <c r="E4">
        <v>0</v>
      </c>
      <c r="F4">
        <v>175</v>
      </c>
      <c r="G4" s="173">
        <v>25</v>
      </c>
    </row>
    <row r="5" spans="1:7" x14ac:dyDescent="0.2">
      <c r="A5">
        <v>801852</v>
      </c>
      <c r="B5" s="229" t="s">
        <v>565</v>
      </c>
      <c r="C5" t="s">
        <v>2155</v>
      </c>
      <c r="D5" t="s">
        <v>2073</v>
      </c>
      <c r="E5">
        <v>0</v>
      </c>
      <c r="F5">
        <v>650</v>
      </c>
      <c r="G5" s="173">
        <v>25</v>
      </c>
    </row>
    <row r="6" spans="1:7" x14ac:dyDescent="0.2">
      <c r="A6">
        <v>800785</v>
      </c>
      <c r="B6" s="229" t="s">
        <v>1133</v>
      </c>
      <c r="C6" t="s">
        <v>2162</v>
      </c>
      <c r="E6">
        <v>0</v>
      </c>
      <c r="F6">
        <v>125</v>
      </c>
      <c r="G6" s="173">
        <v>25</v>
      </c>
    </row>
    <row r="7" spans="1:7" x14ac:dyDescent="0.2">
      <c r="A7">
        <v>801153</v>
      </c>
      <c r="B7" s="229" t="s">
        <v>1134</v>
      </c>
      <c r="C7" t="s">
        <v>2169</v>
      </c>
      <c r="D7" t="s">
        <v>2075</v>
      </c>
      <c r="E7">
        <v>0</v>
      </c>
      <c r="F7">
        <v>60</v>
      </c>
      <c r="G7" s="173">
        <v>25</v>
      </c>
    </row>
    <row r="8" spans="1:7" x14ac:dyDescent="0.2">
      <c r="A8">
        <v>804513</v>
      </c>
      <c r="B8" s="229" t="s">
        <v>1135</v>
      </c>
      <c r="C8" t="s">
        <v>2177</v>
      </c>
      <c r="E8">
        <v>0</v>
      </c>
      <c r="F8">
        <v>3373</v>
      </c>
      <c r="G8" s="173">
        <v>25</v>
      </c>
    </row>
    <row r="9" spans="1:7" x14ac:dyDescent="0.2">
      <c r="A9">
        <v>827984</v>
      </c>
      <c r="B9" s="229" t="s">
        <v>1136</v>
      </c>
      <c r="C9" t="s">
        <v>2186</v>
      </c>
      <c r="E9">
        <v>0</v>
      </c>
      <c r="F9">
        <v>0</v>
      </c>
      <c r="G9" s="173">
        <v>25</v>
      </c>
    </row>
    <row r="10" spans="1:7" x14ac:dyDescent="0.2">
      <c r="A10">
        <v>826176</v>
      </c>
      <c r="B10" s="229" t="s">
        <v>1137</v>
      </c>
      <c r="C10" t="s">
        <v>2177</v>
      </c>
      <c r="E10">
        <v>0</v>
      </c>
      <c r="F10">
        <v>59</v>
      </c>
      <c r="G10" s="173">
        <v>25</v>
      </c>
    </row>
    <row r="11" spans="1:7" x14ac:dyDescent="0.2">
      <c r="A11">
        <v>833349</v>
      </c>
      <c r="B11" s="229" t="s">
        <v>1137</v>
      </c>
      <c r="C11" t="s">
        <v>2177</v>
      </c>
      <c r="E11">
        <v>0</v>
      </c>
      <c r="F11">
        <v>0</v>
      </c>
      <c r="G11" s="173">
        <v>0</v>
      </c>
    </row>
    <row r="12" spans="1:7" x14ac:dyDescent="0.2">
      <c r="A12">
        <v>800289</v>
      </c>
      <c r="B12" s="229" t="s">
        <v>1138</v>
      </c>
      <c r="C12" t="s">
        <v>2192</v>
      </c>
      <c r="E12">
        <v>0</v>
      </c>
      <c r="F12">
        <v>83</v>
      </c>
      <c r="G12" s="173">
        <v>25</v>
      </c>
    </row>
    <row r="13" spans="1:7" x14ac:dyDescent="0.2">
      <c r="A13">
        <v>833596</v>
      </c>
      <c r="B13" s="229" t="s">
        <v>1138</v>
      </c>
      <c r="C13" t="s">
        <v>2192</v>
      </c>
      <c r="E13">
        <v>0</v>
      </c>
      <c r="F13">
        <v>469</v>
      </c>
      <c r="G13" s="173">
        <v>25</v>
      </c>
    </row>
    <row r="14" spans="1:7" x14ac:dyDescent="0.2">
      <c r="A14">
        <v>833848</v>
      </c>
      <c r="B14" s="229" t="s">
        <v>1138</v>
      </c>
      <c r="C14" t="s">
        <v>2192</v>
      </c>
      <c r="E14">
        <v>0</v>
      </c>
      <c r="F14">
        <v>780</v>
      </c>
      <c r="G14" s="173">
        <v>25</v>
      </c>
    </row>
    <row r="15" spans="1:7" x14ac:dyDescent="0.2">
      <c r="A15">
        <v>800134</v>
      </c>
      <c r="B15" s="229" t="s">
        <v>1139</v>
      </c>
      <c r="C15" t="s">
        <v>2197</v>
      </c>
      <c r="D15" t="s">
        <v>2080</v>
      </c>
      <c r="E15">
        <v>0</v>
      </c>
      <c r="F15">
        <v>57</v>
      </c>
      <c r="G15" s="173">
        <v>12.5</v>
      </c>
    </row>
    <row r="16" spans="1:7" x14ac:dyDescent="0.2">
      <c r="A16">
        <v>800176</v>
      </c>
      <c r="B16" s="229" t="s">
        <v>1139</v>
      </c>
      <c r="C16" t="s">
        <v>2197</v>
      </c>
      <c r="D16" t="s">
        <v>2080</v>
      </c>
      <c r="E16">
        <v>0</v>
      </c>
      <c r="F16">
        <v>477</v>
      </c>
      <c r="G16" s="173">
        <v>12.5</v>
      </c>
    </row>
    <row r="17" spans="1:8" x14ac:dyDescent="0.2">
      <c r="A17">
        <v>834862</v>
      </c>
      <c r="B17" s="229" t="s">
        <v>1140</v>
      </c>
      <c r="C17" t="s">
        <v>2198</v>
      </c>
      <c r="E17">
        <v>0</v>
      </c>
      <c r="F17">
        <v>0</v>
      </c>
      <c r="G17" s="173">
        <v>25</v>
      </c>
    </row>
    <row r="18" spans="1:8" x14ac:dyDescent="0.2">
      <c r="A18" s="553">
        <v>635377</v>
      </c>
      <c r="B18" s="947" t="s">
        <v>1141</v>
      </c>
      <c r="C18" s="553" t="s">
        <v>1142</v>
      </c>
      <c r="D18" s="553"/>
      <c r="E18">
        <v>0</v>
      </c>
      <c r="F18">
        <v>234</v>
      </c>
      <c r="G18" s="948">
        <v>25</v>
      </c>
      <c r="H18" s="553" t="s">
        <v>2178</v>
      </c>
    </row>
    <row r="19" spans="1:8" x14ac:dyDescent="0.2">
      <c r="E19">
        <f>SUM(E1:E18)</f>
        <v>0</v>
      </c>
      <c r="F19">
        <f>SUM(F1:F18)</f>
        <v>12061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opLeftCell="A226" workbookViewId="0">
      <selection activeCell="F243" sqref="F243"/>
    </sheetView>
  </sheetViews>
  <sheetFormatPr defaultRowHeight="12.75" x14ac:dyDescent="0.2"/>
  <cols>
    <col min="1" max="1" width="9.140625" style="229"/>
    <col min="2" max="3" width="25" customWidth="1"/>
    <col min="7" max="7" width="9.140625" style="494"/>
    <col min="8" max="9" width="9.140625" style="98"/>
  </cols>
  <sheetData>
    <row r="1" spans="1:12" ht="14.1" customHeight="1" x14ac:dyDescent="0.2"/>
    <row r="2" spans="1:12" ht="14.1" customHeight="1" x14ac:dyDescent="0.2">
      <c r="A2" s="229" t="s">
        <v>1433</v>
      </c>
      <c r="B2" t="s">
        <v>2199</v>
      </c>
      <c r="C2" t="s">
        <v>2201</v>
      </c>
      <c r="D2" t="s">
        <v>1431</v>
      </c>
      <c r="E2" t="s">
        <v>815</v>
      </c>
      <c r="F2" s="917" t="s">
        <v>1674</v>
      </c>
      <c r="G2" s="494" t="s">
        <v>816</v>
      </c>
      <c r="H2" s="98" t="s">
        <v>817</v>
      </c>
    </row>
    <row r="3" spans="1:12" ht="14.1" customHeight="1" x14ac:dyDescent="0.2">
      <c r="A3">
        <v>1</v>
      </c>
      <c r="B3" t="s">
        <v>2128</v>
      </c>
      <c r="D3">
        <v>801325</v>
      </c>
      <c r="E3" s="918">
        <f>IF(ISNA(VLOOKUP(D3,CNRVol,5,FALSE)),0,VLOOKUP(D3,CNRVol,5,FALSE))</f>
        <v>0</v>
      </c>
      <c r="F3" s="918">
        <f>IF(ISNA(VLOOKUP(D3,CNRVol,6,FALSE)),0,VLOOKUP(D3,CNRVol,6,FALSE))</f>
        <v>0</v>
      </c>
      <c r="G3" s="545">
        <f>+E3*0.9575</f>
        <v>0</v>
      </c>
      <c r="H3" s="918">
        <f>IF(ISNA(VLOOKUP(D3,CNRVol,7,FALSE)),0,VLOOKUP(D3,CNRVol,7,FALSE))</f>
        <v>0</v>
      </c>
      <c r="I3" s="173"/>
      <c r="J3" t="str">
        <f t="shared" ref="J3:J59" si="0">IF(ISNA(VLOOKUP(D3,InCNR,3,FALSE)),"--", "Y")</f>
        <v>Y</v>
      </c>
      <c r="K3" s="226">
        <f t="shared" ref="K3:K59" si="1">IF(ISNA(VLOOKUP(D3,InCNR,3,FALSE)),0,VLOOKUP(D3,InCNR,3,FALSE))</f>
        <v>0</v>
      </c>
      <c r="L3">
        <f t="shared" ref="L3:L59" si="2">+F3-K3</f>
        <v>0</v>
      </c>
    </row>
    <row r="4" spans="1:12" ht="14.1" customHeight="1" x14ac:dyDescent="0.2">
      <c r="A4">
        <v>1</v>
      </c>
      <c r="B4" t="s">
        <v>2128</v>
      </c>
      <c r="D4">
        <v>801553</v>
      </c>
      <c r="E4" s="918">
        <f t="shared" ref="E4:E67" si="3">IF(ISNA(VLOOKUP(D4,CNRVol,5,FALSE)),0,VLOOKUP(D4,CNRVol,5,FALSE))</f>
        <v>0</v>
      </c>
      <c r="F4" s="918">
        <f t="shared" ref="F4:F67" si="4">IF(ISNA(VLOOKUP(D4,CNRVol,6,FALSE)),0,VLOOKUP(D4,CNRVol,6,FALSE))</f>
        <v>0</v>
      </c>
      <c r="G4" s="545">
        <f t="shared" ref="G4:G67" si="5">+E4*0.9575</f>
        <v>0</v>
      </c>
      <c r="H4" s="918">
        <f t="shared" ref="H4:H67" si="6">IF(ISNA(VLOOKUP(D4,CNRVol,7,FALSE)),0,VLOOKUP(D4,CNRVol,7,FALSE))</f>
        <v>0</v>
      </c>
      <c r="I4" s="173"/>
      <c r="J4" t="str">
        <f>IF(ISNA(VLOOKUP(D4,InCNR,3,FALSE)),"--", "Y")</f>
        <v>Y</v>
      </c>
      <c r="K4" s="226">
        <f>IF(ISNA(VLOOKUP(D4,InCNR,3,FALSE)),0,VLOOKUP(D4,InCNR,3,FALSE))</f>
        <v>0</v>
      </c>
      <c r="L4">
        <f>+F4-K4</f>
        <v>0</v>
      </c>
    </row>
    <row r="5" spans="1:12" ht="14.1" customHeight="1" x14ac:dyDescent="0.2">
      <c r="A5">
        <v>1</v>
      </c>
      <c r="B5" t="s">
        <v>2128</v>
      </c>
      <c r="D5">
        <v>801626</v>
      </c>
      <c r="E5" s="918">
        <f t="shared" si="3"/>
        <v>0</v>
      </c>
      <c r="F5" s="918">
        <f t="shared" si="4"/>
        <v>0</v>
      </c>
      <c r="G5" s="545">
        <f t="shared" si="5"/>
        <v>0</v>
      </c>
      <c r="H5" s="918">
        <f t="shared" si="6"/>
        <v>0</v>
      </c>
      <c r="I5" s="173"/>
      <c r="J5" t="str">
        <f t="shared" si="0"/>
        <v>Y</v>
      </c>
      <c r="K5" s="226">
        <f t="shared" si="1"/>
        <v>0</v>
      </c>
      <c r="L5">
        <f t="shared" si="2"/>
        <v>0</v>
      </c>
    </row>
    <row r="6" spans="1:12" ht="14.1" customHeight="1" x14ac:dyDescent="0.2">
      <c r="A6">
        <v>1</v>
      </c>
      <c r="B6" t="s">
        <v>2128</v>
      </c>
      <c r="D6">
        <v>801679</v>
      </c>
      <c r="E6" s="918">
        <f t="shared" si="3"/>
        <v>0</v>
      </c>
      <c r="F6" s="918">
        <f t="shared" si="4"/>
        <v>0</v>
      </c>
      <c r="G6" s="545">
        <f t="shared" si="5"/>
        <v>0</v>
      </c>
      <c r="H6" s="918">
        <f t="shared" si="6"/>
        <v>0</v>
      </c>
      <c r="I6" s="173"/>
      <c r="J6" t="str">
        <f t="shared" si="0"/>
        <v>Y</v>
      </c>
      <c r="K6" s="226">
        <f t="shared" si="1"/>
        <v>0</v>
      </c>
      <c r="L6">
        <f t="shared" si="2"/>
        <v>0</v>
      </c>
    </row>
    <row r="7" spans="1:12" ht="14.1" customHeight="1" x14ac:dyDescent="0.2">
      <c r="A7">
        <v>1</v>
      </c>
      <c r="B7" t="s">
        <v>2128</v>
      </c>
      <c r="D7">
        <v>801701</v>
      </c>
      <c r="E7" s="918">
        <f t="shared" si="3"/>
        <v>0</v>
      </c>
      <c r="F7" s="918">
        <f t="shared" si="4"/>
        <v>0</v>
      </c>
      <c r="G7" s="545">
        <f t="shared" si="5"/>
        <v>0</v>
      </c>
      <c r="H7" s="918">
        <f t="shared" si="6"/>
        <v>0</v>
      </c>
      <c r="I7" s="173"/>
      <c r="J7" t="str">
        <f t="shared" si="0"/>
        <v>Y</v>
      </c>
      <c r="K7" s="226">
        <f t="shared" si="1"/>
        <v>0</v>
      </c>
      <c r="L7">
        <f t="shared" si="2"/>
        <v>0</v>
      </c>
    </row>
    <row r="8" spans="1:12" ht="14.1" customHeight="1" x14ac:dyDescent="0.2">
      <c r="A8">
        <v>1</v>
      </c>
      <c r="B8" t="s">
        <v>2128</v>
      </c>
      <c r="D8">
        <v>801702</v>
      </c>
      <c r="E8" s="918">
        <f t="shared" si="3"/>
        <v>0</v>
      </c>
      <c r="F8" s="918">
        <f t="shared" si="4"/>
        <v>0</v>
      </c>
      <c r="G8" s="545">
        <f t="shared" si="5"/>
        <v>0</v>
      </c>
      <c r="H8" s="918">
        <f t="shared" si="6"/>
        <v>0</v>
      </c>
      <c r="I8" s="173"/>
      <c r="J8" t="str">
        <f t="shared" si="0"/>
        <v>Y</v>
      </c>
      <c r="K8" s="226">
        <f t="shared" si="1"/>
        <v>0</v>
      </c>
      <c r="L8">
        <f t="shared" si="2"/>
        <v>0</v>
      </c>
    </row>
    <row r="9" spans="1:12" ht="14.1" customHeight="1" x14ac:dyDescent="0.2">
      <c r="A9">
        <v>1</v>
      </c>
      <c r="B9" t="s">
        <v>2128</v>
      </c>
      <c r="D9">
        <v>801854</v>
      </c>
      <c r="E9" s="918">
        <f t="shared" si="3"/>
        <v>0</v>
      </c>
      <c r="F9" s="918">
        <f t="shared" si="4"/>
        <v>0</v>
      </c>
      <c r="G9" s="545">
        <f t="shared" si="5"/>
        <v>0</v>
      </c>
      <c r="H9" s="918">
        <f t="shared" si="6"/>
        <v>0</v>
      </c>
      <c r="I9" s="173"/>
      <c r="J9" t="str">
        <f t="shared" si="0"/>
        <v>Y</v>
      </c>
      <c r="K9" s="226">
        <f t="shared" si="1"/>
        <v>0</v>
      </c>
      <c r="L9">
        <f t="shared" si="2"/>
        <v>0</v>
      </c>
    </row>
    <row r="10" spans="1:12" ht="14.1" customHeight="1" x14ac:dyDescent="0.2">
      <c r="A10">
        <v>1</v>
      </c>
      <c r="B10" t="s">
        <v>2128</v>
      </c>
      <c r="D10">
        <v>801884</v>
      </c>
      <c r="E10" s="918">
        <f t="shared" si="3"/>
        <v>0</v>
      </c>
      <c r="F10" s="918">
        <f t="shared" si="4"/>
        <v>0</v>
      </c>
      <c r="G10" s="545">
        <f t="shared" si="5"/>
        <v>0</v>
      </c>
      <c r="H10" s="918">
        <f t="shared" si="6"/>
        <v>0</v>
      </c>
      <c r="I10" s="173"/>
      <c r="J10" t="str">
        <f t="shared" si="0"/>
        <v>Y</v>
      </c>
      <c r="K10" s="226">
        <f t="shared" si="1"/>
        <v>0</v>
      </c>
      <c r="L10">
        <f t="shared" si="2"/>
        <v>0</v>
      </c>
    </row>
    <row r="11" spans="1:12" ht="14.1" customHeight="1" x14ac:dyDescent="0.2">
      <c r="A11">
        <v>1</v>
      </c>
      <c r="B11" t="s">
        <v>2128</v>
      </c>
      <c r="D11">
        <v>802027</v>
      </c>
      <c r="E11" s="918">
        <f t="shared" si="3"/>
        <v>0</v>
      </c>
      <c r="F11" s="918">
        <f t="shared" si="4"/>
        <v>0</v>
      </c>
      <c r="G11" s="545">
        <f t="shared" si="5"/>
        <v>0</v>
      </c>
      <c r="H11" s="918">
        <f t="shared" si="6"/>
        <v>0</v>
      </c>
      <c r="I11" s="173"/>
      <c r="J11" t="str">
        <f t="shared" si="0"/>
        <v>Y</v>
      </c>
      <c r="K11" s="226">
        <f t="shared" si="1"/>
        <v>0</v>
      </c>
      <c r="L11">
        <f t="shared" si="2"/>
        <v>0</v>
      </c>
    </row>
    <row r="12" spans="1:12" ht="14.1" customHeight="1" x14ac:dyDescent="0.2">
      <c r="A12">
        <v>1</v>
      </c>
      <c r="B12" t="s">
        <v>2128</v>
      </c>
      <c r="D12">
        <v>803940</v>
      </c>
      <c r="E12" s="918">
        <f t="shared" si="3"/>
        <v>0</v>
      </c>
      <c r="F12" s="918">
        <f t="shared" si="4"/>
        <v>0</v>
      </c>
      <c r="G12" s="545">
        <f t="shared" si="5"/>
        <v>0</v>
      </c>
      <c r="H12" s="918">
        <f t="shared" si="6"/>
        <v>0</v>
      </c>
      <c r="I12" s="173"/>
      <c r="J12" t="str">
        <f t="shared" si="0"/>
        <v>Y</v>
      </c>
      <c r="K12" s="226">
        <f t="shared" si="1"/>
        <v>0</v>
      </c>
      <c r="L12">
        <f t="shared" si="2"/>
        <v>0</v>
      </c>
    </row>
    <row r="13" spans="1:12" ht="14.1" customHeight="1" x14ac:dyDescent="0.2">
      <c r="A13">
        <v>1</v>
      </c>
      <c r="B13" t="s">
        <v>2128</v>
      </c>
      <c r="D13">
        <v>805403</v>
      </c>
      <c r="E13" s="918">
        <f t="shared" si="3"/>
        <v>0</v>
      </c>
      <c r="F13" s="918">
        <f t="shared" si="4"/>
        <v>0</v>
      </c>
      <c r="G13" s="545">
        <f t="shared" si="5"/>
        <v>0</v>
      </c>
      <c r="H13" s="918">
        <f t="shared" si="6"/>
        <v>0</v>
      </c>
      <c r="I13" s="173"/>
      <c r="J13" t="str">
        <f t="shared" si="0"/>
        <v>Y</v>
      </c>
      <c r="K13" s="226">
        <f t="shared" si="1"/>
        <v>0</v>
      </c>
      <c r="L13">
        <f t="shared" si="2"/>
        <v>0</v>
      </c>
    </row>
    <row r="14" spans="1:12" ht="14.1" customHeight="1" x14ac:dyDescent="0.2">
      <c r="A14">
        <v>1</v>
      </c>
      <c r="B14" t="s">
        <v>2128</v>
      </c>
      <c r="D14">
        <v>813828</v>
      </c>
      <c r="E14" s="918">
        <f t="shared" si="3"/>
        <v>0</v>
      </c>
      <c r="F14" s="918">
        <f t="shared" si="4"/>
        <v>0</v>
      </c>
      <c r="G14" s="545">
        <f t="shared" si="5"/>
        <v>0</v>
      </c>
      <c r="H14" s="918">
        <f t="shared" si="6"/>
        <v>0</v>
      </c>
      <c r="I14" s="173"/>
      <c r="J14" t="str">
        <f t="shared" si="0"/>
        <v>Y</v>
      </c>
      <c r="K14" s="226">
        <f t="shared" si="1"/>
        <v>0</v>
      </c>
      <c r="L14">
        <f t="shared" si="2"/>
        <v>0</v>
      </c>
    </row>
    <row r="15" spans="1:12" ht="14.1" customHeight="1" x14ac:dyDescent="0.2">
      <c r="A15">
        <v>1</v>
      </c>
      <c r="B15" t="s">
        <v>2128</v>
      </c>
      <c r="D15">
        <v>816070</v>
      </c>
      <c r="E15" s="918">
        <f t="shared" si="3"/>
        <v>0</v>
      </c>
      <c r="F15" s="918">
        <f t="shared" si="4"/>
        <v>0</v>
      </c>
      <c r="G15" s="545">
        <f t="shared" si="5"/>
        <v>0</v>
      </c>
      <c r="H15" s="918">
        <f t="shared" si="6"/>
        <v>0</v>
      </c>
      <c r="I15" s="173"/>
      <c r="J15" t="str">
        <f t="shared" si="0"/>
        <v>Y</v>
      </c>
      <c r="K15" s="226">
        <f t="shared" si="1"/>
        <v>0</v>
      </c>
      <c r="L15">
        <f t="shared" si="2"/>
        <v>0</v>
      </c>
    </row>
    <row r="16" spans="1:12" ht="14.1" customHeight="1" x14ac:dyDescent="0.2">
      <c r="A16">
        <v>2</v>
      </c>
      <c r="B16" t="s">
        <v>2129</v>
      </c>
      <c r="D16">
        <v>800880</v>
      </c>
      <c r="E16" s="918">
        <f t="shared" si="3"/>
        <v>0</v>
      </c>
      <c r="F16" s="918">
        <f t="shared" si="4"/>
        <v>0</v>
      </c>
      <c r="G16" s="545">
        <f t="shared" si="5"/>
        <v>0</v>
      </c>
      <c r="H16" s="918">
        <f t="shared" si="6"/>
        <v>0</v>
      </c>
      <c r="I16" s="173"/>
      <c r="J16" t="str">
        <f t="shared" si="0"/>
        <v>Y</v>
      </c>
      <c r="K16" s="226">
        <f t="shared" si="1"/>
        <v>0</v>
      </c>
      <c r="L16">
        <f t="shared" si="2"/>
        <v>0</v>
      </c>
    </row>
    <row r="17" spans="1:12" ht="14.1" customHeight="1" x14ac:dyDescent="0.2">
      <c r="A17">
        <v>3</v>
      </c>
      <c r="B17" t="s">
        <v>2130</v>
      </c>
      <c r="D17">
        <v>802041</v>
      </c>
      <c r="E17" s="918">
        <f t="shared" si="3"/>
        <v>0</v>
      </c>
      <c r="F17" s="918">
        <f t="shared" si="4"/>
        <v>2025</v>
      </c>
      <c r="G17" s="545">
        <f t="shared" si="5"/>
        <v>0</v>
      </c>
      <c r="H17" s="918">
        <f t="shared" si="6"/>
        <v>25</v>
      </c>
      <c r="I17" s="173"/>
      <c r="J17" t="str">
        <f t="shared" si="0"/>
        <v>Y</v>
      </c>
      <c r="K17" s="226">
        <f t="shared" si="1"/>
        <v>2025</v>
      </c>
      <c r="L17">
        <f t="shared" si="2"/>
        <v>0</v>
      </c>
    </row>
    <row r="18" spans="1:12" ht="14.1" customHeight="1" x14ac:dyDescent="0.2">
      <c r="A18">
        <v>4</v>
      </c>
      <c r="B18" t="s">
        <v>2131</v>
      </c>
      <c r="C18" t="s">
        <v>2063</v>
      </c>
      <c r="D18">
        <v>801136</v>
      </c>
      <c r="E18" s="918">
        <f t="shared" si="3"/>
        <v>0</v>
      </c>
      <c r="F18" s="918">
        <f t="shared" si="4"/>
        <v>0</v>
      </c>
      <c r="G18" s="545">
        <f t="shared" si="5"/>
        <v>0</v>
      </c>
      <c r="H18" s="918">
        <f t="shared" si="6"/>
        <v>0</v>
      </c>
      <c r="I18" s="173"/>
      <c r="J18" t="str">
        <f t="shared" si="0"/>
        <v>Y</v>
      </c>
      <c r="K18" s="226">
        <f t="shared" si="1"/>
        <v>0</v>
      </c>
      <c r="L18">
        <f t="shared" si="2"/>
        <v>0</v>
      </c>
    </row>
    <row r="19" spans="1:12" ht="14.1" customHeight="1" x14ac:dyDescent="0.2">
      <c r="A19">
        <v>4</v>
      </c>
      <c r="B19" t="s">
        <v>2131</v>
      </c>
      <c r="C19" t="s">
        <v>2063</v>
      </c>
      <c r="D19">
        <v>801596</v>
      </c>
      <c r="E19" s="918">
        <f t="shared" si="3"/>
        <v>0</v>
      </c>
      <c r="F19" s="918">
        <f t="shared" si="4"/>
        <v>0</v>
      </c>
      <c r="G19" s="545">
        <f t="shared" si="5"/>
        <v>0</v>
      </c>
      <c r="H19" s="918">
        <f t="shared" si="6"/>
        <v>0</v>
      </c>
      <c r="I19" s="173"/>
      <c r="J19" t="str">
        <f t="shared" si="0"/>
        <v>Y</v>
      </c>
      <c r="K19" s="226">
        <f t="shared" si="1"/>
        <v>0</v>
      </c>
      <c r="L19">
        <f t="shared" si="2"/>
        <v>0</v>
      </c>
    </row>
    <row r="20" spans="1:12" ht="14.1" customHeight="1" x14ac:dyDescent="0.2">
      <c r="A20">
        <v>7</v>
      </c>
      <c r="B20" t="s">
        <v>2132</v>
      </c>
      <c r="C20" t="s">
        <v>2064</v>
      </c>
      <c r="D20">
        <v>801808</v>
      </c>
      <c r="E20" s="918">
        <f t="shared" si="3"/>
        <v>0</v>
      </c>
      <c r="F20" s="918">
        <f t="shared" si="4"/>
        <v>0</v>
      </c>
      <c r="G20" s="545">
        <f t="shared" si="5"/>
        <v>0</v>
      </c>
      <c r="H20" s="918">
        <f t="shared" si="6"/>
        <v>0</v>
      </c>
      <c r="I20" s="173"/>
      <c r="J20" t="str">
        <f t="shared" si="0"/>
        <v>Y</v>
      </c>
      <c r="K20" s="226">
        <f t="shared" si="1"/>
        <v>0</v>
      </c>
      <c r="L20">
        <f t="shared" si="2"/>
        <v>0</v>
      </c>
    </row>
    <row r="21" spans="1:12" ht="14.1" customHeight="1" x14ac:dyDescent="0.2">
      <c r="A21">
        <v>12</v>
      </c>
      <c r="B21" t="s">
        <v>2133</v>
      </c>
      <c r="D21">
        <v>825007</v>
      </c>
      <c r="E21" s="918">
        <f t="shared" si="3"/>
        <v>0</v>
      </c>
      <c r="F21" s="918">
        <f t="shared" si="4"/>
        <v>0</v>
      </c>
      <c r="G21" s="545">
        <f t="shared" si="5"/>
        <v>0</v>
      </c>
      <c r="H21" s="918">
        <f t="shared" si="6"/>
        <v>0</v>
      </c>
      <c r="I21" s="173"/>
      <c r="J21" t="str">
        <f t="shared" si="0"/>
        <v>Y</v>
      </c>
      <c r="K21" s="226">
        <f t="shared" si="1"/>
        <v>0</v>
      </c>
      <c r="L21">
        <f t="shared" si="2"/>
        <v>0</v>
      </c>
    </row>
    <row r="22" spans="1:12" ht="14.1" customHeight="1" x14ac:dyDescent="0.2">
      <c r="A22">
        <v>12</v>
      </c>
      <c r="B22" t="s">
        <v>2133</v>
      </c>
      <c r="D22">
        <v>828498</v>
      </c>
      <c r="E22" s="918">
        <f t="shared" si="3"/>
        <v>0</v>
      </c>
      <c r="F22" s="918">
        <f t="shared" si="4"/>
        <v>0</v>
      </c>
      <c r="G22" s="545">
        <f t="shared" si="5"/>
        <v>0</v>
      </c>
      <c r="H22" s="918">
        <f t="shared" si="6"/>
        <v>0</v>
      </c>
      <c r="I22" s="173"/>
      <c r="J22" t="str">
        <f t="shared" si="0"/>
        <v>Y</v>
      </c>
      <c r="K22" s="226">
        <f t="shared" si="1"/>
        <v>0</v>
      </c>
      <c r="L22">
        <f t="shared" si="2"/>
        <v>0</v>
      </c>
    </row>
    <row r="23" spans="1:12" ht="14.1" customHeight="1" x14ac:dyDescent="0.2">
      <c r="A23">
        <v>12</v>
      </c>
      <c r="B23" t="s">
        <v>2133</v>
      </c>
      <c r="D23">
        <v>833444</v>
      </c>
      <c r="E23" s="918">
        <f t="shared" si="3"/>
        <v>0</v>
      </c>
      <c r="F23" s="918">
        <f t="shared" si="4"/>
        <v>0</v>
      </c>
      <c r="G23" s="545">
        <f t="shared" si="5"/>
        <v>0</v>
      </c>
      <c r="H23" s="918">
        <f t="shared" si="6"/>
        <v>0</v>
      </c>
      <c r="I23" s="173"/>
      <c r="J23" t="str">
        <f t="shared" si="0"/>
        <v>Y</v>
      </c>
      <c r="K23" s="226">
        <f t="shared" si="1"/>
        <v>0</v>
      </c>
      <c r="L23">
        <f t="shared" si="2"/>
        <v>0</v>
      </c>
    </row>
    <row r="24" spans="1:12" ht="14.1" customHeight="1" x14ac:dyDescent="0.2">
      <c r="A24">
        <v>12</v>
      </c>
      <c r="B24" t="s">
        <v>2133</v>
      </c>
      <c r="D24">
        <v>833819</v>
      </c>
      <c r="E24" s="918">
        <f t="shared" si="3"/>
        <v>0</v>
      </c>
      <c r="F24" s="918">
        <f t="shared" si="4"/>
        <v>0</v>
      </c>
      <c r="G24" s="545">
        <f t="shared" si="5"/>
        <v>0</v>
      </c>
      <c r="H24" s="918">
        <f t="shared" si="6"/>
        <v>0</v>
      </c>
      <c r="I24" s="173"/>
      <c r="J24" t="str">
        <f t="shared" si="0"/>
        <v>Y</v>
      </c>
      <c r="K24" s="226">
        <f t="shared" si="1"/>
        <v>0</v>
      </c>
      <c r="L24">
        <f t="shared" si="2"/>
        <v>0</v>
      </c>
    </row>
    <row r="25" spans="1:12" ht="14.1" customHeight="1" x14ac:dyDescent="0.2">
      <c r="A25">
        <v>12</v>
      </c>
      <c r="B25" t="s">
        <v>2133</v>
      </c>
      <c r="D25">
        <v>834708</v>
      </c>
      <c r="E25" s="918">
        <f t="shared" si="3"/>
        <v>0</v>
      </c>
      <c r="F25" s="918">
        <f t="shared" si="4"/>
        <v>0</v>
      </c>
      <c r="G25" s="545">
        <f t="shared" si="5"/>
        <v>0</v>
      </c>
      <c r="H25" s="918">
        <f t="shared" si="6"/>
        <v>0</v>
      </c>
      <c r="I25" s="173"/>
      <c r="J25" t="str">
        <f t="shared" si="0"/>
        <v>Y</v>
      </c>
      <c r="K25" s="226">
        <f t="shared" si="1"/>
        <v>0</v>
      </c>
      <c r="L25">
        <f t="shared" si="2"/>
        <v>0</v>
      </c>
    </row>
    <row r="26" spans="1:12" ht="14.1" customHeight="1" x14ac:dyDescent="0.2">
      <c r="A26">
        <v>12</v>
      </c>
      <c r="B26" t="s">
        <v>2133</v>
      </c>
      <c r="D26">
        <v>805750</v>
      </c>
      <c r="E26" s="918">
        <f t="shared" si="3"/>
        <v>0</v>
      </c>
      <c r="F26" s="918">
        <f t="shared" si="4"/>
        <v>0</v>
      </c>
      <c r="G26" s="545">
        <f t="shared" si="5"/>
        <v>0</v>
      </c>
      <c r="H26" s="918">
        <f t="shared" si="6"/>
        <v>0</v>
      </c>
      <c r="I26" s="173"/>
      <c r="J26" t="str">
        <f t="shared" si="0"/>
        <v>Y</v>
      </c>
      <c r="K26" s="226">
        <f t="shared" si="1"/>
        <v>0</v>
      </c>
      <c r="L26">
        <f t="shared" si="2"/>
        <v>0</v>
      </c>
    </row>
    <row r="27" spans="1:12" ht="14.1" customHeight="1" x14ac:dyDescent="0.2">
      <c r="A27">
        <v>12</v>
      </c>
      <c r="B27" t="s">
        <v>2133</v>
      </c>
      <c r="D27">
        <v>828425</v>
      </c>
      <c r="E27" s="918">
        <f t="shared" si="3"/>
        <v>0</v>
      </c>
      <c r="F27" s="918">
        <f t="shared" si="4"/>
        <v>0</v>
      </c>
      <c r="G27" s="545">
        <f t="shared" si="5"/>
        <v>0</v>
      </c>
      <c r="H27" s="918">
        <f t="shared" si="6"/>
        <v>0</v>
      </c>
      <c r="I27" s="173"/>
      <c r="J27" t="str">
        <f t="shared" si="0"/>
        <v>Y</v>
      </c>
      <c r="K27" s="226">
        <f t="shared" si="1"/>
        <v>0</v>
      </c>
      <c r="L27">
        <f t="shared" si="2"/>
        <v>0</v>
      </c>
    </row>
    <row r="28" spans="1:12" ht="14.1" customHeight="1" x14ac:dyDescent="0.2">
      <c r="A28">
        <v>12</v>
      </c>
      <c r="B28" t="s">
        <v>2133</v>
      </c>
      <c r="D28">
        <v>829439</v>
      </c>
      <c r="E28" s="918">
        <f t="shared" si="3"/>
        <v>0</v>
      </c>
      <c r="F28" s="918">
        <f t="shared" si="4"/>
        <v>0</v>
      </c>
      <c r="G28" s="545">
        <f t="shared" si="5"/>
        <v>0</v>
      </c>
      <c r="H28" s="918">
        <f t="shared" si="6"/>
        <v>0</v>
      </c>
      <c r="I28" s="173"/>
      <c r="J28" t="str">
        <f t="shared" si="0"/>
        <v>Y</v>
      </c>
      <c r="K28" s="226">
        <f t="shared" si="1"/>
        <v>0</v>
      </c>
      <c r="L28">
        <f t="shared" si="2"/>
        <v>0</v>
      </c>
    </row>
    <row r="29" spans="1:12" ht="14.1" customHeight="1" x14ac:dyDescent="0.2">
      <c r="A29">
        <v>12</v>
      </c>
      <c r="B29" t="s">
        <v>2133</v>
      </c>
      <c r="D29">
        <v>829440</v>
      </c>
      <c r="E29" s="918">
        <f t="shared" si="3"/>
        <v>0</v>
      </c>
      <c r="F29" s="918">
        <f t="shared" si="4"/>
        <v>0</v>
      </c>
      <c r="G29" s="545">
        <f t="shared" si="5"/>
        <v>0</v>
      </c>
      <c r="H29" s="918">
        <f t="shared" si="6"/>
        <v>0</v>
      </c>
      <c r="I29" s="173"/>
      <c r="J29" t="str">
        <f t="shared" si="0"/>
        <v>Y</v>
      </c>
      <c r="K29" s="226">
        <f t="shared" si="1"/>
        <v>0</v>
      </c>
      <c r="L29">
        <f t="shared" si="2"/>
        <v>0</v>
      </c>
    </row>
    <row r="30" spans="1:12" ht="14.1" customHeight="1" x14ac:dyDescent="0.2">
      <c r="A30">
        <v>12</v>
      </c>
      <c r="B30" t="s">
        <v>2133</v>
      </c>
      <c r="D30">
        <v>829799</v>
      </c>
      <c r="E30" s="918">
        <f t="shared" si="3"/>
        <v>0</v>
      </c>
      <c r="F30" s="918">
        <f t="shared" si="4"/>
        <v>0</v>
      </c>
      <c r="G30" s="545">
        <f t="shared" si="5"/>
        <v>0</v>
      </c>
      <c r="H30" s="918">
        <f t="shared" si="6"/>
        <v>0</v>
      </c>
      <c r="I30" s="173"/>
      <c r="J30" t="str">
        <f t="shared" si="0"/>
        <v>Y</v>
      </c>
      <c r="K30" s="226">
        <f t="shared" si="1"/>
        <v>0</v>
      </c>
      <c r="L30">
        <f t="shared" si="2"/>
        <v>0</v>
      </c>
    </row>
    <row r="31" spans="1:12" ht="14.1" customHeight="1" x14ac:dyDescent="0.2">
      <c r="A31">
        <v>12</v>
      </c>
      <c r="B31" t="s">
        <v>2133</v>
      </c>
      <c r="D31">
        <v>829800</v>
      </c>
      <c r="E31" s="918">
        <f t="shared" si="3"/>
        <v>0</v>
      </c>
      <c r="F31" s="918">
        <f t="shared" si="4"/>
        <v>0</v>
      </c>
      <c r="G31" s="545">
        <f t="shared" si="5"/>
        <v>0</v>
      </c>
      <c r="H31" s="918">
        <f t="shared" si="6"/>
        <v>0</v>
      </c>
      <c r="I31" s="173"/>
      <c r="J31" t="str">
        <f t="shared" si="0"/>
        <v>Y</v>
      </c>
      <c r="K31" s="226">
        <f t="shared" si="1"/>
        <v>0</v>
      </c>
      <c r="L31">
        <f t="shared" si="2"/>
        <v>0</v>
      </c>
    </row>
    <row r="32" spans="1:12" ht="14.1" customHeight="1" x14ac:dyDescent="0.2">
      <c r="A32">
        <v>12</v>
      </c>
      <c r="B32" t="s">
        <v>2133</v>
      </c>
      <c r="D32">
        <v>829802</v>
      </c>
      <c r="E32" s="918">
        <f t="shared" si="3"/>
        <v>0</v>
      </c>
      <c r="F32" s="918">
        <f t="shared" si="4"/>
        <v>0</v>
      </c>
      <c r="G32" s="545">
        <f t="shared" si="5"/>
        <v>0</v>
      </c>
      <c r="H32" s="918">
        <f t="shared" si="6"/>
        <v>0</v>
      </c>
      <c r="I32" s="173"/>
      <c r="J32" t="str">
        <f t="shared" si="0"/>
        <v>Y</v>
      </c>
      <c r="K32" s="226">
        <f t="shared" si="1"/>
        <v>0</v>
      </c>
      <c r="L32">
        <f t="shared" si="2"/>
        <v>0</v>
      </c>
    </row>
    <row r="33" spans="1:12" ht="14.1" customHeight="1" x14ac:dyDescent="0.2">
      <c r="A33">
        <v>12</v>
      </c>
      <c r="B33" t="s">
        <v>2133</v>
      </c>
      <c r="D33">
        <v>830134</v>
      </c>
      <c r="E33" s="918">
        <f t="shared" si="3"/>
        <v>0</v>
      </c>
      <c r="F33" s="918">
        <f t="shared" si="4"/>
        <v>0</v>
      </c>
      <c r="G33" s="545">
        <f t="shared" si="5"/>
        <v>0</v>
      </c>
      <c r="H33" s="918">
        <f t="shared" si="6"/>
        <v>0</v>
      </c>
      <c r="I33" s="173"/>
      <c r="J33" t="str">
        <f t="shared" si="0"/>
        <v>Y</v>
      </c>
      <c r="K33" s="226">
        <f t="shared" si="1"/>
        <v>0</v>
      </c>
      <c r="L33">
        <f t="shared" si="2"/>
        <v>0</v>
      </c>
    </row>
    <row r="34" spans="1:12" ht="14.1" customHeight="1" x14ac:dyDescent="0.2">
      <c r="A34">
        <v>12</v>
      </c>
      <c r="B34" t="s">
        <v>2133</v>
      </c>
      <c r="D34">
        <v>830141</v>
      </c>
      <c r="E34" s="918">
        <f t="shared" si="3"/>
        <v>0</v>
      </c>
      <c r="F34" s="918">
        <f t="shared" si="4"/>
        <v>0</v>
      </c>
      <c r="G34" s="545">
        <f t="shared" si="5"/>
        <v>0</v>
      </c>
      <c r="H34" s="918">
        <f t="shared" si="6"/>
        <v>0</v>
      </c>
      <c r="I34" s="173"/>
      <c r="J34" t="str">
        <f t="shared" si="0"/>
        <v>Y</v>
      </c>
      <c r="K34" s="226">
        <f t="shared" si="1"/>
        <v>0</v>
      </c>
      <c r="L34">
        <f t="shared" si="2"/>
        <v>0</v>
      </c>
    </row>
    <row r="35" spans="1:12" ht="14.1" customHeight="1" x14ac:dyDescent="0.2">
      <c r="A35">
        <v>12</v>
      </c>
      <c r="B35" t="s">
        <v>2133</v>
      </c>
      <c r="D35">
        <v>830152</v>
      </c>
      <c r="E35" s="918">
        <f t="shared" si="3"/>
        <v>0</v>
      </c>
      <c r="F35" s="918">
        <f t="shared" si="4"/>
        <v>0</v>
      </c>
      <c r="G35" s="545">
        <f t="shared" si="5"/>
        <v>0</v>
      </c>
      <c r="H35" s="918">
        <f t="shared" si="6"/>
        <v>0</v>
      </c>
      <c r="I35" s="173"/>
      <c r="J35" t="str">
        <f t="shared" si="0"/>
        <v>Y</v>
      </c>
      <c r="K35" s="226">
        <f t="shared" si="1"/>
        <v>0</v>
      </c>
      <c r="L35">
        <f t="shared" si="2"/>
        <v>0</v>
      </c>
    </row>
    <row r="36" spans="1:12" ht="14.1" customHeight="1" x14ac:dyDescent="0.2">
      <c r="A36">
        <v>12</v>
      </c>
      <c r="B36" t="s">
        <v>2133</v>
      </c>
      <c r="D36">
        <v>830153</v>
      </c>
      <c r="E36" s="918">
        <f t="shared" si="3"/>
        <v>0</v>
      </c>
      <c r="F36" s="918">
        <f t="shared" si="4"/>
        <v>0</v>
      </c>
      <c r="G36" s="545">
        <f t="shared" si="5"/>
        <v>0</v>
      </c>
      <c r="H36" s="918">
        <f t="shared" si="6"/>
        <v>0</v>
      </c>
      <c r="I36" s="173"/>
      <c r="J36" t="str">
        <f t="shared" si="0"/>
        <v>Y</v>
      </c>
      <c r="K36" s="226">
        <f t="shared" si="1"/>
        <v>0</v>
      </c>
      <c r="L36">
        <f t="shared" si="2"/>
        <v>0</v>
      </c>
    </row>
    <row r="37" spans="1:12" ht="14.1" customHeight="1" x14ac:dyDescent="0.2">
      <c r="A37">
        <v>12</v>
      </c>
      <c r="B37" t="s">
        <v>2133</v>
      </c>
      <c r="D37">
        <v>830487</v>
      </c>
      <c r="E37" s="918">
        <f t="shared" si="3"/>
        <v>0</v>
      </c>
      <c r="F37" s="918">
        <f t="shared" si="4"/>
        <v>0</v>
      </c>
      <c r="G37" s="545">
        <f t="shared" si="5"/>
        <v>0</v>
      </c>
      <c r="H37" s="918">
        <f t="shared" si="6"/>
        <v>0</v>
      </c>
      <c r="I37" s="173"/>
      <c r="J37" t="str">
        <f t="shared" si="0"/>
        <v>Y</v>
      </c>
      <c r="K37" s="226">
        <f t="shared" si="1"/>
        <v>0</v>
      </c>
      <c r="L37">
        <f t="shared" si="2"/>
        <v>0</v>
      </c>
    </row>
    <row r="38" spans="1:12" ht="14.1" customHeight="1" x14ac:dyDescent="0.2">
      <c r="A38">
        <v>12</v>
      </c>
      <c r="B38" t="s">
        <v>2133</v>
      </c>
      <c r="D38">
        <v>830489</v>
      </c>
      <c r="E38" s="918">
        <f t="shared" si="3"/>
        <v>0</v>
      </c>
      <c r="F38" s="918">
        <f t="shared" si="4"/>
        <v>0</v>
      </c>
      <c r="G38" s="545">
        <f t="shared" si="5"/>
        <v>0</v>
      </c>
      <c r="H38" s="918">
        <f t="shared" si="6"/>
        <v>0</v>
      </c>
      <c r="I38" s="173"/>
      <c r="J38" t="str">
        <f t="shared" si="0"/>
        <v>Y</v>
      </c>
      <c r="K38" s="226">
        <f t="shared" si="1"/>
        <v>0</v>
      </c>
      <c r="L38">
        <f t="shared" si="2"/>
        <v>0</v>
      </c>
    </row>
    <row r="39" spans="1:12" ht="14.1" customHeight="1" x14ac:dyDescent="0.2">
      <c r="A39">
        <v>12</v>
      </c>
      <c r="B39" t="s">
        <v>2133</v>
      </c>
      <c r="D39">
        <v>833475</v>
      </c>
      <c r="E39" s="918">
        <f t="shared" si="3"/>
        <v>0</v>
      </c>
      <c r="F39" s="918">
        <f t="shared" si="4"/>
        <v>0</v>
      </c>
      <c r="G39" s="545">
        <f t="shared" si="5"/>
        <v>0</v>
      </c>
      <c r="H39" s="918">
        <f t="shared" si="6"/>
        <v>0</v>
      </c>
      <c r="I39" s="173"/>
      <c r="J39" t="str">
        <f t="shared" si="0"/>
        <v>Y</v>
      </c>
      <c r="K39" s="226">
        <f t="shared" si="1"/>
        <v>0</v>
      </c>
      <c r="L39">
        <f t="shared" si="2"/>
        <v>0</v>
      </c>
    </row>
    <row r="40" spans="1:12" ht="14.1" customHeight="1" x14ac:dyDescent="0.2">
      <c r="A40">
        <v>12</v>
      </c>
      <c r="B40" t="s">
        <v>2133</v>
      </c>
      <c r="D40">
        <v>833564</v>
      </c>
      <c r="E40" s="918">
        <f t="shared" si="3"/>
        <v>0</v>
      </c>
      <c r="F40" s="918">
        <f t="shared" si="4"/>
        <v>0</v>
      </c>
      <c r="G40" s="545">
        <f t="shared" si="5"/>
        <v>0</v>
      </c>
      <c r="H40" s="918">
        <f t="shared" si="6"/>
        <v>0</v>
      </c>
      <c r="I40" s="173"/>
      <c r="J40" t="str">
        <f t="shared" si="0"/>
        <v>Y</v>
      </c>
      <c r="K40" s="226">
        <f t="shared" si="1"/>
        <v>0</v>
      </c>
      <c r="L40">
        <f t="shared" si="2"/>
        <v>0</v>
      </c>
    </row>
    <row r="41" spans="1:12" ht="14.1" customHeight="1" x14ac:dyDescent="0.2">
      <c r="A41">
        <v>12</v>
      </c>
      <c r="B41" t="s">
        <v>2133</v>
      </c>
      <c r="D41">
        <v>833567</v>
      </c>
      <c r="E41" s="918">
        <f t="shared" si="3"/>
        <v>0</v>
      </c>
      <c r="F41" s="918">
        <f t="shared" si="4"/>
        <v>0</v>
      </c>
      <c r="G41" s="545">
        <f t="shared" si="5"/>
        <v>0</v>
      </c>
      <c r="H41" s="918">
        <f t="shared" si="6"/>
        <v>0</v>
      </c>
      <c r="I41" s="173"/>
      <c r="J41" t="str">
        <f t="shared" si="0"/>
        <v>Y</v>
      </c>
      <c r="K41" s="226">
        <f t="shared" si="1"/>
        <v>0</v>
      </c>
      <c r="L41">
        <f t="shared" si="2"/>
        <v>0</v>
      </c>
    </row>
    <row r="42" spans="1:12" ht="14.1" customHeight="1" x14ac:dyDescent="0.2">
      <c r="A42">
        <v>12</v>
      </c>
      <c r="B42" t="s">
        <v>2133</v>
      </c>
      <c r="D42">
        <v>833616</v>
      </c>
      <c r="E42" s="918">
        <f t="shared" si="3"/>
        <v>0</v>
      </c>
      <c r="F42" s="918">
        <f t="shared" si="4"/>
        <v>0</v>
      </c>
      <c r="G42" s="545">
        <f t="shared" si="5"/>
        <v>0</v>
      </c>
      <c r="H42" s="918">
        <f t="shared" si="6"/>
        <v>0</v>
      </c>
      <c r="I42" s="173"/>
      <c r="J42" t="str">
        <f t="shared" si="0"/>
        <v>Y</v>
      </c>
      <c r="K42" s="226">
        <f t="shared" si="1"/>
        <v>0</v>
      </c>
      <c r="L42">
        <f t="shared" si="2"/>
        <v>0</v>
      </c>
    </row>
    <row r="43" spans="1:12" ht="14.1" customHeight="1" x14ac:dyDescent="0.2">
      <c r="A43">
        <v>12</v>
      </c>
      <c r="B43" t="s">
        <v>2133</v>
      </c>
      <c r="D43">
        <v>834719</v>
      </c>
      <c r="E43" s="918">
        <f t="shared" si="3"/>
        <v>0</v>
      </c>
      <c r="F43" s="918">
        <f t="shared" si="4"/>
        <v>0</v>
      </c>
      <c r="G43" s="545">
        <f t="shared" si="5"/>
        <v>0</v>
      </c>
      <c r="H43" s="918">
        <f t="shared" si="6"/>
        <v>0</v>
      </c>
      <c r="I43" s="173"/>
      <c r="J43" t="str">
        <f t="shared" si="0"/>
        <v>Y</v>
      </c>
      <c r="K43" s="226">
        <f t="shared" si="1"/>
        <v>0</v>
      </c>
      <c r="L43">
        <f t="shared" si="2"/>
        <v>0</v>
      </c>
    </row>
    <row r="44" spans="1:12" ht="14.1" customHeight="1" x14ac:dyDescent="0.2">
      <c r="A44">
        <v>12</v>
      </c>
      <c r="B44" t="s">
        <v>2133</v>
      </c>
      <c r="D44">
        <v>834793</v>
      </c>
      <c r="E44" s="918">
        <f t="shared" si="3"/>
        <v>0</v>
      </c>
      <c r="F44" s="918">
        <f t="shared" si="4"/>
        <v>0</v>
      </c>
      <c r="G44" s="545">
        <f t="shared" si="5"/>
        <v>0</v>
      </c>
      <c r="H44" s="918">
        <f t="shared" si="6"/>
        <v>0</v>
      </c>
      <c r="I44" s="173"/>
      <c r="J44" t="str">
        <f t="shared" si="0"/>
        <v>Y</v>
      </c>
      <c r="K44" s="226">
        <f t="shared" si="1"/>
        <v>0</v>
      </c>
      <c r="L44">
        <f t="shared" si="2"/>
        <v>0</v>
      </c>
    </row>
    <row r="45" spans="1:12" ht="14.1" customHeight="1" x14ac:dyDescent="0.2">
      <c r="A45">
        <v>12</v>
      </c>
      <c r="B45" t="s">
        <v>2133</v>
      </c>
      <c r="D45">
        <v>835063</v>
      </c>
      <c r="E45" s="918">
        <f t="shared" si="3"/>
        <v>0</v>
      </c>
      <c r="F45" s="918">
        <f t="shared" si="4"/>
        <v>0</v>
      </c>
      <c r="G45" s="545">
        <f t="shared" si="5"/>
        <v>0</v>
      </c>
      <c r="H45" s="918">
        <f t="shared" si="6"/>
        <v>0</v>
      </c>
      <c r="I45" s="173"/>
      <c r="J45" t="str">
        <f t="shared" si="0"/>
        <v>Y</v>
      </c>
      <c r="K45" s="226">
        <f t="shared" si="1"/>
        <v>0</v>
      </c>
      <c r="L45">
        <f t="shared" si="2"/>
        <v>0</v>
      </c>
    </row>
    <row r="46" spans="1:12" ht="14.1" customHeight="1" x14ac:dyDescent="0.2">
      <c r="A46">
        <v>12</v>
      </c>
      <c r="B46" t="s">
        <v>2133</v>
      </c>
      <c r="D46">
        <v>835839</v>
      </c>
      <c r="E46" s="918">
        <f t="shared" si="3"/>
        <v>0</v>
      </c>
      <c r="F46" s="918">
        <f t="shared" si="4"/>
        <v>0</v>
      </c>
      <c r="G46" s="545">
        <f t="shared" si="5"/>
        <v>0</v>
      </c>
      <c r="H46" s="918">
        <f t="shared" si="6"/>
        <v>0</v>
      </c>
      <c r="I46" s="173"/>
      <c r="J46" t="str">
        <f t="shared" si="0"/>
        <v>Y</v>
      </c>
      <c r="K46" s="226">
        <f t="shared" si="1"/>
        <v>0</v>
      </c>
      <c r="L46">
        <f t="shared" si="2"/>
        <v>0</v>
      </c>
    </row>
    <row r="47" spans="1:12" ht="14.1" customHeight="1" x14ac:dyDescent="0.2">
      <c r="A47">
        <v>21</v>
      </c>
      <c r="B47" t="s">
        <v>2134</v>
      </c>
      <c r="D47">
        <v>821201</v>
      </c>
      <c r="E47" s="918">
        <f t="shared" si="3"/>
        <v>0</v>
      </c>
      <c r="F47" s="918">
        <f t="shared" si="4"/>
        <v>0</v>
      </c>
      <c r="G47" s="545">
        <f t="shared" si="5"/>
        <v>0</v>
      </c>
      <c r="H47" s="918">
        <f t="shared" si="6"/>
        <v>0</v>
      </c>
      <c r="I47" s="173"/>
      <c r="J47" t="str">
        <f t="shared" si="0"/>
        <v>Y</v>
      </c>
      <c r="K47" s="226">
        <f t="shared" si="1"/>
        <v>0</v>
      </c>
      <c r="L47">
        <f t="shared" si="2"/>
        <v>0</v>
      </c>
    </row>
    <row r="48" spans="1:12" ht="14.1" customHeight="1" x14ac:dyDescent="0.2">
      <c r="A48">
        <v>21</v>
      </c>
      <c r="B48" t="s">
        <v>2134</v>
      </c>
      <c r="D48">
        <v>823408</v>
      </c>
      <c r="E48" s="918">
        <f t="shared" si="3"/>
        <v>0</v>
      </c>
      <c r="F48" s="918">
        <f t="shared" si="4"/>
        <v>0</v>
      </c>
      <c r="G48" s="545">
        <f t="shared" si="5"/>
        <v>0</v>
      </c>
      <c r="H48" s="918">
        <f t="shared" si="6"/>
        <v>0</v>
      </c>
      <c r="I48" s="173"/>
      <c r="J48" t="str">
        <f t="shared" si="0"/>
        <v>Y</v>
      </c>
      <c r="K48" s="226">
        <f t="shared" si="1"/>
        <v>0</v>
      </c>
      <c r="L48">
        <f t="shared" si="2"/>
        <v>0</v>
      </c>
    </row>
    <row r="49" spans="1:12" ht="14.1" customHeight="1" x14ac:dyDescent="0.2">
      <c r="A49">
        <v>21</v>
      </c>
      <c r="B49" t="s">
        <v>2134</v>
      </c>
      <c r="D49">
        <v>826468</v>
      </c>
      <c r="E49" s="918">
        <f t="shared" si="3"/>
        <v>0</v>
      </c>
      <c r="F49" s="918">
        <f t="shared" si="4"/>
        <v>0</v>
      </c>
      <c r="G49" s="545">
        <f t="shared" si="5"/>
        <v>0</v>
      </c>
      <c r="H49" s="918">
        <f t="shared" si="6"/>
        <v>0</v>
      </c>
      <c r="I49" s="173"/>
      <c r="J49" t="str">
        <f t="shared" si="0"/>
        <v>Y</v>
      </c>
      <c r="K49" s="226">
        <f t="shared" si="1"/>
        <v>0</v>
      </c>
      <c r="L49">
        <f t="shared" si="2"/>
        <v>0</v>
      </c>
    </row>
    <row r="50" spans="1:12" ht="14.1" customHeight="1" x14ac:dyDescent="0.2">
      <c r="A50">
        <v>21</v>
      </c>
      <c r="B50" t="s">
        <v>2134</v>
      </c>
      <c r="D50">
        <v>829086</v>
      </c>
      <c r="E50" s="918">
        <f t="shared" si="3"/>
        <v>0</v>
      </c>
      <c r="F50" s="918">
        <f t="shared" si="4"/>
        <v>0</v>
      </c>
      <c r="G50" s="545">
        <f t="shared" si="5"/>
        <v>0</v>
      </c>
      <c r="H50" s="918">
        <f t="shared" si="6"/>
        <v>0</v>
      </c>
      <c r="I50" s="173"/>
      <c r="J50" t="str">
        <f t="shared" si="0"/>
        <v>Y</v>
      </c>
      <c r="K50" s="226">
        <f t="shared" si="1"/>
        <v>0</v>
      </c>
      <c r="L50">
        <f t="shared" si="2"/>
        <v>0</v>
      </c>
    </row>
    <row r="51" spans="1:12" ht="14.1" customHeight="1" x14ac:dyDescent="0.2">
      <c r="A51">
        <v>21</v>
      </c>
      <c r="B51" t="s">
        <v>2134</v>
      </c>
      <c r="D51">
        <v>829618</v>
      </c>
      <c r="E51" s="918">
        <f t="shared" si="3"/>
        <v>0</v>
      </c>
      <c r="F51" s="918">
        <f t="shared" si="4"/>
        <v>0</v>
      </c>
      <c r="G51" s="545">
        <f t="shared" si="5"/>
        <v>0</v>
      </c>
      <c r="H51" s="918">
        <f t="shared" si="6"/>
        <v>0</v>
      </c>
      <c r="I51" s="173"/>
      <c r="J51" t="str">
        <f t="shared" si="0"/>
        <v>Y</v>
      </c>
      <c r="K51" s="226">
        <f t="shared" si="1"/>
        <v>0</v>
      </c>
      <c r="L51">
        <f t="shared" si="2"/>
        <v>0</v>
      </c>
    </row>
    <row r="52" spans="1:12" ht="14.1" customHeight="1" x14ac:dyDescent="0.2">
      <c r="A52">
        <v>21</v>
      </c>
      <c r="B52" t="s">
        <v>2134</v>
      </c>
      <c r="D52">
        <v>835574</v>
      </c>
      <c r="E52" s="918">
        <f t="shared" si="3"/>
        <v>0</v>
      </c>
      <c r="F52" s="918">
        <f t="shared" si="4"/>
        <v>0</v>
      </c>
      <c r="G52" s="545">
        <f t="shared" si="5"/>
        <v>0</v>
      </c>
      <c r="H52" s="918">
        <f t="shared" si="6"/>
        <v>0</v>
      </c>
      <c r="I52" s="173"/>
      <c r="J52" t="str">
        <f t="shared" si="0"/>
        <v>Y</v>
      </c>
      <c r="K52" s="226">
        <f t="shared" si="1"/>
        <v>0</v>
      </c>
      <c r="L52">
        <f t="shared" si="2"/>
        <v>0</v>
      </c>
    </row>
    <row r="53" spans="1:12" ht="14.1" customHeight="1" x14ac:dyDescent="0.2">
      <c r="A53">
        <v>22</v>
      </c>
      <c r="B53" t="s">
        <v>2135</v>
      </c>
      <c r="D53">
        <v>817162</v>
      </c>
      <c r="E53" s="918">
        <f t="shared" si="3"/>
        <v>0</v>
      </c>
      <c r="F53" s="918">
        <f t="shared" si="4"/>
        <v>0</v>
      </c>
      <c r="G53" s="545">
        <f t="shared" si="5"/>
        <v>0</v>
      </c>
      <c r="H53" s="918">
        <f t="shared" si="6"/>
        <v>0</v>
      </c>
      <c r="I53" s="173"/>
      <c r="J53" t="str">
        <f t="shared" si="0"/>
        <v>Y</v>
      </c>
      <c r="K53" s="226">
        <f t="shared" si="1"/>
        <v>0</v>
      </c>
      <c r="L53">
        <f t="shared" si="2"/>
        <v>0</v>
      </c>
    </row>
    <row r="54" spans="1:12" ht="14.1" customHeight="1" x14ac:dyDescent="0.2">
      <c r="A54">
        <v>22</v>
      </c>
      <c r="B54" t="s">
        <v>2135</v>
      </c>
      <c r="D54">
        <v>821202</v>
      </c>
      <c r="E54" s="918">
        <f t="shared" si="3"/>
        <v>0</v>
      </c>
      <c r="F54" s="918">
        <f t="shared" si="4"/>
        <v>0</v>
      </c>
      <c r="G54" s="545">
        <f t="shared" si="5"/>
        <v>0</v>
      </c>
      <c r="H54" s="918">
        <f t="shared" si="6"/>
        <v>0</v>
      </c>
      <c r="I54" s="173"/>
      <c r="J54" t="str">
        <f t="shared" si="0"/>
        <v>Y</v>
      </c>
      <c r="K54" s="226">
        <f t="shared" si="1"/>
        <v>0</v>
      </c>
      <c r="L54">
        <f t="shared" si="2"/>
        <v>0</v>
      </c>
    </row>
    <row r="55" spans="1:12" ht="14.1" customHeight="1" x14ac:dyDescent="0.2">
      <c r="A55">
        <v>23</v>
      </c>
      <c r="B55" t="s">
        <v>2136</v>
      </c>
      <c r="D55">
        <v>800842</v>
      </c>
      <c r="E55" s="918">
        <f t="shared" si="3"/>
        <v>0</v>
      </c>
      <c r="F55" s="918">
        <f t="shared" si="4"/>
        <v>0</v>
      </c>
      <c r="G55" s="545">
        <f t="shared" si="5"/>
        <v>0</v>
      </c>
      <c r="H55" s="918">
        <f t="shared" si="6"/>
        <v>0</v>
      </c>
      <c r="I55" s="173"/>
      <c r="J55" t="str">
        <f t="shared" si="0"/>
        <v>Y</v>
      </c>
      <c r="K55" s="226">
        <f t="shared" si="1"/>
        <v>0</v>
      </c>
      <c r="L55">
        <f t="shared" si="2"/>
        <v>0</v>
      </c>
    </row>
    <row r="56" spans="1:12" ht="14.1" customHeight="1" x14ac:dyDescent="0.2">
      <c r="A56">
        <v>23</v>
      </c>
      <c r="B56" t="s">
        <v>2136</v>
      </c>
      <c r="D56">
        <v>805603</v>
      </c>
      <c r="E56" s="918">
        <f t="shared" si="3"/>
        <v>0</v>
      </c>
      <c r="F56" s="918">
        <f t="shared" si="4"/>
        <v>0</v>
      </c>
      <c r="G56" s="545">
        <f t="shared" si="5"/>
        <v>0</v>
      </c>
      <c r="H56" s="918">
        <f t="shared" si="6"/>
        <v>0</v>
      </c>
      <c r="I56" s="173"/>
      <c r="J56" t="str">
        <f t="shared" si="0"/>
        <v>Y</v>
      </c>
      <c r="K56" s="226">
        <f t="shared" si="1"/>
        <v>0</v>
      </c>
      <c r="L56">
        <f t="shared" si="2"/>
        <v>0</v>
      </c>
    </row>
    <row r="57" spans="1:12" ht="14.1" customHeight="1" x14ac:dyDescent="0.2">
      <c r="A57">
        <v>23</v>
      </c>
      <c r="B57" t="s">
        <v>2136</v>
      </c>
      <c r="D57">
        <v>805904</v>
      </c>
      <c r="E57" s="918">
        <f t="shared" si="3"/>
        <v>0</v>
      </c>
      <c r="F57" s="918">
        <f t="shared" si="4"/>
        <v>0</v>
      </c>
      <c r="G57" s="545">
        <f t="shared" si="5"/>
        <v>0</v>
      </c>
      <c r="H57" s="918">
        <f t="shared" si="6"/>
        <v>0</v>
      </c>
      <c r="I57" s="173"/>
      <c r="J57" t="str">
        <f t="shared" si="0"/>
        <v>Y</v>
      </c>
      <c r="K57" s="226">
        <f t="shared" si="1"/>
        <v>0</v>
      </c>
      <c r="L57">
        <f t="shared" si="2"/>
        <v>0</v>
      </c>
    </row>
    <row r="58" spans="1:12" ht="14.1" customHeight="1" x14ac:dyDescent="0.2">
      <c r="A58">
        <v>32</v>
      </c>
      <c r="B58" t="s">
        <v>2137</v>
      </c>
      <c r="D58">
        <v>829804</v>
      </c>
      <c r="E58" s="918">
        <f t="shared" si="3"/>
        <v>0</v>
      </c>
      <c r="F58" s="918">
        <f t="shared" si="4"/>
        <v>0</v>
      </c>
      <c r="G58" s="545">
        <f t="shared" si="5"/>
        <v>0</v>
      </c>
      <c r="H58" s="918">
        <f t="shared" si="6"/>
        <v>0</v>
      </c>
      <c r="I58" s="173"/>
      <c r="J58" t="str">
        <f t="shared" si="0"/>
        <v>Y</v>
      </c>
      <c r="K58" s="226">
        <f t="shared" si="1"/>
        <v>0</v>
      </c>
      <c r="L58">
        <f t="shared" si="2"/>
        <v>0</v>
      </c>
    </row>
    <row r="59" spans="1:12" ht="14.1" customHeight="1" x14ac:dyDescent="0.2">
      <c r="A59">
        <v>36</v>
      </c>
      <c r="B59" t="s">
        <v>2138</v>
      </c>
      <c r="D59">
        <v>800536</v>
      </c>
      <c r="E59" s="918">
        <f t="shared" si="3"/>
        <v>0</v>
      </c>
      <c r="F59" s="918">
        <f t="shared" si="4"/>
        <v>0</v>
      </c>
      <c r="G59" s="545">
        <f t="shared" si="5"/>
        <v>0</v>
      </c>
      <c r="H59" s="918">
        <f t="shared" si="6"/>
        <v>0</v>
      </c>
      <c r="I59" s="173"/>
      <c r="J59" t="str">
        <f t="shared" si="0"/>
        <v>Y</v>
      </c>
      <c r="K59" s="226">
        <f t="shared" si="1"/>
        <v>0</v>
      </c>
      <c r="L59">
        <f t="shared" si="2"/>
        <v>0</v>
      </c>
    </row>
    <row r="60" spans="1:12" ht="14.1" customHeight="1" x14ac:dyDescent="0.2">
      <c r="A60">
        <v>39</v>
      </c>
      <c r="B60" t="s">
        <v>2139</v>
      </c>
      <c r="D60">
        <v>802320</v>
      </c>
      <c r="E60" s="918">
        <f t="shared" si="3"/>
        <v>0</v>
      </c>
      <c r="F60" s="918">
        <f t="shared" si="4"/>
        <v>0</v>
      </c>
      <c r="G60" s="545">
        <f t="shared" si="5"/>
        <v>0</v>
      </c>
      <c r="H60" s="918">
        <f t="shared" si="6"/>
        <v>0</v>
      </c>
      <c r="I60" s="173"/>
      <c r="J60" t="str">
        <f>IF(ISNA(VLOOKUP(D60,InCNR,3,FALSE)),"--", "Y")</f>
        <v>Y</v>
      </c>
      <c r="K60" s="226">
        <f>IF(ISNA(VLOOKUP(D60,InCNR,3,FALSE)),0,VLOOKUP(D60,InCNR,3,FALSE))</f>
        <v>0</v>
      </c>
      <c r="L60">
        <f>+F60-K60</f>
        <v>0</v>
      </c>
    </row>
    <row r="61" spans="1:12" ht="14.1" customHeight="1" x14ac:dyDescent="0.2">
      <c r="A61">
        <v>39</v>
      </c>
      <c r="B61" t="s">
        <v>2139</v>
      </c>
      <c r="D61">
        <v>802797</v>
      </c>
      <c r="E61" s="918">
        <f t="shared" si="3"/>
        <v>0</v>
      </c>
      <c r="F61" s="918">
        <f t="shared" si="4"/>
        <v>0</v>
      </c>
      <c r="G61" s="545">
        <f t="shared" si="5"/>
        <v>0</v>
      </c>
      <c r="H61" s="918">
        <f t="shared" si="6"/>
        <v>0</v>
      </c>
      <c r="I61" s="173"/>
      <c r="J61" t="str">
        <f t="shared" ref="J61:J115" si="7">IF(ISNA(VLOOKUP(D61,InCNR,3,FALSE)),"--", "Y")</f>
        <v>Y</v>
      </c>
      <c r="K61" s="226">
        <f t="shared" ref="K61:K115" si="8">IF(ISNA(VLOOKUP(D61,InCNR,3,FALSE)),0,VLOOKUP(D61,InCNR,3,FALSE))</f>
        <v>0</v>
      </c>
      <c r="L61">
        <f t="shared" ref="L61:L115" si="9">+F61-K61</f>
        <v>0</v>
      </c>
    </row>
    <row r="62" spans="1:12" ht="14.1" customHeight="1" x14ac:dyDescent="0.2">
      <c r="A62">
        <v>39</v>
      </c>
      <c r="B62" t="s">
        <v>2139</v>
      </c>
      <c r="D62">
        <v>803088</v>
      </c>
      <c r="E62" s="918">
        <f t="shared" si="3"/>
        <v>0</v>
      </c>
      <c r="F62" s="918">
        <f t="shared" si="4"/>
        <v>0</v>
      </c>
      <c r="G62" s="545">
        <f t="shared" si="5"/>
        <v>0</v>
      </c>
      <c r="H62" s="918">
        <f t="shared" si="6"/>
        <v>0</v>
      </c>
      <c r="I62" s="173"/>
      <c r="J62" t="str">
        <f t="shared" si="7"/>
        <v>Y</v>
      </c>
      <c r="K62" s="226">
        <f t="shared" si="8"/>
        <v>0</v>
      </c>
      <c r="L62">
        <f t="shared" si="9"/>
        <v>0</v>
      </c>
    </row>
    <row r="63" spans="1:12" ht="14.1" customHeight="1" x14ac:dyDescent="0.2">
      <c r="A63">
        <v>40</v>
      </c>
      <c r="B63" t="s">
        <v>2140</v>
      </c>
      <c r="D63">
        <v>800794</v>
      </c>
      <c r="E63" s="918">
        <f t="shared" si="3"/>
        <v>0</v>
      </c>
      <c r="F63" s="918">
        <f t="shared" si="4"/>
        <v>0</v>
      </c>
      <c r="G63" s="545">
        <f t="shared" si="5"/>
        <v>0</v>
      </c>
      <c r="H63" s="918">
        <f t="shared" si="6"/>
        <v>0</v>
      </c>
      <c r="I63" s="173"/>
      <c r="J63" t="str">
        <f t="shared" si="7"/>
        <v>Y</v>
      </c>
      <c r="K63" s="226">
        <f t="shared" si="8"/>
        <v>0</v>
      </c>
      <c r="L63">
        <f t="shared" si="9"/>
        <v>0</v>
      </c>
    </row>
    <row r="64" spans="1:12" ht="14.1" customHeight="1" x14ac:dyDescent="0.2">
      <c r="A64">
        <v>40</v>
      </c>
      <c r="B64" t="s">
        <v>2140</v>
      </c>
      <c r="D64">
        <v>800913</v>
      </c>
      <c r="E64" s="918">
        <f t="shared" si="3"/>
        <v>0</v>
      </c>
      <c r="F64" s="918">
        <f t="shared" si="4"/>
        <v>0</v>
      </c>
      <c r="G64" s="545">
        <f t="shared" si="5"/>
        <v>0</v>
      </c>
      <c r="H64" s="918">
        <f t="shared" si="6"/>
        <v>0</v>
      </c>
      <c r="I64" s="173"/>
      <c r="J64" t="str">
        <f t="shared" si="7"/>
        <v>Y</v>
      </c>
      <c r="K64" s="226">
        <f t="shared" si="8"/>
        <v>0</v>
      </c>
      <c r="L64">
        <f t="shared" si="9"/>
        <v>0</v>
      </c>
    </row>
    <row r="65" spans="1:12" ht="14.1" customHeight="1" x14ac:dyDescent="0.2">
      <c r="A65">
        <v>40</v>
      </c>
      <c r="B65" t="s">
        <v>2140</v>
      </c>
      <c r="D65">
        <v>804831</v>
      </c>
      <c r="E65" s="918">
        <f t="shared" si="3"/>
        <v>0</v>
      </c>
      <c r="F65" s="918">
        <f t="shared" si="4"/>
        <v>0</v>
      </c>
      <c r="G65" s="545">
        <f t="shared" si="5"/>
        <v>0</v>
      </c>
      <c r="H65" s="918">
        <f t="shared" si="6"/>
        <v>0</v>
      </c>
      <c r="I65" s="173"/>
      <c r="J65" t="str">
        <f>IF(ISNA(VLOOKUP(D65,InCNR,3,FALSE)),"--", "Y")</f>
        <v>Y</v>
      </c>
      <c r="K65" s="226">
        <f>IF(ISNA(VLOOKUP(D65,InCNR,3,FALSE)),0,VLOOKUP(D65,InCNR,3,FALSE))</f>
        <v>0</v>
      </c>
      <c r="L65">
        <f>+F65-K65</f>
        <v>0</v>
      </c>
    </row>
    <row r="66" spans="1:12" ht="14.1" customHeight="1" x14ac:dyDescent="0.2">
      <c r="A66">
        <v>40</v>
      </c>
      <c r="B66" t="s">
        <v>2140</v>
      </c>
      <c r="D66">
        <v>819183</v>
      </c>
      <c r="E66" s="918">
        <f t="shared" si="3"/>
        <v>0</v>
      </c>
      <c r="F66" s="918">
        <f t="shared" si="4"/>
        <v>0</v>
      </c>
      <c r="G66" s="545">
        <f t="shared" si="5"/>
        <v>0</v>
      </c>
      <c r="H66" s="918">
        <f t="shared" si="6"/>
        <v>0</v>
      </c>
      <c r="I66" s="173"/>
      <c r="J66" t="str">
        <f t="shared" si="7"/>
        <v>Y</v>
      </c>
      <c r="K66" s="226">
        <f t="shared" si="8"/>
        <v>0</v>
      </c>
      <c r="L66">
        <f t="shared" si="9"/>
        <v>0</v>
      </c>
    </row>
    <row r="67" spans="1:12" ht="14.1" customHeight="1" x14ac:dyDescent="0.2">
      <c r="A67">
        <v>40</v>
      </c>
      <c r="B67" t="s">
        <v>2140</v>
      </c>
      <c r="D67">
        <v>827900</v>
      </c>
      <c r="E67" s="918">
        <f t="shared" si="3"/>
        <v>0</v>
      </c>
      <c r="F67" s="918">
        <f t="shared" si="4"/>
        <v>0</v>
      </c>
      <c r="G67" s="545">
        <f t="shared" si="5"/>
        <v>0</v>
      </c>
      <c r="H67" s="918">
        <f t="shared" si="6"/>
        <v>0</v>
      </c>
      <c r="I67" s="173"/>
      <c r="J67" t="str">
        <f t="shared" si="7"/>
        <v>Y</v>
      </c>
      <c r="K67" s="226">
        <f t="shared" si="8"/>
        <v>0</v>
      </c>
      <c r="L67">
        <f t="shared" si="9"/>
        <v>0</v>
      </c>
    </row>
    <row r="68" spans="1:12" ht="14.1" customHeight="1" x14ac:dyDescent="0.2">
      <c r="A68">
        <v>40</v>
      </c>
      <c r="B68" t="s">
        <v>2140</v>
      </c>
      <c r="D68">
        <v>828684</v>
      </c>
      <c r="E68" s="918">
        <f t="shared" ref="E68:E131" si="10">IF(ISNA(VLOOKUP(D68,CNRVol,5,FALSE)),0,VLOOKUP(D68,CNRVol,5,FALSE))</f>
        <v>0</v>
      </c>
      <c r="F68" s="918">
        <f t="shared" ref="F68:F131" si="11">IF(ISNA(VLOOKUP(D68,CNRVol,6,FALSE)),0,VLOOKUP(D68,CNRVol,6,FALSE))</f>
        <v>0</v>
      </c>
      <c r="G68" s="545">
        <f t="shared" ref="G68:G131" si="12">+E68*0.9575</f>
        <v>0</v>
      </c>
      <c r="H68" s="918">
        <f t="shared" ref="H68:H131" si="13">IF(ISNA(VLOOKUP(D68,CNRVol,7,FALSE)),0,VLOOKUP(D68,CNRVol,7,FALSE))</f>
        <v>0</v>
      </c>
      <c r="I68" s="173"/>
      <c r="J68" t="str">
        <f t="shared" si="7"/>
        <v>Y</v>
      </c>
      <c r="K68" s="226">
        <f t="shared" si="8"/>
        <v>0</v>
      </c>
      <c r="L68">
        <f t="shared" si="9"/>
        <v>0</v>
      </c>
    </row>
    <row r="69" spans="1:12" ht="14.1" customHeight="1" x14ac:dyDescent="0.2">
      <c r="A69">
        <v>40</v>
      </c>
      <c r="B69" t="s">
        <v>2140</v>
      </c>
      <c r="D69">
        <v>822289</v>
      </c>
      <c r="E69" s="918">
        <f t="shared" si="10"/>
        <v>0</v>
      </c>
      <c r="F69" s="918">
        <f t="shared" si="11"/>
        <v>0</v>
      </c>
      <c r="G69" s="545">
        <f t="shared" si="12"/>
        <v>0</v>
      </c>
      <c r="H69" s="918">
        <f t="shared" si="13"/>
        <v>0</v>
      </c>
      <c r="I69" s="173"/>
      <c r="J69" t="str">
        <f t="shared" si="7"/>
        <v>Y</v>
      </c>
      <c r="K69" s="226">
        <f t="shared" si="8"/>
        <v>0</v>
      </c>
      <c r="L69">
        <f t="shared" si="9"/>
        <v>0</v>
      </c>
    </row>
    <row r="70" spans="1:12" ht="14.1" customHeight="1" x14ac:dyDescent="0.2">
      <c r="A70">
        <v>43</v>
      </c>
      <c r="B70" t="s">
        <v>2141</v>
      </c>
      <c r="C70" t="s">
        <v>2065</v>
      </c>
      <c r="D70">
        <v>801525</v>
      </c>
      <c r="E70" s="918">
        <f t="shared" si="10"/>
        <v>0</v>
      </c>
      <c r="F70" s="918">
        <f t="shared" si="11"/>
        <v>0</v>
      </c>
      <c r="G70" s="545">
        <f t="shared" si="12"/>
        <v>0</v>
      </c>
      <c r="H70" s="918">
        <f t="shared" si="13"/>
        <v>0</v>
      </c>
      <c r="I70" s="173"/>
      <c r="J70" t="str">
        <f t="shared" si="7"/>
        <v>Y</v>
      </c>
      <c r="K70" s="226">
        <f t="shared" si="8"/>
        <v>0</v>
      </c>
      <c r="L70">
        <f t="shared" si="9"/>
        <v>0</v>
      </c>
    </row>
    <row r="71" spans="1:12" ht="14.1" customHeight="1" x14ac:dyDescent="0.2">
      <c r="A71">
        <v>43</v>
      </c>
      <c r="B71" t="s">
        <v>2141</v>
      </c>
      <c r="C71" t="s">
        <v>2065</v>
      </c>
      <c r="D71">
        <v>804376</v>
      </c>
      <c r="E71" s="918">
        <f t="shared" si="10"/>
        <v>0</v>
      </c>
      <c r="F71" s="918">
        <f t="shared" si="11"/>
        <v>0</v>
      </c>
      <c r="G71" s="545">
        <f t="shared" si="12"/>
        <v>0</v>
      </c>
      <c r="H71" s="918">
        <f t="shared" si="13"/>
        <v>0</v>
      </c>
      <c r="I71" s="173"/>
      <c r="J71" t="str">
        <f t="shared" si="7"/>
        <v>Y</v>
      </c>
      <c r="K71" s="226">
        <f t="shared" si="8"/>
        <v>0</v>
      </c>
      <c r="L71">
        <f t="shared" si="9"/>
        <v>0</v>
      </c>
    </row>
    <row r="72" spans="1:12" ht="14.1" customHeight="1" x14ac:dyDescent="0.2">
      <c r="A72">
        <v>43</v>
      </c>
      <c r="B72" t="s">
        <v>2141</v>
      </c>
      <c r="C72" t="s">
        <v>2065</v>
      </c>
      <c r="D72">
        <v>804430</v>
      </c>
      <c r="E72" s="918">
        <f t="shared" si="10"/>
        <v>0</v>
      </c>
      <c r="F72" s="918">
        <f t="shared" si="11"/>
        <v>0</v>
      </c>
      <c r="G72" s="545">
        <f t="shared" si="12"/>
        <v>0</v>
      </c>
      <c r="H72" s="918">
        <f t="shared" si="13"/>
        <v>0</v>
      </c>
      <c r="I72" s="173"/>
      <c r="J72" t="str">
        <f>IF(ISNA(VLOOKUP(D72,InCNR,3,FALSE)),"--", "Y")</f>
        <v>Y</v>
      </c>
      <c r="K72" s="226">
        <f>IF(ISNA(VLOOKUP(D72,InCNR,3,FALSE)),0,VLOOKUP(D72,InCNR,3,FALSE))</f>
        <v>0</v>
      </c>
      <c r="L72">
        <f>+F72-K72</f>
        <v>0</v>
      </c>
    </row>
    <row r="73" spans="1:12" ht="14.1" customHeight="1" x14ac:dyDescent="0.2">
      <c r="A73">
        <v>43</v>
      </c>
      <c r="B73" t="s">
        <v>2141</v>
      </c>
      <c r="C73" t="s">
        <v>2065</v>
      </c>
      <c r="D73">
        <v>805176</v>
      </c>
      <c r="E73" s="918">
        <f t="shared" si="10"/>
        <v>0</v>
      </c>
      <c r="F73" s="918">
        <f t="shared" si="11"/>
        <v>0</v>
      </c>
      <c r="G73" s="545">
        <f t="shared" si="12"/>
        <v>0</v>
      </c>
      <c r="H73" s="918">
        <f t="shared" si="13"/>
        <v>0</v>
      </c>
      <c r="I73" s="173"/>
      <c r="J73" t="str">
        <f t="shared" si="7"/>
        <v>Y</v>
      </c>
      <c r="K73" s="226">
        <f t="shared" si="8"/>
        <v>0</v>
      </c>
      <c r="L73">
        <f t="shared" si="9"/>
        <v>0</v>
      </c>
    </row>
    <row r="74" spans="1:12" ht="14.1" customHeight="1" x14ac:dyDescent="0.2">
      <c r="A74">
        <v>48</v>
      </c>
      <c r="B74" t="s">
        <v>2142</v>
      </c>
      <c r="C74" t="s">
        <v>2066</v>
      </c>
      <c r="D74">
        <v>805808</v>
      </c>
      <c r="E74" s="918">
        <f t="shared" si="10"/>
        <v>0</v>
      </c>
      <c r="F74" s="918">
        <f t="shared" si="11"/>
        <v>0</v>
      </c>
      <c r="G74" s="545">
        <f t="shared" si="12"/>
        <v>0</v>
      </c>
      <c r="H74" s="918">
        <f t="shared" si="13"/>
        <v>0</v>
      </c>
      <c r="I74" s="173"/>
      <c r="J74" t="str">
        <f t="shared" si="7"/>
        <v>Y</v>
      </c>
      <c r="K74" s="226">
        <f t="shared" si="8"/>
        <v>0</v>
      </c>
      <c r="L74">
        <f t="shared" si="9"/>
        <v>0</v>
      </c>
    </row>
    <row r="75" spans="1:12" ht="14.1" customHeight="1" x14ac:dyDescent="0.2">
      <c r="A75">
        <v>48</v>
      </c>
      <c r="B75" t="s">
        <v>2142</v>
      </c>
      <c r="C75" t="s">
        <v>2066</v>
      </c>
      <c r="D75">
        <v>801897</v>
      </c>
      <c r="E75" s="918">
        <f t="shared" si="10"/>
        <v>0</v>
      </c>
      <c r="F75" s="918">
        <f t="shared" si="11"/>
        <v>0</v>
      </c>
      <c r="G75" s="545">
        <f t="shared" si="12"/>
        <v>0</v>
      </c>
      <c r="H75" s="918">
        <f t="shared" si="13"/>
        <v>0</v>
      </c>
      <c r="I75" s="173"/>
      <c r="J75" t="str">
        <f t="shared" si="7"/>
        <v>Y</v>
      </c>
      <c r="K75" s="226">
        <f t="shared" si="8"/>
        <v>0</v>
      </c>
      <c r="L75">
        <f t="shared" si="9"/>
        <v>0</v>
      </c>
    </row>
    <row r="76" spans="1:12" ht="14.1" customHeight="1" x14ac:dyDescent="0.2">
      <c r="A76">
        <v>48</v>
      </c>
      <c r="B76" t="s">
        <v>2142</v>
      </c>
      <c r="C76" t="s">
        <v>2066</v>
      </c>
      <c r="D76">
        <v>801996</v>
      </c>
      <c r="E76" s="918">
        <f t="shared" si="10"/>
        <v>0</v>
      </c>
      <c r="F76" s="918">
        <f t="shared" si="11"/>
        <v>0</v>
      </c>
      <c r="G76" s="545">
        <f t="shared" si="12"/>
        <v>0</v>
      </c>
      <c r="H76" s="918">
        <f t="shared" si="13"/>
        <v>0</v>
      </c>
      <c r="I76" s="173"/>
      <c r="J76" t="str">
        <f t="shared" si="7"/>
        <v>Y</v>
      </c>
      <c r="K76" s="226">
        <f t="shared" si="8"/>
        <v>0</v>
      </c>
      <c r="L76">
        <f t="shared" si="9"/>
        <v>0</v>
      </c>
    </row>
    <row r="77" spans="1:12" ht="14.1" customHeight="1" x14ac:dyDescent="0.2">
      <c r="A77">
        <v>48</v>
      </c>
      <c r="B77" t="s">
        <v>2142</v>
      </c>
      <c r="C77" t="s">
        <v>2066</v>
      </c>
      <c r="D77">
        <v>802013</v>
      </c>
      <c r="E77" s="918">
        <f t="shared" si="10"/>
        <v>0</v>
      </c>
      <c r="F77" s="918">
        <f t="shared" si="11"/>
        <v>0</v>
      </c>
      <c r="G77" s="545">
        <f t="shared" si="12"/>
        <v>0</v>
      </c>
      <c r="H77" s="918">
        <f t="shared" si="13"/>
        <v>0</v>
      </c>
      <c r="I77" s="173"/>
      <c r="J77" t="str">
        <f t="shared" si="7"/>
        <v>Y</v>
      </c>
      <c r="K77" s="226">
        <f t="shared" si="8"/>
        <v>0</v>
      </c>
      <c r="L77">
        <f t="shared" si="9"/>
        <v>0</v>
      </c>
    </row>
    <row r="78" spans="1:12" ht="14.1" customHeight="1" x14ac:dyDescent="0.2">
      <c r="A78">
        <v>48</v>
      </c>
      <c r="B78" t="s">
        <v>2142</v>
      </c>
      <c r="C78" t="s">
        <v>2066</v>
      </c>
      <c r="D78">
        <v>802145</v>
      </c>
      <c r="E78" s="918">
        <f t="shared" si="10"/>
        <v>0</v>
      </c>
      <c r="F78" s="918">
        <f t="shared" si="11"/>
        <v>0</v>
      </c>
      <c r="G78" s="545">
        <f t="shared" si="12"/>
        <v>0</v>
      </c>
      <c r="H78" s="918">
        <f t="shared" si="13"/>
        <v>0</v>
      </c>
      <c r="I78" s="173"/>
      <c r="J78" t="str">
        <f t="shared" si="7"/>
        <v>Y</v>
      </c>
      <c r="K78" s="226">
        <f t="shared" si="8"/>
        <v>0</v>
      </c>
      <c r="L78">
        <f t="shared" si="9"/>
        <v>0</v>
      </c>
    </row>
    <row r="79" spans="1:12" ht="14.1" customHeight="1" x14ac:dyDescent="0.2">
      <c r="A79">
        <v>48</v>
      </c>
      <c r="B79" t="s">
        <v>2142</v>
      </c>
      <c r="C79" t="s">
        <v>2066</v>
      </c>
      <c r="D79">
        <v>802146</v>
      </c>
      <c r="E79" s="918">
        <f t="shared" si="10"/>
        <v>0</v>
      </c>
      <c r="F79" s="918">
        <f t="shared" si="11"/>
        <v>0</v>
      </c>
      <c r="G79" s="545">
        <f t="shared" si="12"/>
        <v>0</v>
      </c>
      <c r="H79" s="918">
        <f t="shared" si="13"/>
        <v>0</v>
      </c>
      <c r="I79" s="173"/>
      <c r="J79" t="str">
        <f t="shared" si="7"/>
        <v>Y</v>
      </c>
      <c r="K79" s="226">
        <f t="shared" si="8"/>
        <v>0</v>
      </c>
      <c r="L79">
        <f t="shared" si="9"/>
        <v>0</v>
      </c>
    </row>
    <row r="80" spans="1:12" ht="14.1" customHeight="1" x14ac:dyDescent="0.2">
      <c r="A80">
        <v>48</v>
      </c>
      <c r="B80" t="s">
        <v>2142</v>
      </c>
      <c r="C80" t="s">
        <v>2066</v>
      </c>
      <c r="D80">
        <v>802592</v>
      </c>
      <c r="E80" s="918">
        <f t="shared" si="10"/>
        <v>0</v>
      </c>
      <c r="F80" s="918">
        <f t="shared" si="11"/>
        <v>0</v>
      </c>
      <c r="G80" s="545">
        <f t="shared" si="12"/>
        <v>0</v>
      </c>
      <c r="H80" s="918">
        <f t="shared" si="13"/>
        <v>0</v>
      </c>
      <c r="I80" s="173"/>
      <c r="J80" t="str">
        <f t="shared" si="7"/>
        <v>Y</v>
      </c>
      <c r="K80" s="226">
        <f t="shared" si="8"/>
        <v>0</v>
      </c>
      <c r="L80">
        <f t="shared" si="9"/>
        <v>0</v>
      </c>
    </row>
    <row r="81" spans="1:12" ht="14.1" customHeight="1" x14ac:dyDescent="0.2">
      <c r="A81">
        <v>48</v>
      </c>
      <c r="B81" t="s">
        <v>2142</v>
      </c>
      <c r="C81" t="s">
        <v>2066</v>
      </c>
      <c r="D81">
        <v>802642</v>
      </c>
      <c r="E81" s="918">
        <f t="shared" si="10"/>
        <v>0</v>
      </c>
      <c r="F81" s="918">
        <f t="shared" si="11"/>
        <v>0</v>
      </c>
      <c r="G81" s="545">
        <f t="shared" si="12"/>
        <v>0</v>
      </c>
      <c r="H81" s="918">
        <f t="shared" si="13"/>
        <v>0</v>
      </c>
      <c r="I81" s="173"/>
      <c r="J81" t="str">
        <f t="shared" si="7"/>
        <v>Y</v>
      </c>
      <c r="K81" s="226">
        <f t="shared" si="8"/>
        <v>0</v>
      </c>
      <c r="L81">
        <f t="shared" si="9"/>
        <v>0</v>
      </c>
    </row>
    <row r="82" spans="1:12" ht="14.1" customHeight="1" x14ac:dyDescent="0.2">
      <c r="A82">
        <v>48</v>
      </c>
      <c r="B82" t="s">
        <v>2142</v>
      </c>
      <c r="C82" t="s">
        <v>2066</v>
      </c>
      <c r="D82">
        <v>802655</v>
      </c>
      <c r="E82" s="918">
        <f t="shared" si="10"/>
        <v>0</v>
      </c>
      <c r="F82" s="918">
        <f t="shared" si="11"/>
        <v>0</v>
      </c>
      <c r="G82" s="545">
        <f t="shared" si="12"/>
        <v>0</v>
      </c>
      <c r="H82" s="918">
        <f t="shared" si="13"/>
        <v>0</v>
      </c>
      <c r="I82" s="173"/>
      <c r="J82" t="str">
        <f t="shared" si="7"/>
        <v>Y</v>
      </c>
      <c r="K82" s="226">
        <f t="shared" si="8"/>
        <v>0</v>
      </c>
      <c r="L82">
        <f t="shared" si="9"/>
        <v>0</v>
      </c>
    </row>
    <row r="83" spans="1:12" ht="14.1" customHeight="1" x14ac:dyDescent="0.2">
      <c r="A83">
        <v>48</v>
      </c>
      <c r="B83" t="s">
        <v>2142</v>
      </c>
      <c r="C83" t="s">
        <v>2066</v>
      </c>
      <c r="D83">
        <v>803011</v>
      </c>
      <c r="E83" s="918">
        <f t="shared" si="10"/>
        <v>0</v>
      </c>
      <c r="F83" s="918">
        <f t="shared" si="11"/>
        <v>0</v>
      </c>
      <c r="G83" s="545">
        <f t="shared" si="12"/>
        <v>0</v>
      </c>
      <c r="H83" s="918">
        <f t="shared" si="13"/>
        <v>0</v>
      </c>
      <c r="I83" s="173"/>
      <c r="J83" t="str">
        <f t="shared" si="7"/>
        <v>Y</v>
      </c>
      <c r="K83" s="226">
        <f t="shared" si="8"/>
        <v>0</v>
      </c>
      <c r="L83">
        <f t="shared" si="9"/>
        <v>0</v>
      </c>
    </row>
    <row r="84" spans="1:12" ht="14.1" customHeight="1" x14ac:dyDescent="0.2">
      <c r="A84">
        <v>48</v>
      </c>
      <c r="B84" t="s">
        <v>2142</v>
      </c>
      <c r="C84" t="s">
        <v>2066</v>
      </c>
      <c r="D84">
        <v>803258</v>
      </c>
      <c r="E84" s="918">
        <f t="shared" si="10"/>
        <v>0</v>
      </c>
      <c r="F84" s="918">
        <f t="shared" si="11"/>
        <v>0</v>
      </c>
      <c r="G84" s="545">
        <f t="shared" si="12"/>
        <v>0</v>
      </c>
      <c r="H84" s="918">
        <f t="shared" si="13"/>
        <v>0</v>
      </c>
      <c r="I84" s="173"/>
      <c r="J84" t="str">
        <f t="shared" si="7"/>
        <v>Y</v>
      </c>
      <c r="K84" s="226">
        <f t="shared" si="8"/>
        <v>0</v>
      </c>
      <c r="L84">
        <f t="shared" si="9"/>
        <v>0</v>
      </c>
    </row>
    <row r="85" spans="1:12" ht="14.1" customHeight="1" x14ac:dyDescent="0.2">
      <c r="A85">
        <v>48</v>
      </c>
      <c r="B85" t="s">
        <v>2142</v>
      </c>
      <c r="C85" t="s">
        <v>2066</v>
      </c>
      <c r="D85">
        <v>804344</v>
      </c>
      <c r="E85" s="918">
        <f t="shared" si="10"/>
        <v>0</v>
      </c>
      <c r="F85" s="918">
        <f t="shared" si="11"/>
        <v>0</v>
      </c>
      <c r="G85" s="545">
        <f t="shared" si="12"/>
        <v>0</v>
      </c>
      <c r="H85" s="918">
        <f t="shared" si="13"/>
        <v>0</v>
      </c>
      <c r="I85" s="173"/>
      <c r="J85" t="str">
        <f t="shared" si="7"/>
        <v>Y</v>
      </c>
      <c r="K85" s="226">
        <f t="shared" si="8"/>
        <v>0</v>
      </c>
      <c r="L85">
        <f t="shared" si="9"/>
        <v>0</v>
      </c>
    </row>
    <row r="86" spans="1:12" ht="14.1" customHeight="1" x14ac:dyDescent="0.2">
      <c r="A86">
        <v>48</v>
      </c>
      <c r="B86" t="s">
        <v>2142</v>
      </c>
      <c r="C86" t="s">
        <v>2066</v>
      </c>
      <c r="D86">
        <v>816097</v>
      </c>
      <c r="E86" s="918">
        <f t="shared" si="10"/>
        <v>0</v>
      </c>
      <c r="F86" s="918">
        <f t="shared" si="11"/>
        <v>0</v>
      </c>
      <c r="G86" s="545">
        <f t="shared" si="12"/>
        <v>0</v>
      </c>
      <c r="H86" s="918">
        <f t="shared" si="13"/>
        <v>0</v>
      </c>
      <c r="I86" s="173"/>
      <c r="J86" t="str">
        <f t="shared" si="7"/>
        <v>Y</v>
      </c>
      <c r="K86" s="226">
        <f t="shared" si="8"/>
        <v>0</v>
      </c>
      <c r="L86">
        <f t="shared" si="9"/>
        <v>0</v>
      </c>
    </row>
    <row r="87" spans="1:12" ht="14.1" customHeight="1" x14ac:dyDescent="0.2">
      <c r="A87">
        <v>48</v>
      </c>
      <c r="B87" t="s">
        <v>2142</v>
      </c>
      <c r="C87" t="s">
        <v>2066</v>
      </c>
      <c r="D87">
        <v>824927</v>
      </c>
      <c r="E87" s="918">
        <f t="shared" si="10"/>
        <v>0</v>
      </c>
      <c r="F87" s="918">
        <f t="shared" si="11"/>
        <v>0</v>
      </c>
      <c r="G87" s="545">
        <f t="shared" si="12"/>
        <v>0</v>
      </c>
      <c r="H87" s="918">
        <f t="shared" si="13"/>
        <v>0</v>
      </c>
      <c r="I87" s="173"/>
      <c r="J87" t="str">
        <f>IF(ISNA(VLOOKUP(D87,InCNR,3,FALSE)),"--", "Y")</f>
        <v>Y</v>
      </c>
      <c r="K87" s="226">
        <f>IF(ISNA(VLOOKUP(D87,InCNR,3,FALSE)),0,VLOOKUP(D87,InCNR,3,FALSE))</f>
        <v>0</v>
      </c>
      <c r="L87">
        <f>+F87-K87</f>
        <v>0</v>
      </c>
    </row>
    <row r="88" spans="1:12" ht="14.1" customHeight="1" x14ac:dyDescent="0.2">
      <c r="A88">
        <v>48</v>
      </c>
      <c r="B88" t="s">
        <v>2142</v>
      </c>
      <c r="C88" t="s">
        <v>2066</v>
      </c>
      <c r="D88">
        <v>827191</v>
      </c>
      <c r="E88" s="918">
        <f t="shared" si="10"/>
        <v>0</v>
      </c>
      <c r="F88" s="918">
        <f t="shared" si="11"/>
        <v>0</v>
      </c>
      <c r="G88" s="545">
        <f t="shared" si="12"/>
        <v>0</v>
      </c>
      <c r="H88" s="918">
        <f t="shared" si="13"/>
        <v>0</v>
      </c>
      <c r="I88" s="173"/>
      <c r="J88" t="str">
        <f t="shared" si="7"/>
        <v>Y</v>
      </c>
      <c r="K88" s="226">
        <f t="shared" si="8"/>
        <v>0</v>
      </c>
      <c r="L88">
        <f t="shared" si="9"/>
        <v>0</v>
      </c>
    </row>
    <row r="89" spans="1:12" ht="14.1" customHeight="1" x14ac:dyDescent="0.2">
      <c r="A89">
        <v>48</v>
      </c>
      <c r="B89" t="s">
        <v>2142</v>
      </c>
      <c r="C89" t="s">
        <v>2066</v>
      </c>
      <c r="D89">
        <v>827203</v>
      </c>
      <c r="E89" s="918">
        <f t="shared" si="10"/>
        <v>0</v>
      </c>
      <c r="F89" s="918">
        <f t="shared" si="11"/>
        <v>0</v>
      </c>
      <c r="G89" s="545">
        <f t="shared" si="12"/>
        <v>0</v>
      </c>
      <c r="H89" s="918">
        <f t="shared" si="13"/>
        <v>0</v>
      </c>
      <c r="I89" s="173"/>
      <c r="J89" t="str">
        <f t="shared" si="7"/>
        <v>Y</v>
      </c>
      <c r="K89" s="226">
        <f t="shared" si="8"/>
        <v>0</v>
      </c>
      <c r="L89">
        <f t="shared" si="9"/>
        <v>0</v>
      </c>
    </row>
    <row r="90" spans="1:12" ht="14.1" customHeight="1" x14ac:dyDescent="0.2">
      <c r="A90">
        <v>48</v>
      </c>
      <c r="B90" t="s">
        <v>2142</v>
      </c>
      <c r="C90" t="s">
        <v>2066</v>
      </c>
      <c r="D90">
        <v>828377</v>
      </c>
      <c r="E90" s="918">
        <f t="shared" si="10"/>
        <v>0</v>
      </c>
      <c r="F90" s="918">
        <f t="shared" si="11"/>
        <v>0</v>
      </c>
      <c r="G90" s="545">
        <f t="shared" si="12"/>
        <v>0</v>
      </c>
      <c r="H90" s="918">
        <f t="shared" si="13"/>
        <v>0</v>
      </c>
      <c r="I90" s="173"/>
      <c r="J90" t="str">
        <f t="shared" si="7"/>
        <v>Y</v>
      </c>
      <c r="K90" s="226">
        <f t="shared" si="8"/>
        <v>0</v>
      </c>
      <c r="L90">
        <f t="shared" si="9"/>
        <v>0</v>
      </c>
    </row>
    <row r="91" spans="1:12" ht="14.1" customHeight="1" x14ac:dyDescent="0.2">
      <c r="A91">
        <v>48</v>
      </c>
      <c r="B91" t="s">
        <v>2142</v>
      </c>
      <c r="C91" t="s">
        <v>2066</v>
      </c>
      <c r="D91">
        <v>828385</v>
      </c>
      <c r="E91" s="918">
        <f t="shared" si="10"/>
        <v>0</v>
      </c>
      <c r="F91" s="918">
        <f t="shared" si="11"/>
        <v>0</v>
      </c>
      <c r="G91" s="545">
        <f t="shared" si="12"/>
        <v>0</v>
      </c>
      <c r="H91" s="918">
        <f t="shared" si="13"/>
        <v>0</v>
      </c>
      <c r="I91" s="173"/>
      <c r="J91" t="str">
        <f t="shared" si="7"/>
        <v>Y</v>
      </c>
      <c r="K91" s="226">
        <f t="shared" si="8"/>
        <v>0</v>
      </c>
      <c r="L91">
        <f t="shared" si="9"/>
        <v>0</v>
      </c>
    </row>
    <row r="92" spans="1:12" ht="14.1" customHeight="1" x14ac:dyDescent="0.2">
      <c r="A92">
        <v>48</v>
      </c>
      <c r="B92" t="s">
        <v>2142</v>
      </c>
      <c r="C92" t="s">
        <v>2066</v>
      </c>
      <c r="D92">
        <v>828394</v>
      </c>
      <c r="E92" s="918">
        <f t="shared" si="10"/>
        <v>0</v>
      </c>
      <c r="F92" s="918">
        <f t="shared" si="11"/>
        <v>0</v>
      </c>
      <c r="G92" s="545">
        <f t="shared" si="12"/>
        <v>0</v>
      </c>
      <c r="H92" s="918">
        <f t="shared" si="13"/>
        <v>0</v>
      </c>
      <c r="I92" s="173"/>
      <c r="J92" t="str">
        <f t="shared" si="7"/>
        <v>Y</v>
      </c>
      <c r="K92" s="226">
        <f t="shared" si="8"/>
        <v>0</v>
      </c>
      <c r="L92">
        <f t="shared" si="9"/>
        <v>0</v>
      </c>
    </row>
    <row r="93" spans="1:12" ht="14.1" customHeight="1" x14ac:dyDescent="0.2">
      <c r="A93">
        <v>48</v>
      </c>
      <c r="B93" t="s">
        <v>2142</v>
      </c>
      <c r="C93" t="s">
        <v>2066</v>
      </c>
      <c r="D93">
        <v>829391</v>
      </c>
      <c r="E93" s="918">
        <f t="shared" si="10"/>
        <v>0</v>
      </c>
      <c r="F93" s="918">
        <f t="shared" si="11"/>
        <v>0</v>
      </c>
      <c r="G93" s="545">
        <f t="shared" si="12"/>
        <v>0</v>
      </c>
      <c r="H93" s="918">
        <f t="shared" si="13"/>
        <v>0</v>
      </c>
      <c r="I93" s="173"/>
      <c r="J93" t="str">
        <f t="shared" si="7"/>
        <v>Y</v>
      </c>
      <c r="K93" s="226">
        <f t="shared" si="8"/>
        <v>0</v>
      </c>
      <c r="L93">
        <f t="shared" si="9"/>
        <v>0</v>
      </c>
    </row>
    <row r="94" spans="1:12" ht="14.1" customHeight="1" x14ac:dyDescent="0.2">
      <c r="A94">
        <v>48</v>
      </c>
      <c r="B94" t="s">
        <v>2142</v>
      </c>
      <c r="C94" t="s">
        <v>2066</v>
      </c>
      <c r="D94">
        <v>829863</v>
      </c>
      <c r="E94" s="918">
        <f t="shared" si="10"/>
        <v>0</v>
      </c>
      <c r="F94" s="918">
        <f t="shared" si="11"/>
        <v>0</v>
      </c>
      <c r="G94" s="545">
        <f t="shared" si="12"/>
        <v>0</v>
      </c>
      <c r="H94" s="918">
        <f t="shared" si="13"/>
        <v>0</v>
      </c>
      <c r="I94" s="173"/>
      <c r="J94" t="str">
        <f t="shared" si="7"/>
        <v>Y</v>
      </c>
      <c r="K94" s="226">
        <f t="shared" si="8"/>
        <v>0</v>
      </c>
      <c r="L94">
        <f t="shared" si="9"/>
        <v>0</v>
      </c>
    </row>
    <row r="95" spans="1:12" ht="14.1" customHeight="1" x14ac:dyDescent="0.2">
      <c r="A95">
        <v>48</v>
      </c>
      <c r="B95" t="s">
        <v>2142</v>
      </c>
      <c r="C95" t="s">
        <v>2066</v>
      </c>
      <c r="D95">
        <v>829864</v>
      </c>
      <c r="E95" s="918">
        <f t="shared" si="10"/>
        <v>0</v>
      </c>
      <c r="F95" s="918">
        <f t="shared" si="11"/>
        <v>0</v>
      </c>
      <c r="G95" s="545">
        <f t="shared" si="12"/>
        <v>0</v>
      </c>
      <c r="H95" s="918">
        <f t="shared" si="13"/>
        <v>0</v>
      </c>
      <c r="I95" s="173"/>
      <c r="J95" t="str">
        <f t="shared" si="7"/>
        <v>Y</v>
      </c>
      <c r="K95" s="226">
        <f t="shared" si="8"/>
        <v>0</v>
      </c>
      <c r="L95">
        <f t="shared" si="9"/>
        <v>0</v>
      </c>
    </row>
    <row r="96" spans="1:12" ht="14.1" customHeight="1" x14ac:dyDescent="0.2">
      <c r="A96">
        <v>48</v>
      </c>
      <c r="B96" t="s">
        <v>2142</v>
      </c>
      <c r="C96" t="s">
        <v>2066</v>
      </c>
      <c r="D96">
        <v>829948</v>
      </c>
      <c r="E96" s="918">
        <f t="shared" si="10"/>
        <v>0</v>
      </c>
      <c r="F96" s="918">
        <f t="shared" si="11"/>
        <v>0</v>
      </c>
      <c r="G96" s="545">
        <f t="shared" si="12"/>
        <v>0</v>
      </c>
      <c r="H96" s="918">
        <f t="shared" si="13"/>
        <v>0</v>
      </c>
      <c r="I96" s="173"/>
      <c r="J96" t="str">
        <f>IF(ISNA(VLOOKUP(D96,InCNR,3,FALSE)),"--", "Y")</f>
        <v>Y</v>
      </c>
      <c r="K96" s="226">
        <f>IF(ISNA(VLOOKUP(D96,InCNR,3,FALSE)),0,VLOOKUP(D96,InCNR,3,FALSE))</f>
        <v>0</v>
      </c>
      <c r="L96">
        <f>+F96-K96</f>
        <v>0</v>
      </c>
    </row>
    <row r="97" spans="1:12" ht="14.1" customHeight="1" x14ac:dyDescent="0.2">
      <c r="A97">
        <v>50</v>
      </c>
      <c r="B97" t="s">
        <v>2143</v>
      </c>
      <c r="D97">
        <v>802129</v>
      </c>
      <c r="E97" s="918">
        <f t="shared" si="10"/>
        <v>0</v>
      </c>
      <c r="F97" s="918">
        <f t="shared" si="11"/>
        <v>0</v>
      </c>
      <c r="G97" s="545">
        <f t="shared" si="12"/>
        <v>0</v>
      </c>
      <c r="H97" s="918">
        <f t="shared" si="13"/>
        <v>0</v>
      </c>
      <c r="I97" s="173"/>
      <c r="J97" t="str">
        <f t="shared" si="7"/>
        <v>Y</v>
      </c>
      <c r="K97" s="226">
        <f t="shared" si="8"/>
        <v>0</v>
      </c>
      <c r="L97">
        <f t="shared" si="9"/>
        <v>0</v>
      </c>
    </row>
    <row r="98" spans="1:12" ht="14.1" customHeight="1" x14ac:dyDescent="0.2">
      <c r="A98">
        <v>50</v>
      </c>
      <c r="B98" t="s">
        <v>2143</v>
      </c>
      <c r="D98">
        <v>803309</v>
      </c>
      <c r="E98" s="918">
        <f t="shared" si="10"/>
        <v>0</v>
      </c>
      <c r="F98" s="918">
        <f t="shared" si="11"/>
        <v>0</v>
      </c>
      <c r="G98" s="545">
        <f t="shared" si="12"/>
        <v>0</v>
      </c>
      <c r="H98" s="918">
        <f t="shared" si="13"/>
        <v>0</v>
      </c>
      <c r="I98" s="173"/>
      <c r="J98" t="str">
        <f t="shared" si="7"/>
        <v>Y</v>
      </c>
      <c r="K98" s="226">
        <f t="shared" si="8"/>
        <v>0</v>
      </c>
      <c r="L98">
        <f t="shared" si="9"/>
        <v>0</v>
      </c>
    </row>
    <row r="99" spans="1:12" ht="14.1" customHeight="1" x14ac:dyDescent="0.2">
      <c r="A99">
        <v>50</v>
      </c>
      <c r="B99" t="s">
        <v>2143</v>
      </c>
      <c r="D99">
        <v>830507</v>
      </c>
      <c r="E99" s="918">
        <f t="shared" si="10"/>
        <v>0</v>
      </c>
      <c r="F99" s="918">
        <f t="shared" si="11"/>
        <v>0</v>
      </c>
      <c r="G99" s="545">
        <f t="shared" si="12"/>
        <v>0</v>
      </c>
      <c r="H99" s="918">
        <f t="shared" si="13"/>
        <v>0</v>
      </c>
      <c r="I99" s="173"/>
      <c r="J99" t="str">
        <f t="shared" si="7"/>
        <v>Y</v>
      </c>
      <c r="K99" s="226">
        <f t="shared" si="8"/>
        <v>0</v>
      </c>
      <c r="L99">
        <f t="shared" si="9"/>
        <v>0</v>
      </c>
    </row>
    <row r="100" spans="1:12" ht="14.1" customHeight="1" x14ac:dyDescent="0.2">
      <c r="A100">
        <v>51</v>
      </c>
      <c r="B100" t="s">
        <v>2141</v>
      </c>
      <c r="C100" t="s">
        <v>2067</v>
      </c>
      <c r="D100">
        <v>801560</v>
      </c>
      <c r="E100" s="918">
        <f t="shared" si="10"/>
        <v>0</v>
      </c>
      <c r="F100" s="918">
        <f t="shared" si="11"/>
        <v>0</v>
      </c>
      <c r="G100" s="545">
        <f t="shared" si="12"/>
        <v>0</v>
      </c>
      <c r="H100" s="918">
        <f t="shared" si="13"/>
        <v>0</v>
      </c>
      <c r="I100" s="173"/>
      <c r="J100" t="str">
        <f t="shared" si="7"/>
        <v>Y</v>
      </c>
      <c r="K100" s="226">
        <f t="shared" si="8"/>
        <v>0</v>
      </c>
      <c r="L100">
        <f t="shared" si="9"/>
        <v>0</v>
      </c>
    </row>
    <row r="101" spans="1:12" ht="14.1" customHeight="1" x14ac:dyDescent="0.2">
      <c r="A101">
        <v>54</v>
      </c>
      <c r="B101" t="s">
        <v>2144</v>
      </c>
      <c r="D101">
        <v>800650</v>
      </c>
      <c r="E101" s="918">
        <f t="shared" si="10"/>
        <v>0</v>
      </c>
      <c r="F101" s="918">
        <f t="shared" si="11"/>
        <v>0</v>
      </c>
      <c r="G101" s="545">
        <f t="shared" si="12"/>
        <v>0</v>
      </c>
      <c r="H101" s="918">
        <f t="shared" si="13"/>
        <v>0</v>
      </c>
      <c r="I101" s="173"/>
      <c r="J101" t="str">
        <f t="shared" si="7"/>
        <v>Y</v>
      </c>
      <c r="K101" s="226">
        <f t="shared" si="8"/>
        <v>0</v>
      </c>
      <c r="L101">
        <f t="shared" si="9"/>
        <v>0</v>
      </c>
    </row>
    <row r="102" spans="1:12" ht="14.1" customHeight="1" x14ac:dyDescent="0.2">
      <c r="A102">
        <v>55</v>
      </c>
      <c r="B102" t="s">
        <v>2145</v>
      </c>
      <c r="D102">
        <v>800740</v>
      </c>
      <c r="E102" s="918">
        <f t="shared" si="10"/>
        <v>0</v>
      </c>
      <c r="F102" s="918">
        <f t="shared" si="11"/>
        <v>0</v>
      </c>
      <c r="G102" s="545">
        <f t="shared" si="12"/>
        <v>0</v>
      </c>
      <c r="H102" s="918">
        <f t="shared" si="13"/>
        <v>0</v>
      </c>
      <c r="I102" s="173"/>
      <c r="J102" t="str">
        <f t="shared" si="7"/>
        <v>Y</v>
      </c>
      <c r="K102" s="226">
        <f t="shared" si="8"/>
        <v>0</v>
      </c>
      <c r="L102">
        <f t="shared" si="9"/>
        <v>0</v>
      </c>
    </row>
    <row r="103" spans="1:12" ht="14.1" customHeight="1" x14ac:dyDescent="0.2">
      <c r="A103">
        <v>58</v>
      </c>
      <c r="B103" t="s">
        <v>2146</v>
      </c>
      <c r="D103">
        <v>821780</v>
      </c>
      <c r="E103" s="918">
        <f t="shared" si="10"/>
        <v>0</v>
      </c>
      <c r="F103" s="918">
        <f t="shared" si="11"/>
        <v>2549</v>
      </c>
      <c r="G103" s="545">
        <f t="shared" si="12"/>
        <v>0</v>
      </c>
      <c r="H103" s="918">
        <f t="shared" si="13"/>
        <v>25</v>
      </c>
      <c r="I103" s="173"/>
      <c r="J103" t="str">
        <f t="shared" si="7"/>
        <v>Y</v>
      </c>
      <c r="K103" s="226">
        <f t="shared" si="8"/>
        <v>2549</v>
      </c>
      <c r="L103">
        <f t="shared" si="9"/>
        <v>0</v>
      </c>
    </row>
    <row r="104" spans="1:12" ht="14.1" customHeight="1" x14ac:dyDescent="0.2">
      <c r="A104">
        <v>60</v>
      </c>
      <c r="B104" t="s">
        <v>2147</v>
      </c>
      <c r="D104">
        <v>801535</v>
      </c>
      <c r="E104" s="918">
        <f t="shared" si="10"/>
        <v>0</v>
      </c>
      <c r="F104" s="918">
        <f t="shared" si="11"/>
        <v>0</v>
      </c>
      <c r="G104" s="545">
        <f t="shared" si="12"/>
        <v>0</v>
      </c>
      <c r="H104" s="918">
        <f t="shared" si="13"/>
        <v>0</v>
      </c>
      <c r="I104" s="173"/>
      <c r="J104" t="str">
        <f t="shared" si="7"/>
        <v>Y</v>
      </c>
      <c r="K104" s="226">
        <f t="shared" si="8"/>
        <v>0</v>
      </c>
      <c r="L104">
        <f t="shared" si="9"/>
        <v>0</v>
      </c>
    </row>
    <row r="105" spans="1:12" ht="14.1" customHeight="1" x14ac:dyDescent="0.2">
      <c r="A105">
        <v>63</v>
      </c>
      <c r="B105" t="s">
        <v>2148</v>
      </c>
      <c r="D105">
        <v>834503</v>
      </c>
      <c r="E105" s="918">
        <f t="shared" si="10"/>
        <v>0</v>
      </c>
      <c r="F105" s="918">
        <f t="shared" si="11"/>
        <v>0</v>
      </c>
      <c r="G105" s="545">
        <f t="shared" si="12"/>
        <v>0</v>
      </c>
      <c r="H105" s="918">
        <f t="shared" si="13"/>
        <v>0</v>
      </c>
      <c r="I105" s="173"/>
      <c r="J105" t="str">
        <f t="shared" si="7"/>
        <v>Y</v>
      </c>
      <c r="K105" s="226">
        <f t="shared" si="8"/>
        <v>0</v>
      </c>
      <c r="L105">
        <f t="shared" si="9"/>
        <v>0</v>
      </c>
    </row>
    <row r="106" spans="1:12" ht="14.1" customHeight="1" x14ac:dyDescent="0.2">
      <c r="A106">
        <v>63</v>
      </c>
      <c r="B106" t="s">
        <v>2148</v>
      </c>
      <c r="D106">
        <v>834606</v>
      </c>
      <c r="E106" s="918">
        <f t="shared" si="10"/>
        <v>0</v>
      </c>
      <c r="F106" s="918">
        <f t="shared" si="11"/>
        <v>0</v>
      </c>
      <c r="G106" s="545">
        <f t="shared" si="12"/>
        <v>0</v>
      </c>
      <c r="H106" s="918">
        <f t="shared" si="13"/>
        <v>0</v>
      </c>
      <c r="I106" s="173"/>
      <c r="J106" t="str">
        <f t="shared" si="7"/>
        <v>Y</v>
      </c>
      <c r="K106" s="226">
        <f t="shared" si="8"/>
        <v>0</v>
      </c>
      <c r="L106">
        <f t="shared" si="9"/>
        <v>0</v>
      </c>
    </row>
    <row r="107" spans="1:12" ht="14.1" customHeight="1" x14ac:dyDescent="0.2">
      <c r="A107">
        <v>63</v>
      </c>
      <c r="B107" t="s">
        <v>2148</v>
      </c>
      <c r="D107">
        <v>834284</v>
      </c>
      <c r="E107" s="918">
        <f t="shared" si="10"/>
        <v>0</v>
      </c>
      <c r="F107" s="918">
        <f t="shared" si="11"/>
        <v>0</v>
      </c>
      <c r="G107" s="545">
        <f t="shared" si="12"/>
        <v>0</v>
      </c>
      <c r="H107" s="918">
        <f t="shared" si="13"/>
        <v>0</v>
      </c>
      <c r="I107" s="173"/>
      <c r="J107" t="str">
        <f t="shared" si="7"/>
        <v>Y</v>
      </c>
      <c r="K107" s="226">
        <f t="shared" si="8"/>
        <v>0</v>
      </c>
      <c r="L107">
        <f t="shared" si="9"/>
        <v>0</v>
      </c>
    </row>
    <row r="108" spans="1:12" ht="14.1" customHeight="1" x14ac:dyDescent="0.2">
      <c r="A108">
        <v>63</v>
      </c>
      <c r="B108" t="s">
        <v>2148</v>
      </c>
      <c r="D108">
        <v>834285</v>
      </c>
      <c r="E108" s="918">
        <f t="shared" si="10"/>
        <v>0</v>
      </c>
      <c r="F108" s="918">
        <f t="shared" si="11"/>
        <v>0</v>
      </c>
      <c r="G108" s="545">
        <f t="shared" si="12"/>
        <v>0</v>
      </c>
      <c r="H108" s="918">
        <f t="shared" si="13"/>
        <v>0</v>
      </c>
      <c r="I108" s="173"/>
      <c r="J108" t="str">
        <f t="shared" si="7"/>
        <v>Y</v>
      </c>
      <c r="K108" s="226">
        <f t="shared" si="8"/>
        <v>0</v>
      </c>
      <c r="L108">
        <f t="shared" si="9"/>
        <v>0</v>
      </c>
    </row>
    <row r="109" spans="1:12" ht="14.1" customHeight="1" x14ac:dyDescent="0.2">
      <c r="A109">
        <v>63</v>
      </c>
      <c r="B109" t="s">
        <v>2148</v>
      </c>
      <c r="D109">
        <v>834286</v>
      </c>
      <c r="E109" s="918">
        <f t="shared" si="10"/>
        <v>0</v>
      </c>
      <c r="F109" s="918">
        <f t="shared" si="11"/>
        <v>0</v>
      </c>
      <c r="G109" s="545">
        <f t="shared" si="12"/>
        <v>0</v>
      </c>
      <c r="H109" s="918">
        <f t="shared" si="13"/>
        <v>0</v>
      </c>
      <c r="I109" s="173"/>
      <c r="J109" t="str">
        <f t="shared" si="7"/>
        <v>Y</v>
      </c>
      <c r="K109" s="226">
        <f t="shared" si="8"/>
        <v>0</v>
      </c>
      <c r="L109">
        <f t="shared" si="9"/>
        <v>0</v>
      </c>
    </row>
    <row r="110" spans="1:12" ht="14.1" customHeight="1" x14ac:dyDescent="0.2">
      <c r="A110">
        <v>63</v>
      </c>
      <c r="B110" t="s">
        <v>2148</v>
      </c>
      <c r="D110">
        <v>834505</v>
      </c>
      <c r="E110" s="918">
        <f t="shared" si="10"/>
        <v>0</v>
      </c>
      <c r="F110" s="918">
        <f t="shared" si="11"/>
        <v>0</v>
      </c>
      <c r="G110" s="545">
        <f t="shared" si="12"/>
        <v>0</v>
      </c>
      <c r="H110" s="918">
        <f t="shared" si="13"/>
        <v>0</v>
      </c>
      <c r="I110" s="173"/>
      <c r="J110" t="str">
        <f t="shared" si="7"/>
        <v>Y</v>
      </c>
      <c r="K110" s="226">
        <f t="shared" si="8"/>
        <v>0</v>
      </c>
      <c r="L110">
        <f t="shared" si="9"/>
        <v>0</v>
      </c>
    </row>
    <row r="111" spans="1:12" ht="14.1" customHeight="1" x14ac:dyDescent="0.2">
      <c r="A111">
        <v>65</v>
      </c>
      <c r="B111" t="s">
        <v>2149</v>
      </c>
      <c r="D111">
        <v>817515</v>
      </c>
      <c r="E111" s="918">
        <f t="shared" si="10"/>
        <v>0</v>
      </c>
      <c r="F111" s="918">
        <f t="shared" si="11"/>
        <v>0</v>
      </c>
      <c r="G111" s="545">
        <f t="shared" si="12"/>
        <v>0</v>
      </c>
      <c r="H111" s="918">
        <f t="shared" si="13"/>
        <v>0</v>
      </c>
      <c r="I111" s="173"/>
      <c r="J111" t="str">
        <f t="shared" si="7"/>
        <v>Y</v>
      </c>
      <c r="K111" s="226">
        <f t="shared" si="8"/>
        <v>0</v>
      </c>
      <c r="L111">
        <f t="shared" si="9"/>
        <v>0</v>
      </c>
    </row>
    <row r="112" spans="1:12" ht="14.1" customHeight="1" x14ac:dyDescent="0.2">
      <c r="A112">
        <v>68</v>
      </c>
      <c r="B112" t="s">
        <v>2150</v>
      </c>
      <c r="D112">
        <v>804526</v>
      </c>
      <c r="E112" s="918">
        <f t="shared" si="10"/>
        <v>0</v>
      </c>
      <c r="F112" s="918">
        <f t="shared" si="11"/>
        <v>0</v>
      </c>
      <c r="G112" s="545">
        <f t="shared" si="12"/>
        <v>0</v>
      </c>
      <c r="H112" s="918">
        <f t="shared" si="13"/>
        <v>0</v>
      </c>
      <c r="I112" s="173"/>
      <c r="J112" t="str">
        <f t="shared" si="7"/>
        <v>Y</v>
      </c>
      <c r="K112" s="226">
        <f t="shared" si="8"/>
        <v>0</v>
      </c>
      <c r="L112">
        <f t="shared" si="9"/>
        <v>0</v>
      </c>
    </row>
    <row r="113" spans="1:12" ht="14.1" customHeight="1" x14ac:dyDescent="0.2">
      <c r="A113">
        <v>73</v>
      </c>
      <c r="B113" t="s">
        <v>2151</v>
      </c>
      <c r="C113" t="s">
        <v>2068</v>
      </c>
      <c r="D113">
        <v>800494</v>
      </c>
      <c r="E113" s="918">
        <f t="shared" si="10"/>
        <v>0</v>
      </c>
      <c r="F113" s="918">
        <f t="shared" si="11"/>
        <v>0</v>
      </c>
      <c r="G113" s="545">
        <f t="shared" si="12"/>
        <v>0</v>
      </c>
      <c r="H113" s="918">
        <f t="shared" si="13"/>
        <v>0</v>
      </c>
      <c r="I113" s="173"/>
      <c r="J113" t="str">
        <f t="shared" si="7"/>
        <v>Y</v>
      </c>
      <c r="K113" s="226">
        <f t="shared" si="8"/>
        <v>0</v>
      </c>
      <c r="L113">
        <f t="shared" si="9"/>
        <v>0</v>
      </c>
    </row>
    <row r="114" spans="1:12" ht="14.1" customHeight="1" x14ac:dyDescent="0.2">
      <c r="A114">
        <v>75</v>
      </c>
      <c r="B114" t="s">
        <v>2152</v>
      </c>
      <c r="D114">
        <v>801518</v>
      </c>
      <c r="E114" s="918">
        <f t="shared" si="10"/>
        <v>0</v>
      </c>
      <c r="F114" s="918">
        <f t="shared" si="11"/>
        <v>0</v>
      </c>
      <c r="G114" s="545">
        <f t="shared" si="12"/>
        <v>0</v>
      </c>
      <c r="H114" s="918">
        <f t="shared" si="13"/>
        <v>0</v>
      </c>
      <c r="I114" s="173"/>
      <c r="J114" t="str">
        <f t="shared" si="7"/>
        <v>Y</v>
      </c>
      <c r="K114" s="226">
        <f t="shared" si="8"/>
        <v>0</v>
      </c>
      <c r="L114">
        <f t="shared" si="9"/>
        <v>0</v>
      </c>
    </row>
    <row r="115" spans="1:12" ht="14.1" customHeight="1" x14ac:dyDescent="0.2">
      <c r="A115">
        <v>75</v>
      </c>
      <c r="B115" t="s">
        <v>2152</v>
      </c>
      <c r="D115">
        <v>834659</v>
      </c>
      <c r="E115" s="918">
        <f t="shared" si="10"/>
        <v>0</v>
      </c>
      <c r="F115" s="918">
        <f t="shared" si="11"/>
        <v>0</v>
      </c>
      <c r="G115" s="545">
        <f t="shared" si="12"/>
        <v>0</v>
      </c>
      <c r="H115" s="918">
        <f t="shared" si="13"/>
        <v>0</v>
      </c>
      <c r="I115" s="173"/>
      <c r="J115" t="str">
        <f t="shared" si="7"/>
        <v>Y</v>
      </c>
      <c r="K115" s="226">
        <f t="shared" si="8"/>
        <v>0</v>
      </c>
      <c r="L115">
        <f t="shared" si="9"/>
        <v>0</v>
      </c>
    </row>
    <row r="116" spans="1:12" ht="14.1" customHeight="1" x14ac:dyDescent="0.2">
      <c r="A116">
        <v>75</v>
      </c>
      <c r="B116" t="s">
        <v>2152</v>
      </c>
      <c r="D116">
        <v>836765</v>
      </c>
      <c r="E116" s="918">
        <f t="shared" si="10"/>
        <v>0</v>
      </c>
      <c r="F116" s="918">
        <f t="shared" si="11"/>
        <v>0</v>
      </c>
      <c r="G116" s="545">
        <f t="shared" si="12"/>
        <v>0</v>
      </c>
      <c r="H116" s="918">
        <f t="shared" si="13"/>
        <v>0</v>
      </c>
      <c r="I116" s="173"/>
      <c r="J116" t="str">
        <f t="shared" ref="J116:J192" si="14">IF(ISNA(VLOOKUP(D116,InCNR,3,FALSE)),"--", "Y")</f>
        <v>Y</v>
      </c>
      <c r="K116" s="226">
        <f t="shared" ref="K116:K181" si="15">IF(ISNA(VLOOKUP(D116,InCNR,3,FALSE)),0,VLOOKUP(D116,InCNR,3,FALSE))</f>
        <v>0</v>
      </c>
      <c r="L116">
        <f t="shared" ref="L116:L192" si="16">+F116-K116</f>
        <v>0</v>
      </c>
    </row>
    <row r="117" spans="1:12" ht="14.1" customHeight="1" x14ac:dyDescent="0.2">
      <c r="A117">
        <v>78</v>
      </c>
      <c r="B117" t="s">
        <v>2153</v>
      </c>
      <c r="C117" t="s">
        <v>2069</v>
      </c>
      <c r="D117">
        <v>828914</v>
      </c>
      <c r="E117" s="918">
        <f t="shared" si="10"/>
        <v>0</v>
      </c>
      <c r="F117" s="918">
        <f t="shared" si="11"/>
        <v>0</v>
      </c>
      <c r="G117" s="545">
        <f t="shared" si="12"/>
        <v>0</v>
      </c>
      <c r="H117" s="918">
        <f t="shared" si="13"/>
        <v>0</v>
      </c>
      <c r="I117" s="173"/>
      <c r="J117" t="str">
        <f t="shared" si="14"/>
        <v>Y</v>
      </c>
      <c r="K117" s="226">
        <f t="shared" si="15"/>
        <v>0</v>
      </c>
      <c r="L117">
        <f t="shared" si="16"/>
        <v>0</v>
      </c>
    </row>
    <row r="118" spans="1:12" ht="14.1" customHeight="1" x14ac:dyDescent="0.2">
      <c r="A118">
        <v>80</v>
      </c>
      <c r="B118" t="s">
        <v>2070</v>
      </c>
      <c r="C118" t="s">
        <v>2071</v>
      </c>
      <c r="D118">
        <v>804947</v>
      </c>
      <c r="E118" s="918">
        <f t="shared" si="10"/>
        <v>0</v>
      </c>
      <c r="F118" s="918">
        <f t="shared" si="11"/>
        <v>0</v>
      </c>
      <c r="G118" s="545">
        <f t="shared" si="12"/>
        <v>0</v>
      </c>
      <c r="H118" s="918">
        <f t="shared" si="13"/>
        <v>0</v>
      </c>
      <c r="I118" s="173"/>
      <c r="J118" t="str">
        <f t="shared" si="14"/>
        <v>Y</v>
      </c>
      <c r="K118" s="226">
        <f t="shared" si="15"/>
        <v>0</v>
      </c>
      <c r="L118">
        <f t="shared" si="16"/>
        <v>0</v>
      </c>
    </row>
    <row r="119" spans="1:12" ht="14.1" customHeight="1" x14ac:dyDescent="0.2">
      <c r="A119">
        <v>81</v>
      </c>
      <c r="B119" t="s">
        <v>2154</v>
      </c>
      <c r="C119" t="s">
        <v>2072</v>
      </c>
      <c r="D119">
        <v>805080</v>
      </c>
      <c r="E119" s="918">
        <f t="shared" si="10"/>
        <v>0</v>
      </c>
      <c r="F119" s="918">
        <f t="shared" si="11"/>
        <v>945</v>
      </c>
      <c r="G119" s="545">
        <f t="shared" si="12"/>
        <v>0</v>
      </c>
      <c r="H119" s="918">
        <f t="shared" si="13"/>
        <v>25</v>
      </c>
      <c r="I119" s="173"/>
      <c r="J119" t="str">
        <f>IF(ISNA(VLOOKUP(D119,InCNR,3,FALSE)),"--", "Y")</f>
        <v>Y</v>
      </c>
      <c r="K119" s="226">
        <f>IF(ISNA(VLOOKUP(D119,InCNR,3,FALSE)),0,VLOOKUP(D119,InCNR,3,FALSE))</f>
        <v>945</v>
      </c>
      <c r="L119">
        <f>+F119-K119</f>
        <v>0</v>
      </c>
    </row>
    <row r="120" spans="1:12" ht="14.1" customHeight="1" x14ac:dyDescent="0.2">
      <c r="A120">
        <v>89</v>
      </c>
      <c r="B120" t="s">
        <v>2155</v>
      </c>
      <c r="C120" t="s">
        <v>2073</v>
      </c>
      <c r="D120">
        <v>801852</v>
      </c>
      <c r="E120" s="918">
        <f t="shared" si="10"/>
        <v>0</v>
      </c>
      <c r="F120" s="918">
        <f t="shared" si="11"/>
        <v>650</v>
      </c>
      <c r="G120" s="545">
        <f t="shared" si="12"/>
        <v>0</v>
      </c>
      <c r="H120" s="918">
        <f t="shared" si="13"/>
        <v>25</v>
      </c>
      <c r="I120" s="173"/>
      <c r="J120" t="str">
        <f>IF(ISNA(VLOOKUP(D120,InCNR,3,FALSE)),"--", "Y")</f>
        <v>Y</v>
      </c>
      <c r="K120" s="226">
        <f>IF(ISNA(VLOOKUP(D120,InCNR,3,FALSE)),0,VLOOKUP(D120,InCNR,3,FALSE))</f>
        <v>650</v>
      </c>
      <c r="L120">
        <f>+F120-K120</f>
        <v>0</v>
      </c>
    </row>
    <row r="121" spans="1:12" ht="14.1" customHeight="1" x14ac:dyDescent="0.2">
      <c r="A121">
        <v>92</v>
      </c>
      <c r="B121" t="s">
        <v>2156</v>
      </c>
      <c r="D121">
        <v>833359</v>
      </c>
      <c r="E121" s="918">
        <f t="shared" si="10"/>
        <v>0</v>
      </c>
      <c r="F121" s="918">
        <f t="shared" si="11"/>
        <v>0</v>
      </c>
      <c r="G121" s="545">
        <f t="shared" si="12"/>
        <v>0</v>
      </c>
      <c r="H121" s="918">
        <f t="shared" si="13"/>
        <v>0</v>
      </c>
      <c r="I121" s="173"/>
      <c r="J121" t="str">
        <f t="shared" ref="J121:J129" si="17">IF(ISNA(VLOOKUP(D121,InCNR,3,FALSE)),"--", "Y")</f>
        <v>Y</v>
      </c>
      <c r="K121" s="226">
        <f t="shared" ref="K121:K129" si="18">IF(ISNA(VLOOKUP(D121,InCNR,3,FALSE)),0,VLOOKUP(D121,InCNR,3,FALSE))</f>
        <v>0</v>
      </c>
      <c r="L121">
        <f t="shared" ref="L121:L129" si="19">+F121-K121</f>
        <v>0</v>
      </c>
    </row>
    <row r="122" spans="1:12" ht="14.1" customHeight="1" x14ac:dyDescent="0.2">
      <c r="A122">
        <v>96</v>
      </c>
      <c r="B122" t="s">
        <v>2157</v>
      </c>
      <c r="C122" t="s">
        <v>2074</v>
      </c>
      <c r="D122">
        <v>821443</v>
      </c>
      <c r="E122" s="918">
        <f t="shared" si="10"/>
        <v>0</v>
      </c>
      <c r="F122" s="918">
        <f t="shared" si="11"/>
        <v>0</v>
      </c>
      <c r="G122" s="545">
        <f t="shared" si="12"/>
        <v>0</v>
      </c>
      <c r="H122" s="918">
        <f t="shared" si="13"/>
        <v>0</v>
      </c>
      <c r="I122" s="173"/>
      <c r="J122" t="str">
        <f t="shared" si="17"/>
        <v>Y</v>
      </c>
      <c r="K122" s="226">
        <f t="shared" si="18"/>
        <v>0</v>
      </c>
      <c r="L122">
        <f t="shared" si="19"/>
        <v>0</v>
      </c>
    </row>
    <row r="123" spans="1:12" ht="14.1" customHeight="1" x14ac:dyDescent="0.2">
      <c r="A123">
        <v>96</v>
      </c>
      <c r="B123" t="s">
        <v>2157</v>
      </c>
      <c r="C123" t="s">
        <v>2074</v>
      </c>
      <c r="D123">
        <v>830165</v>
      </c>
      <c r="E123" s="918">
        <f t="shared" si="10"/>
        <v>0</v>
      </c>
      <c r="F123" s="918">
        <f t="shared" si="11"/>
        <v>0</v>
      </c>
      <c r="G123" s="545">
        <f t="shared" si="12"/>
        <v>0</v>
      </c>
      <c r="H123" s="918">
        <f t="shared" si="13"/>
        <v>0</v>
      </c>
      <c r="I123" s="173"/>
      <c r="J123" t="str">
        <f t="shared" si="17"/>
        <v>Y</v>
      </c>
      <c r="K123" s="226">
        <f t="shared" si="18"/>
        <v>0</v>
      </c>
      <c r="L123">
        <f t="shared" si="19"/>
        <v>0</v>
      </c>
    </row>
    <row r="124" spans="1:12" ht="14.1" customHeight="1" x14ac:dyDescent="0.2">
      <c r="A124">
        <v>96</v>
      </c>
      <c r="B124" t="s">
        <v>2157</v>
      </c>
      <c r="C124" t="s">
        <v>2074</v>
      </c>
      <c r="D124">
        <v>830517</v>
      </c>
      <c r="E124" s="918">
        <f t="shared" si="10"/>
        <v>0</v>
      </c>
      <c r="F124" s="918">
        <f t="shared" si="11"/>
        <v>0</v>
      </c>
      <c r="G124" s="545">
        <f t="shared" si="12"/>
        <v>0</v>
      </c>
      <c r="H124" s="918">
        <f t="shared" si="13"/>
        <v>0</v>
      </c>
      <c r="I124" s="173"/>
      <c r="J124" t="str">
        <f t="shared" si="17"/>
        <v>Y</v>
      </c>
      <c r="K124" s="226">
        <f t="shared" si="18"/>
        <v>0</v>
      </c>
      <c r="L124">
        <f t="shared" si="19"/>
        <v>0</v>
      </c>
    </row>
    <row r="125" spans="1:12" ht="14.1" customHeight="1" x14ac:dyDescent="0.2">
      <c r="A125">
        <v>96</v>
      </c>
      <c r="B125" t="s">
        <v>2157</v>
      </c>
      <c r="C125" t="s">
        <v>2074</v>
      </c>
      <c r="D125">
        <v>835089</v>
      </c>
      <c r="E125" s="918">
        <f t="shared" si="10"/>
        <v>0</v>
      </c>
      <c r="F125" s="918">
        <f t="shared" si="11"/>
        <v>0</v>
      </c>
      <c r="G125" s="545">
        <f t="shared" si="12"/>
        <v>0</v>
      </c>
      <c r="H125" s="918">
        <f t="shared" si="13"/>
        <v>0</v>
      </c>
      <c r="I125" s="173"/>
      <c r="J125" t="str">
        <f t="shared" si="17"/>
        <v>Y</v>
      </c>
      <c r="K125" s="226">
        <f t="shared" si="18"/>
        <v>0</v>
      </c>
      <c r="L125">
        <f t="shared" si="19"/>
        <v>0</v>
      </c>
    </row>
    <row r="126" spans="1:12" ht="14.1" customHeight="1" x14ac:dyDescent="0.2">
      <c r="A126">
        <v>99</v>
      </c>
      <c r="B126" t="s">
        <v>2158</v>
      </c>
      <c r="D126">
        <v>801195</v>
      </c>
      <c r="E126" s="918">
        <f t="shared" si="10"/>
        <v>0</v>
      </c>
      <c r="F126" s="918">
        <f t="shared" si="11"/>
        <v>0</v>
      </c>
      <c r="G126" s="545">
        <f t="shared" si="12"/>
        <v>0</v>
      </c>
      <c r="H126" s="918">
        <f t="shared" si="13"/>
        <v>0</v>
      </c>
      <c r="I126" s="173"/>
      <c r="J126" t="str">
        <f t="shared" si="17"/>
        <v>Y</v>
      </c>
      <c r="K126" s="226">
        <f t="shared" si="18"/>
        <v>0</v>
      </c>
      <c r="L126">
        <f t="shared" si="19"/>
        <v>0</v>
      </c>
    </row>
    <row r="127" spans="1:12" ht="14.1" customHeight="1" x14ac:dyDescent="0.2">
      <c r="A127">
        <v>104</v>
      </c>
      <c r="B127" t="s">
        <v>2159</v>
      </c>
      <c r="D127">
        <v>800419</v>
      </c>
      <c r="E127" s="918">
        <f t="shared" si="10"/>
        <v>0</v>
      </c>
      <c r="F127" s="918">
        <f t="shared" si="11"/>
        <v>0</v>
      </c>
      <c r="G127" s="545">
        <f t="shared" si="12"/>
        <v>0</v>
      </c>
      <c r="H127" s="918">
        <f t="shared" si="13"/>
        <v>0</v>
      </c>
      <c r="I127" s="173"/>
      <c r="J127" t="str">
        <f t="shared" si="17"/>
        <v>Y</v>
      </c>
      <c r="K127" s="226">
        <f t="shared" si="18"/>
        <v>0</v>
      </c>
      <c r="L127">
        <f t="shared" si="19"/>
        <v>0</v>
      </c>
    </row>
    <row r="128" spans="1:12" ht="14.1" customHeight="1" x14ac:dyDescent="0.2">
      <c r="A128">
        <v>107</v>
      </c>
      <c r="B128" t="s">
        <v>2160</v>
      </c>
      <c r="D128">
        <v>801931</v>
      </c>
      <c r="E128" s="918">
        <f t="shared" si="10"/>
        <v>0</v>
      </c>
      <c r="F128" s="918">
        <f t="shared" si="11"/>
        <v>0</v>
      </c>
      <c r="G128" s="545">
        <f t="shared" si="12"/>
        <v>0</v>
      </c>
      <c r="H128" s="918">
        <f t="shared" si="13"/>
        <v>0</v>
      </c>
      <c r="I128" s="173"/>
      <c r="J128" t="str">
        <f t="shared" si="17"/>
        <v>Y</v>
      </c>
      <c r="K128" s="226">
        <f t="shared" si="18"/>
        <v>0</v>
      </c>
      <c r="L128">
        <f t="shared" si="19"/>
        <v>0</v>
      </c>
    </row>
    <row r="129" spans="1:12" ht="14.1" customHeight="1" x14ac:dyDescent="0.2">
      <c r="A129">
        <v>112</v>
      </c>
      <c r="B129" t="s">
        <v>2161</v>
      </c>
      <c r="D129">
        <v>805113</v>
      </c>
      <c r="E129" s="918">
        <f t="shared" si="10"/>
        <v>0</v>
      </c>
      <c r="F129" s="918">
        <f t="shared" si="11"/>
        <v>0</v>
      </c>
      <c r="G129" s="545">
        <f t="shared" si="12"/>
        <v>0</v>
      </c>
      <c r="H129" s="918">
        <f t="shared" si="13"/>
        <v>0</v>
      </c>
      <c r="I129" s="173"/>
      <c r="J129" t="str">
        <f t="shared" si="17"/>
        <v>Y</v>
      </c>
      <c r="K129" s="226">
        <f t="shared" si="18"/>
        <v>0</v>
      </c>
      <c r="L129">
        <f t="shared" si="19"/>
        <v>0</v>
      </c>
    </row>
    <row r="130" spans="1:12" ht="14.1" customHeight="1" x14ac:dyDescent="0.2">
      <c r="A130">
        <v>112</v>
      </c>
      <c r="B130" t="s">
        <v>2161</v>
      </c>
      <c r="D130">
        <v>804930</v>
      </c>
      <c r="E130" s="918">
        <f t="shared" si="10"/>
        <v>0</v>
      </c>
      <c r="F130" s="918">
        <f t="shared" si="11"/>
        <v>0</v>
      </c>
      <c r="G130" s="545">
        <f t="shared" si="12"/>
        <v>0</v>
      </c>
      <c r="H130" s="918">
        <f t="shared" si="13"/>
        <v>0</v>
      </c>
      <c r="I130" s="173"/>
      <c r="J130" t="str">
        <f t="shared" si="14"/>
        <v>Y</v>
      </c>
      <c r="K130" s="226">
        <f t="shared" si="15"/>
        <v>0</v>
      </c>
      <c r="L130">
        <f t="shared" si="16"/>
        <v>0</v>
      </c>
    </row>
    <row r="131" spans="1:12" ht="14.1" customHeight="1" x14ac:dyDescent="0.2">
      <c r="A131">
        <v>112</v>
      </c>
      <c r="B131" t="s">
        <v>2161</v>
      </c>
      <c r="D131">
        <v>805945</v>
      </c>
      <c r="E131" s="918">
        <f t="shared" si="10"/>
        <v>0</v>
      </c>
      <c r="F131" s="918">
        <f t="shared" si="11"/>
        <v>0</v>
      </c>
      <c r="G131" s="545">
        <f t="shared" si="12"/>
        <v>0</v>
      </c>
      <c r="H131" s="918">
        <f t="shared" si="13"/>
        <v>0</v>
      </c>
      <c r="I131" s="173"/>
      <c r="J131" t="str">
        <f>IF(ISNA(VLOOKUP(D131,InCNR,3,FALSE)),"--", "Y")</f>
        <v>Y</v>
      </c>
      <c r="K131" s="226">
        <f>IF(ISNA(VLOOKUP(D131,InCNR,3,FALSE)),0,VLOOKUP(D131,InCNR,3,FALSE))</f>
        <v>0</v>
      </c>
      <c r="L131">
        <f>+F131-K131</f>
        <v>0</v>
      </c>
    </row>
    <row r="132" spans="1:12" ht="14.1" customHeight="1" x14ac:dyDescent="0.2">
      <c r="A132">
        <v>115</v>
      </c>
      <c r="B132" t="s">
        <v>2162</v>
      </c>
      <c r="D132">
        <v>800785</v>
      </c>
      <c r="E132" s="918">
        <f t="shared" ref="E132:E195" si="20">IF(ISNA(VLOOKUP(D132,CNRVol,5,FALSE)),0,VLOOKUP(D132,CNRVol,5,FALSE))</f>
        <v>0</v>
      </c>
      <c r="F132" s="918">
        <f t="shared" ref="F132:F195" si="21">IF(ISNA(VLOOKUP(D132,CNRVol,6,FALSE)),0,VLOOKUP(D132,CNRVol,6,FALSE))</f>
        <v>125</v>
      </c>
      <c r="G132" s="545">
        <f t="shared" ref="G132:G195" si="22">+E132*0.9575</f>
        <v>0</v>
      </c>
      <c r="H132" s="918">
        <f t="shared" ref="H132:H195" si="23">IF(ISNA(VLOOKUP(D132,CNRVol,7,FALSE)),0,VLOOKUP(D132,CNRVol,7,FALSE))</f>
        <v>25</v>
      </c>
      <c r="I132" s="173"/>
      <c r="J132" t="str">
        <f t="shared" si="14"/>
        <v>Y</v>
      </c>
      <c r="K132" s="226">
        <f t="shared" si="15"/>
        <v>125</v>
      </c>
      <c r="L132">
        <f t="shared" si="16"/>
        <v>0</v>
      </c>
    </row>
    <row r="133" spans="1:12" ht="14.1" customHeight="1" x14ac:dyDescent="0.2">
      <c r="A133">
        <v>117</v>
      </c>
      <c r="B133" t="s">
        <v>2163</v>
      </c>
      <c r="D133">
        <v>819186</v>
      </c>
      <c r="E133" s="918">
        <f t="shared" si="20"/>
        <v>0</v>
      </c>
      <c r="F133" s="918">
        <f t="shared" si="21"/>
        <v>0</v>
      </c>
      <c r="G133" s="545">
        <f t="shared" si="22"/>
        <v>0</v>
      </c>
      <c r="H133" s="918">
        <f t="shared" si="23"/>
        <v>0</v>
      </c>
      <c r="I133" s="173"/>
      <c r="J133" t="str">
        <f t="shared" si="14"/>
        <v>Y</v>
      </c>
      <c r="K133" s="226">
        <f t="shared" si="15"/>
        <v>0</v>
      </c>
      <c r="L133">
        <f t="shared" si="16"/>
        <v>0</v>
      </c>
    </row>
    <row r="134" spans="1:12" ht="14.1" customHeight="1" x14ac:dyDescent="0.2">
      <c r="A134">
        <v>119</v>
      </c>
      <c r="B134" t="s">
        <v>2164</v>
      </c>
      <c r="D134">
        <v>830099</v>
      </c>
      <c r="E134" s="918">
        <f t="shared" si="20"/>
        <v>0</v>
      </c>
      <c r="F134" s="918">
        <f t="shared" si="21"/>
        <v>0</v>
      </c>
      <c r="G134" s="545">
        <f t="shared" si="22"/>
        <v>0</v>
      </c>
      <c r="H134" s="918">
        <f t="shared" si="23"/>
        <v>0</v>
      </c>
      <c r="I134" s="173"/>
      <c r="J134" t="str">
        <f t="shared" si="14"/>
        <v>Y</v>
      </c>
      <c r="K134" s="226">
        <f t="shared" si="15"/>
        <v>0</v>
      </c>
      <c r="L134">
        <f t="shared" si="16"/>
        <v>0</v>
      </c>
    </row>
    <row r="135" spans="1:12" ht="14.1" customHeight="1" x14ac:dyDescent="0.2">
      <c r="A135">
        <v>121</v>
      </c>
      <c r="B135" t="s">
        <v>2165</v>
      </c>
      <c r="D135">
        <v>801795</v>
      </c>
      <c r="E135" s="918">
        <f t="shared" si="20"/>
        <v>0</v>
      </c>
      <c r="F135" s="918">
        <f t="shared" si="21"/>
        <v>0</v>
      </c>
      <c r="G135" s="545">
        <f t="shared" si="22"/>
        <v>0</v>
      </c>
      <c r="H135" s="918">
        <f t="shared" si="23"/>
        <v>0</v>
      </c>
      <c r="I135" s="173"/>
      <c r="J135" t="str">
        <f t="shared" si="14"/>
        <v>Y</v>
      </c>
      <c r="K135" s="226">
        <f t="shared" si="15"/>
        <v>0</v>
      </c>
      <c r="L135">
        <f t="shared" si="16"/>
        <v>0</v>
      </c>
    </row>
    <row r="136" spans="1:12" ht="14.1" customHeight="1" x14ac:dyDescent="0.2">
      <c r="A136">
        <v>121</v>
      </c>
      <c r="B136" t="s">
        <v>2165</v>
      </c>
      <c r="D136">
        <v>802384</v>
      </c>
      <c r="E136" s="918">
        <f t="shared" si="20"/>
        <v>0</v>
      </c>
      <c r="F136" s="918">
        <f t="shared" si="21"/>
        <v>0</v>
      </c>
      <c r="G136" s="545">
        <f t="shared" si="22"/>
        <v>0</v>
      </c>
      <c r="H136" s="918">
        <f t="shared" si="23"/>
        <v>0</v>
      </c>
      <c r="I136" s="173"/>
      <c r="J136" t="str">
        <f t="shared" si="14"/>
        <v>Y</v>
      </c>
      <c r="K136" s="226">
        <f t="shared" si="15"/>
        <v>0</v>
      </c>
      <c r="L136">
        <f t="shared" si="16"/>
        <v>0</v>
      </c>
    </row>
    <row r="137" spans="1:12" ht="14.1" customHeight="1" x14ac:dyDescent="0.2">
      <c r="A137">
        <v>122</v>
      </c>
      <c r="B137" t="s">
        <v>2166</v>
      </c>
      <c r="D137">
        <v>800998</v>
      </c>
      <c r="E137" s="918">
        <f t="shared" si="20"/>
        <v>0</v>
      </c>
      <c r="F137" s="918">
        <f t="shared" si="21"/>
        <v>0</v>
      </c>
      <c r="G137" s="545">
        <f t="shared" si="22"/>
        <v>0</v>
      </c>
      <c r="H137" s="918">
        <f t="shared" si="23"/>
        <v>0</v>
      </c>
      <c r="I137" s="173"/>
      <c r="J137" t="str">
        <f t="shared" si="14"/>
        <v>Y</v>
      </c>
      <c r="K137" s="226">
        <f t="shared" si="15"/>
        <v>0</v>
      </c>
      <c r="L137">
        <f t="shared" si="16"/>
        <v>0</v>
      </c>
    </row>
    <row r="138" spans="1:12" ht="14.1" customHeight="1" x14ac:dyDescent="0.2">
      <c r="A138">
        <v>126</v>
      </c>
      <c r="B138" t="s">
        <v>2167</v>
      </c>
      <c r="D138">
        <v>816769</v>
      </c>
      <c r="E138" s="918">
        <f t="shared" si="20"/>
        <v>0</v>
      </c>
      <c r="F138" s="918">
        <f t="shared" si="21"/>
        <v>0</v>
      </c>
      <c r="G138" s="545">
        <f t="shared" si="22"/>
        <v>0</v>
      </c>
      <c r="H138" s="918">
        <f t="shared" si="23"/>
        <v>0</v>
      </c>
      <c r="I138" s="173"/>
      <c r="J138" t="str">
        <f t="shared" si="14"/>
        <v>Y</v>
      </c>
      <c r="K138" s="226">
        <f t="shared" si="15"/>
        <v>0</v>
      </c>
      <c r="L138">
        <f t="shared" si="16"/>
        <v>0</v>
      </c>
    </row>
    <row r="139" spans="1:12" ht="14.1" customHeight="1" x14ac:dyDescent="0.2">
      <c r="A139">
        <v>129</v>
      </c>
      <c r="B139" t="s">
        <v>2168</v>
      </c>
      <c r="D139">
        <v>834775</v>
      </c>
      <c r="E139" s="918">
        <f t="shared" si="20"/>
        <v>0</v>
      </c>
      <c r="F139" s="918">
        <f t="shared" si="21"/>
        <v>0</v>
      </c>
      <c r="G139" s="545">
        <f t="shared" si="22"/>
        <v>0</v>
      </c>
      <c r="H139" s="918">
        <f t="shared" si="23"/>
        <v>0</v>
      </c>
      <c r="I139" s="173"/>
      <c r="J139" t="str">
        <f t="shared" si="14"/>
        <v>Y</v>
      </c>
      <c r="K139" s="226">
        <f t="shared" si="15"/>
        <v>0</v>
      </c>
      <c r="L139">
        <f t="shared" si="16"/>
        <v>0</v>
      </c>
    </row>
    <row r="140" spans="1:12" ht="14.1" customHeight="1" x14ac:dyDescent="0.2">
      <c r="A140">
        <v>129</v>
      </c>
      <c r="B140" t="s">
        <v>2168</v>
      </c>
      <c r="D140">
        <v>834815</v>
      </c>
      <c r="E140" s="918">
        <f t="shared" si="20"/>
        <v>0</v>
      </c>
      <c r="F140" s="918">
        <f t="shared" si="21"/>
        <v>0</v>
      </c>
      <c r="G140" s="545">
        <f t="shared" si="22"/>
        <v>0</v>
      </c>
      <c r="H140" s="918">
        <f t="shared" si="23"/>
        <v>0</v>
      </c>
      <c r="I140" s="173"/>
      <c r="J140" t="str">
        <f t="shared" si="14"/>
        <v>Y</v>
      </c>
      <c r="K140" s="226">
        <f t="shared" si="15"/>
        <v>0</v>
      </c>
      <c r="L140">
        <f t="shared" si="16"/>
        <v>0</v>
      </c>
    </row>
    <row r="141" spans="1:12" ht="14.1" customHeight="1" x14ac:dyDescent="0.2">
      <c r="A141">
        <v>129</v>
      </c>
      <c r="B141" t="s">
        <v>2168</v>
      </c>
      <c r="D141">
        <v>835158</v>
      </c>
      <c r="E141" s="918">
        <f t="shared" si="20"/>
        <v>0</v>
      </c>
      <c r="F141" s="918">
        <f t="shared" si="21"/>
        <v>0</v>
      </c>
      <c r="G141" s="545">
        <f t="shared" si="22"/>
        <v>0</v>
      </c>
      <c r="H141" s="918">
        <f t="shared" si="23"/>
        <v>0</v>
      </c>
      <c r="I141" s="173"/>
      <c r="J141" t="str">
        <f t="shared" si="14"/>
        <v>Y</v>
      </c>
      <c r="K141" s="226">
        <f t="shared" si="15"/>
        <v>0</v>
      </c>
      <c r="L141">
        <f t="shared" si="16"/>
        <v>0</v>
      </c>
    </row>
    <row r="142" spans="1:12" ht="14.1" customHeight="1" x14ac:dyDescent="0.2">
      <c r="A142">
        <v>129</v>
      </c>
      <c r="B142" t="s">
        <v>2168</v>
      </c>
      <c r="D142">
        <v>834458</v>
      </c>
      <c r="E142" s="918">
        <f t="shared" si="20"/>
        <v>0</v>
      </c>
      <c r="F142" s="918">
        <f t="shared" si="21"/>
        <v>0</v>
      </c>
      <c r="G142" s="545">
        <f t="shared" si="22"/>
        <v>0</v>
      </c>
      <c r="H142" s="918">
        <f t="shared" si="23"/>
        <v>0</v>
      </c>
      <c r="I142" s="173"/>
      <c r="J142" t="str">
        <f t="shared" si="14"/>
        <v>Y</v>
      </c>
      <c r="K142" s="226">
        <f t="shared" si="15"/>
        <v>0</v>
      </c>
      <c r="L142">
        <f t="shared" si="16"/>
        <v>0</v>
      </c>
    </row>
    <row r="143" spans="1:12" ht="14.1" customHeight="1" x14ac:dyDescent="0.2">
      <c r="A143">
        <v>129</v>
      </c>
      <c r="B143" t="s">
        <v>2168</v>
      </c>
      <c r="D143">
        <v>834448</v>
      </c>
      <c r="E143" s="918">
        <f t="shared" si="20"/>
        <v>0</v>
      </c>
      <c r="F143" s="918">
        <f t="shared" si="21"/>
        <v>0</v>
      </c>
      <c r="G143" s="545">
        <f t="shared" si="22"/>
        <v>0</v>
      </c>
      <c r="H143" s="918">
        <f t="shared" si="23"/>
        <v>0</v>
      </c>
      <c r="I143" s="173"/>
      <c r="J143" t="str">
        <f t="shared" si="14"/>
        <v>Y</v>
      </c>
      <c r="K143" s="226">
        <f t="shared" si="15"/>
        <v>0</v>
      </c>
      <c r="L143">
        <f t="shared" si="16"/>
        <v>0</v>
      </c>
    </row>
    <row r="144" spans="1:12" ht="14.1" customHeight="1" x14ac:dyDescent="0.2">
      <c r="A144">
        <v>129</v>
      </c>
      <c r="B144" t="s">
        <v>2168</v>
      </c>
      <c r="D144">
        <v>833927</v>
      </c>
      <c r="E144" s="918">
        <f t="shared" si="20"/>
        <v>0</v>
      </c>
      <c r="F144" s="918">
        <f t="shared" si="21"/>
        <v>0</v>
      </c>
      <c r="G144" s="545">
        <f t="shared" si="22"/>
        <v>0</v>
      </c>
      <c r="H144" s="918">
        <f t="shared" si="23"/>
        <v>0</v>
      </c>
      <c r="I144" s="173"/>
      <c r="J144" t="str">
        <f t="shared" si="14"/>
        <v>Y</v>
      </c>
      <c r="K144" s="226">
        <f t="shared" si="15"/>
        <v>0</v>
      </c>
      <c r="L144">
        <f t="shared" si="16"/>
        <v>0</v>
      </c>
    </row>
    <row r="145" spans="1:12" ht="14.1" customHeight="1" x14ac:dyDescent="0.2">
      <c r="A145">
        <v>129</v>
      </c>
      <c r="B145" t="s">
        <v>2168</v>
      </c>
      <c r="D145">
        <v>834216</v>
      </c>
      <c r="E145" s="918">
        <f t="shared" si="20"/>
        <v>0</v>
      </c>
      <c r="F145" s="918">
        <f t="shared" si="21"/>
        <v>0</v>
      </c>
      <c r="G145" s="545">
        <f t="shared" si="22"/>
        <v>0</v>
      </c>
      <c r="H145" s="918">
        <f t="shared" si="23"/>
        <v>0</v>
      </c>
      <c r="I145" s="173"/>
      <c r="J145" t="str">
        <f t="shared" si="14"/>
        <v>Y</v>
      </c>
      <c r="K145" s="226">
        <f t="shared" si="15"/>
        <v>0</v>
      </c>
      <c r="L145">
        <f t="shared" si="16"/>
        <v>0</v>
      </c>
    </row>
    <row r="146" spans="1:12" ht="14.1" customHeight="1" x14ac:dyDescent="0.2">
      <c r="A146">
        <v>129</v>
      </c>
      <c r="B146" t="s">
        <v>2168</v>
      </c>
      <c r="D146">
        <v>834265</v>
      </c>
      <c r="E146" s="918">
        <f t="shared" si="20"/>
        <v>0</v>
      </c>
      <c r="F146" s="918">
        <f t="shared" si="21"/>
        <v>0</v>
      </c>
      <c r="G146" s="545">
        <f t="shared" si="22"/>
        <v>0</v>
      </c>
      <c r="H146" s="918">
        <f t="shared" si="23"/>
        <v>0</v>
      </c>
      <c r="I146" s="173"/>
      <c r="J146" t="str">
        <f t="shared" si="14"/>
        <v>Y</v>
      </c>
      <c r="K146" s="226">
        <f t="shared" si="15"/>
        <v>0</v>
      </c>
      <c r="L146">
        <f t="shared" si="16"/>
        <v>0</v>
      </c>
    </row>
    <row r="147" spans="1:12" ht="14.1" customHeight="1" x14ac:dyDescent="0.2">
      <c r="A147">
        <v>129</v>
      </c>
      <c r="B147" t="s">
        <v>2168</v>
      </c>
      <c r="D147">
        <v>835294</v>
      </c>
      <c r="E147" s="918">
        <f t="shared" si="20"/>
        <v>0</v>
      </c>
      <c r="F147" s="918">
        <f t="shared" si="21"/>
        <v>0</v>
      </c>
      <c r="G147" s="545">
        <f t="shared" si="22"/>
        <v>0</v>
      </c>
      <c r="H147" s="918">
        <f t="shared" si="23"/>
        <v>0</v>
      </c>
      <c r="I147" s="173"/>
      <c r="J147" t="str">
        <f t="shared" si="14"/>
        <v>Y</v>
      </c>
      <c r="K147" s="226">
        <f t="shared" si="15"/>
        <v>0</v>
      </c>
      <c r="L147">
        <f t="shared" si="16"/>
        <v>0</v>
      </c>
    </row>
    <row r="148" spans="1:12" ht="14.1" customHeight="1" x14ac:dyDescent="0.2">
      <c r="A148">
        <v>129</v>
      </c>
      <c r="B148" t="s">
        <v>2168</v>
      </c>
      <c r="D148">
        <v>836516</v>
      </c>
      <c r="E148" s="918">
        <f t="shared" si="20"/>
        <v>0</v>
      </c>
      <c r="F148" s="918">
        <f t="shared" si="21"/>
        <v>0</v>
      </c>
      <c r="G148" s="545">
        <f t="shared" si="22"/>
        <v>0</v>
      </c>
      <c r="H148" s="918">
        <f t="shared" si="23"/>
        <v>0</v>
      </c>
      <c r="I148" s="173"/>
      <c r="J148" t="str">
        <f t="shared" si="14"/>
        <v>Y</v>
      </c>
      <c r="K148" s="226">
        <f t="shared" si="15"/>
        <v>0</v>
      </c>
      <c r="L148">
        <f t="shared" si="16"/>
        <v>0</v>
      </c>
    </row>
    <row r="149" spans="1:12" ht="14.1" customHeight="1" x14ac:dyDescent="0.2">
      <c r="A149">
        <v>130</v>
      </c>
      <c r="B149" t="s">
        <v>2169</v>
      </c>
      <c r="C149" t="s">
        <v>2075</v>
      </c>
      <c r="D149">
        <v>801153</v>
      </c>
      <c r="E149" s="918">
        <f t="shared" si="20"/>
        <v>0</v>
      </c>
      <c r="F149" s="918">
        <f t="shared" si="21"/>
        <v>60</v>
      </c>
      <c r="G149" s="545">
        <f t="shared" si="22"/>
        <v>0</v>
      </c>
      <c r="H149" s="918">
        <f t="shared" si="23"/>
        <v>25</v>
      </c>
      <c r="I149" s="173"/>
      <c r="J149" t="str">
        <f t="shared" si="14"/>
        <v>Y</v>
      </c>
      <c r="K149" s="226">
        <f t="shared" si="15"/>
        <v>60</v>
      </c>
      <c r="L149">
        <f t="shared" si="16"/>
        <v>0</v>
      </c>
    </row>
    <row r="150" spans="1:12" ht="14.1" customHeight="1" x14ac:dyDescent="0.2">
      <c r="A150">
        <v>135</v>
      </c>
      <c r="B150" t="s">
        <v>2170</v>
      </c>
      <c r="D150">
        <v>804411</v>
      </c>
      <c r="E150" s="918">
        <f t="shared" si="20"/>
        <v>0</v>
      </c>
      <c r="F150" s="918">
        <f t="shared" si="21"/>
        <v>0</v>
      </c>
      <c r="G150" s="545">
        <f t="shared" si="22"/>
        <v>0</v>
      </c>
      <c r="H150" s="918">
        <f t="shared" si="23"/>
        <v>0</v>
      </c>
      <c r="I150" s="173"/>
      <c r="J150" t="str">
        <f t="shared" si="14"/>
        <v>Y</v>
      </c>
      <c r="K150" s="226">
        <f t="shared" si="15"/>
        <v>0</v>
      </c>
      <c r="L150">
        <f t="shared" si="16"/>
        <v>0</v>
      </c>
    </row>
    <row r="151" spans="1:12" ht="14.1" customHeight="1" x14ac:dyDescent="0.2">
      <c r="A151">
        <v>136</v>
      </c>
      <c r="B151" t="s">
        <v>2171</v>
      </c>
      <c r="D151">
        <v>801544</v>
      </c>
      <c r="E151" s="918">
        <f t="shared" si="20"/>
        <v>0</v>
      </c>
      <c r="F151" s="918">
        <f t="shared" si="21"/>
        <v>0</v>
      </c>
      <c r="G151" s="545">
        <f t="shared" si="22"/>
        <v>0</v>
      </c>
      <c r="H151" s="918">
        <f t="shared" si="23"/>
        <v>0</v>
      </c>
      <c r="I151" s="173"/>
      <c r="J151" t="str">
        <f t="shared" si="14"/>
        <v>Y</v>
      </c>
      <c r="K151" s="226">
        <f t="shared" si="15"/>
        <v>0</v>
      </c>
      <c r="L151">
        <f t="shared" si="16"/>
        <v>0</v>
      </c>
    </row>
    <row r="152" spans="1:12" ht="14.1" customHeight="1" x14ac:dyDescent="0.2">
      <c r="A152">
        <v>136</v>
      </c>
      <c r="B152" t="s">
        <v>2171</v>
      </c>
      <c r="D152">
        <v>801947</v>
      </c>
      <c r="E152" s="918">
        <f t="shared" si="20"/>
        <v>0</v>
      </c>
      <c r="F152" s="918">
        <f t="shared" si="21"/>
        <v>0</v>
      </c>
      <c r="G152" s="545">
        <f t="shared" si="22"/>
        <v>0</v>
      </c>
      <c r="H152" s="918">
        <f t="shared" si="23"/>
        <v>0</v>
      </c>
      <c r="I152" s="173"/>
      <c r="J152" t="str">
        <f t="shared" si="14"/>
        <v>Y</v>
      </c>
      <c r="K152" s="226">
        <f t="shared" si="15"/>
        <v>0</v>
      </c>
      <c r="L152">
        <f t="shared" si="16"/>
        <v>0</v>
      </c>
    </row>
    <row r="153" spans="1:12" ht="14.1" customHeight="1" x14ac:dyDescent="0.2">
      <c r="A153">
        <v>136</v>
      </c>
      <c r="B153" t="s">
        <v>2171</v>
      </c>
      <c r="D153">
        <v>802177</v>
      </c>
      <c r="E153" s="918">
        <f t="shared" si="20"/>
        <v>0</v>
      </c>
      <c r="F153" s="918">
        <f t="shared" si="21"/>
        <v>0</v>
      </c>
      <c r="G153" s="545">
        <f t="shared" si="22"/>
        <v>0</v>
      </c>
      <c r="H153" s="918">
        <f t="shared" si="23"/>
        <v>0</v>
      </c>
      <c r="I153" s="173"/>
      <c r="J153" t="str">
        <f t="shared" si="14"/>
        <v>Y</v>
      </c>
      <c r="K153" s="226">
        <f t="shared" si="15"/>
        <v>0</v>
      </c>
      <c r="L153">
        <f t="shared" si="16"/>
        <v>0</v>
      </c>
    </row>
    <row r="154" spans="1:12" ht="14.1" customHeight="1" x14ac:dyDescent="0.2">
      <c r="A154">
        <v>136</v>
      </c>
      <c r="B154" t="s">
        <v>2171</v>
      </c>
      <c r="D154">
        <v>802304</v>
      </c>
      <c r="E154" s="918">
        <f t="shared" si="20"/>
        <v>0</v>
      </c>
      <c r="F154" s="918">
        <f t="shared" si="21"/>
        <v>0</v>
      </c>
      <c r="G154" s="545">
        <f t="shared" si="22"/>
        <v>0</v>
      </c>
      <c r="H154" s="918">
        <f t="shared" si="23"/>
        <v>0</v>
      </c>
      <c r="I154" s="173"/>
      <c r="J154" t="str">
        <f t="shared" si="14"/>
        <v>Y</v>
      </c>
      <c r="K154" s="226">
        <f t="shared" si="15"/>
        <v>0</v>
      </c>
      <c r="L154">
        <f t="shared" si="16"/>
        <v>0</v>
      </c>
    </row>
    <row r="155" spans="1:12" ht="14.1" customHeight="1" x14ac:dyDescent="0.2">
      <c r="A155">
        <v>136</v>
      </c>
      <c r="B155" t="s">
        <v>2171</v>
      </c>
      <c r="D155">
        <v>802334</v>
      </c>
      <c r="E155" s="918">
        <f t="shared" si="20"/>
        <v>0</v>
      </c>
      <c r="F155" s="918">
        <f t="shared" si="21"/>
        <v>0</v>
      </c>
      <c r="G155" s="545">
        <f t="shared" si="22"/>
        <v>0</v>
      </c>
      <c r="H155" s="918">
        <f t="shared" si="23"/>
        <v>0</v>
      </c>
      <c r="I155" s="173"/>
      <c r="J155" t="str">
        <f t="shared" si="14"/>
        <v>Y</v>
      </c>
      <c r="K155" s="226">
        <f t="shared" si="15"/>
        <v>0</v>
      </c>
      <c r="L155">
        <f t="shared" si="16"/>
        <v>0</v>
      </c>
    </row>
    <row r="156" spans="1:12" ht="14.1" customHeight="1" x14ac:dyDescent="0.2">
      <c r="A156">
        <v>136</v>
      </c>
      <c r="B156" t="s">
        <v>2171</v>
      </c>
      <c r="D156">
        <v>802380</v>
      </c>
      <c r="E156" s="918">
        <f t="shared" si="20"/>
        <v>0</v>
      </c>
      <c r="F156" s="918">
        <f t="shared" si="21"/>
        <v>0</v>
      </c>
      <c r="G156" s="545">
        <f t="shared" si="22"/>
        <v>0</v>
      </c>
      <c r="H156" s="918">
        <f t="shared" si="23"/>
        <v>0</v>
      </c>
      <c r="I156" s="173"/>
      <c r="J156" t="str">
        <f t="shared" si="14"/>
        <v>Y</v>
      </c>
      <c r="K156" s="226">
        <f t="shared" si="15"/>
        <v>0</v>
      </c>
      <c r="L156">
        <f t="shared" si="16"/>
        <v>0</v>
      </c>
    </row>
    <row r="157" spans="1:12" ht="14.1" customHeight="1" x14ac:dyDescent="0.2">
      <c r="A157">
        <v>136</v>
      </c>
      <c r="B157" t="s">
        <v>2171</v>
      </c>
      <c r="D157">
        <v>805102</v>
      </c>
      <c r="E157" s="918">
        <f t="shared" si="20"/>
        <v>0</v>
      </c>
      <c r="F157" s="918">
        <f t="shared" si="21"/>
        <v>0</v>
      </c>
      <c r="G157" s="545">
        <f t="shared" si="22"/>
        <v>0</v>
      </c>
      <c r="H157" s="918">
        <f t="shared" si="23"/>
        <v>0</v>
      </c>
      <c r="I157" s="173"/>
      <c r="J157" t="str">
        <f t="shared" si="14"/>
        <v>Y</v>
      </c>
      <c r="K157" s="226">
        <f t="shared" si="15"/>
        <v>0</v>
      </c>
      <c r="L157">
        <f t="shared" si="16"/>
        <v>0</v>
      </c>
    </row>
    <row r="158" spans="1:12" ht="14.1" customHeight="1" x14ac:dyDescent="0.2">
      <c r="A158">
        <v>136</v>
      </c>
      <c r="B158" t="s">
        <v>2171</v>
      </c>
      <c r="D158">
        <v>805229</v>
      </c>
      <c r="E158" s="918">
        <f t="shared" si="20"/>
        <v>0</v>
      </c>
      <c r="F158" s="918">
        <f t="shared" si="21"/>
        <v>0</v>
      </c>
      <c r="G158" s="545">
        <f t="shared" si="22"/>
        <v>0</v>
      </c>
      <c r="H158" s="918">
        <f t="shared" si="23"/>
        <v>0</v>
      </c>
      <c r="I158" s="173"/>
      <c r="J158" t="str">
        <f t="shared" si="14"/>
        <v>Y</v>
      </c>
      <c r="K158" s="226">
        <f t="shared" si="15"/>
        <v>0</v>
      </c>
      <c r="L158">
        <f t="shared" si="16"/>
        <v>0</v>
      </c>
    </row>
    <row r="159" spans="1:12" ht="14.1" customHeight="1" x14ac:dyDescent="0.2">
      <c r="A159">
        <v>136</v>
      </c>
      <c r="B159" t="s">
        <v>2171</v>
      </c>
      <c r="D159">
        <v>805235</v>
      </c>
      <c r="E159" s="918">
        <f t="shared" si="20"/>
        <v>0</v>
      </c>
      <c r="F159" s="918">
        <f t="shared" si="21"/>
        <v>0</v>
      </c>
      <c r="G159" s="545">
        <f t="shared" si="22"/>
        <v>0</v>
      </c>
      <c r="H159" s="918">
        <f t="shared" si="23"/>
        <v>0</v>
      </c>
      <c r="I159" s="173"/>
      <c r="J159" t="str">
        <f t="shared" si="14"/>
        <v>Y</v>
      </c>
      <c r="K159" s="226">
        <f t="shared" si="15"/>
        <v>0</v>
      </c>
      <c r="L159">
        <f t="shared" si="16"/>
        <v>0</v>
      </c>
    </row>
    <row r="160" spans="1:12" ht="14.1" customHeight="1" x14ac:dyDescent="0.2">
      <c r="A160">
        <v>136</v>
      </c>
      <c r="B160" t="s">
        <v>2171</v>
      </c>
      <c r="D160">
        <v>830923</v>
      </c>
      <c r="E160" s="918">
        <f t="shared" si="20"/>
        <v>0</v>
      </c>
      <c r="F160" s="918">
        <f t="shared" si="21"/>
        <v>0</v>
      </c>
      <c r="G160" s="545">
        <f t="shared" si="22"/>
        <v>0</v>
      </c>
      <c r="H160" s="918">
        <f t="shared" si="23"/>
        <v>0</v>
      </c>
      <c r="I160" s="173"/>
      <c r="J160" t="str">
        <f t="shared" si="14"/>
        <v>Y</v>
      </c>
      <c r="K160" s="226">
        <f t="shared" si="15"/>
        <v>0</v>
      </c>
      <c r="L160">
        <f t="shared" si="16"/>
        <v>0</v>
      </c>
    </row>
    <row r="161" spans="1:12" ht="14.1" customHeight="1" x14ac:dyDescent="0.2">
      <c r="A161">
        <v>144</v>
      </c>
      <c r="B161" t="s">
        <v>2172</v>
      </c>
      <c r="D161">
        <v>835432</v>
      </c>
      <c r="E161" s="918">
        <f t="shared" si="20"/>
        <v>0</v>
      </c>
      <c r="F161" s="918">
        <f t="shared" si="21"/>
        <v>0</v>
      </c>
      <c r="G161" s="545">
        <f t="shared" si="22"/>
        <v>0</v>
      </c>
      <c r="H161" s="918">
        <f t="shared" si="23"/>
        <v>0</v>
      </c>
      <c r="I161" s="173"/>
      <c r="J161" t="str">
        <f t="shared" si="14"/>
        <v>Y</v>
      </c>
      <c r="K161" s="226">
        <f t="shared" si="15"/>
        <v>0</v>
      </c>
      <c r="L161">
        <f t="shared" si="16"/>
        <v>0</v>
      </c>
    </row>
    <row r="162" spans="1:12" ht="14.1" customHeight="1" x14ac:dyDescent="0.2">
      <c r="A162">
        <v>145</v>
      </c>
      <c r="B162" t="s">
        <v>2173</v>
      </c>
      <c r="D162">
        <v>835382</v>
      </c>
      <c r="E162" s="918">
        <f t="shared" si="20"/>
        <v>0</v>
      </c>
      <c r="F162" s="918">
        <f t="shared" si="21"/>
        <v>0</v>
      </c>
      <c r="G162" s="545">
        <f t="shared" si="22"/>
        <v>0</v>
      </c>
      <c r="H162" s="918">
        <f t="shared" si="23"/>
        <v>0</v>
      </c>
      <c r="I162" s="173"/>
      <c r="J162" t="str">
        <f t="shared" si="14"/>
        <v>Y</v>
      </c>
      <c r="K162" s="226">
        <f t="shared" si="15"/>
        <v>0</v>
      </c>
      <c r="L162">
        <f t="shared" si="16"/>
        <v>0</v>
      </c>
    </row>
    <row r="163" spans="1:12" ht="14.1" customHeight="1" x14ac:dyDescent="0.2">
      <c r="A163">
        <v>145</v>
      </c>
      <c r="B163" t="s">
        <v>2173</v>
      </c>
      <c r="D163">
        <v>835383</v>
      </c>
      <c r="E163" s="918">
        <f t="shared" si="20"/>
        <v>0</v>
      </c>
      <c r="F163" s="918">
        <f t="shared" si="21"/>
        <v>0</v>
      </c>
      <c r="G163" s="545">
        <f t="shared" si="22"/>
        <v>0</v>
      </c>
      <c r="H163" s="918">
        <f t="shared" si="23"/>
        <v>0</v>
      </c>
      <c r="I163" s="173"/>
      <c r="J163" t="str">
        <f t="shared" si="14"/>
        <v>Y</v>
      </c>
      <c r="K163" s="226">
        <f t="shared" si="15"/>
        <v>0</v>
      </c>
      <c r="L163">
        <f t="shared" si="16"/>
        <v>0</v>
      </c>
    </row>
    <row r="164" spans="1:12" ht="14.1" customHeight="1" x14ac:dyDescent="0.2">
      <c r="A164">
        <v>145</v>
      </c>
      <c r="B164" t="s">
        <v>2173</v>
      </c>
      <c r="D164">
        <v>835384</v>
      </c>
      <c r="E164" s="918">
        <f t="shared" si="20"/>
        <v>0</v>
      </c>
      <c r="F164" s="918">
        <f t="shared" si="21"/>
        <v>0</v>
      </c>
      <c r="G164" s="545">
        <f t="shared" si="22"/>
        <v>0</v>
      </c>
      <c r="H164" s="918">
        <f t="shared" si="23"/>
        <v>0</v>
      </c>
      <c r="I164" s="173"/>
      <c r="J164" t="str">
        <f t="shared" si="14"/>
        <v>Y</v>
      </c>
      <c r="K164" s="226">
        <f t="shared" si="15"/>
        <v>0</v>
      </c>
      <c r="L164">
        <f t="shared" si="16"/>
        <v>0</v>
      </c>
    </row>
    <row r="165" spans="1:12" ht="14.1" customHeight="1" x14ac:dyDescent="0.2">
      <c r="A165">
        <v>145</v>
      </c>
      <c r="B165" t="s">
        <v>2173</v>
      </c>
      <c r="D165">
        <v>835385</v>
      </c>
      <c r="E165" s="918">
        <f t="shared" si="20"/>
        <v>0</v>
      </c>
      <c r="F165" s="918">
        <f t="shared" si="21"/>
        <v>0</v>
      </c>
      <c r="G165" s="545">
        <f t="shared" si="22"/>
        <v>0</v>
      </c>
      <c r="H165" s="918">
        <f t="shared" si="23"/>
        <v>0</v>
      </c>
      <c r="I165" s="173"/>
      <c r="J165" t="str">
        <f t="shared" si="14"/>
        <v>Y</v>
      </c>
      <c r="K165" s="226">
        <f t="shared" si="15"/>
        <v>0</v>
      </c>
      <c r="L165">
        <f t="shared" si="16"/>
        <v>0</v>
      </c>
    </row>
    <row r="166" spans="1:12" ht="14.1" customHeight="1" x14ac:dyDescent="0.2">
      <c r="A166">
        <v>145</v>
      </c>
      <c r="B166" t="s">
        <v>2173</v>
      </c>
      <c r="D166">
        <v>835434</v>
      </c>
      <c r="E166" s="918">
        <f t="shared" si="20"/>
        <v>0</v>
      </c>
      <c r="F166" s="918">
        <f t="shared" si="21"/>
        <v>0</v>
      </c>
      <c r="G166" s="545">
        <f t="shared" si="22"/>
        <v>0</v>
      </c>
      <c r="H166" s="918">
        <f t="shared" si="23"/>
        <v>0</v>
      </c>
      <c r="I166" s="173"/>
      <c r="J166" t="str">
        <f t="shared" si="14"/>
        <v>Y</v>
      </c>
      <c r="K166" s="226">
        <f t="shared" si="15"/>
        <v>0</v>
      </c>
      <c r="L166">
        <f t="shared" si="16"/>
        <v>0</v>
      </c>
    </row>
    <row r="167" spans="1:12" ht="14.1" customHeight="1" x14ac:dyDescent="0.2">
      <c r="A167">
        <v>145</v>
      </c>
      <c r="B167" t="s">
        <v>2173</v>
      </c>
      <c r="D167">
        <v>835435</v>
      </c>
      <c r="E167" s="918">
        <f t="shared" si="20"/>
        <v>0</v>
      </c>
      <c r="F167" s="918">
        <f t="shared" si="21"/>
        <v>0</v>
      </c>
      <c r="G167" s="545">
        <f t="shared" si="22"/>
        <v>0</v>
      </c>
      <c r="H167" s="918">
        <f t="shared" si="23"/>
        <v>0</v>
      </c>
      <c r="I167" s="173"/>
      <c r="J167" t="str">
        <f t="shared" si="14"/>
        <v>Y</v>
      </c>
      <c r="K167" s="226">
        <f t="shared" si="15"/>
        <v>0</v>
      </c>
      <c r="L167">
        <f t="shared" si="16"/>
        <v>0</v>
      </c>
    </row>
    <row r="168" spans="1:12" ht="14.1" customHeight="1" x14ac:dyDescent="0.2">
      <c r="A168">
        <v>145</v>
      </c>
      <c r="B168" t="s">
        <v>2173</v>
      </c>
      <c r="D168">
        <v>835436</v>
      </c>
      <c r="E168" s="918">
        <f t="shared" si="20"/>
        <v>0</v>
      </c>
      <c r="F168" s="918">
        <f t="shared" si="21"/>
        <v>0</v>
      </c>
      <c r="G168" s="545">
        <f t="shared" si="22"/>
        <v>0</v>
      </c>
      <c r="H168" s="918">
        <f t="shared" si="23"/>
        <v>0</v>
      </c>
      <c r="I168" s="173"/>
      <c r="J168" t="str">
        <f t="shared" si="14"/>
        <v>Y</v>
      </c>
      <c r="K168" s="226">
        <f t="shared" si="15"/>
        <v>0</v>
      </c>
      <c r="L168">
        <f t="shared" si="16"/>
        <v>0</v>
      </c>
    </row>
    <row r="169" spans="1:12" ht="14.1" customHeight="1" x14ac:dyDescent="0.2">
      <c r="A169">
        <v>147</v>
      </c>
      <c r="B169" t="s">
        <v>2153</v>
      </c>
      <c r="C169" t="s">
        <v>2076</v>
      </c>
      <c r="D169">
        <v>802815</v>
      </c>
      <c r="E169" s="918">
        <f t="shared" si="20"/>
        <v>0</v>
      </c>
      <c r="F169" s="918">
        <f t="shared" si="21"/>
        <v>0</v>
      </c>
      <c r="G169" s="545">
        <f t="shared" si="22"/>
        <v>0</v>
      </c>
      <c r="H169" s="918">
        <f t="shared" si="23"/>
        <v>0</v>
      </c>
      <c r="I169" s="173"/>
      <c r="J169" t="str">
        <f t="shared" si="14"/>
        <v>Y</v>
      </c>
      <c r="K169" s="226">
        <f t="shared" si="15"/>
        <v>0</v>
      </c>
      <c r="L169">
        <f t="shared" si="16"/>
        <v>0</v>
      </c>
    </row>
    <row r="170" spans="1:12" ht="14.1" customHeight="1" x14ac:dyDescent="0.2">
      <c r="A170">
        <v>151</v>
      </c>
      <c r="B170" t="s">
        <v>2174</v>
      </c>
      <c r="D170">
        <v>835409</v>
      </c>
      <c r="E170" s="918">
        <f t="shared" si="20"/>
        <v>0</v>
      </c>
      <c r="F170" s="918">
        <f t="shared" si="21"/>
        <v>0</v>
      </c>
      <c r="G170" s="545">
        <f t="shared" si="22"/>
        <v>0</v>
      </c>
      <c r="H170" s="918">
        <f t="shared" si="23"/>
        <v>0</v>
      </c>
      <c r="I170" s="173"/>
      <c r="J170" t="str">
        <f t="shared" si="14"/>
        <v>Y</v>
      </c>
      <c r="K170" s="226">
        <f t="shared" si="15"/>
        <v>0</v>
      </c>
      <c r="L170">
        <f t="shared" si="16"/>
        <v>0</v>
      </c>
    </row>
    <row r="171" spans="1:12" ht="14.1" customHeight="1" x14ac:dyDescent="0.2">
      <c r="A171">
        <v>151</v>
      </c>
      <c r="B171" t="s">
        <v>2174</v>
      </c>
      <c r="D171">
        <v>835415</v>
      </c>
      <c r="E171" s="918">
        <f t="shared" si="20"/>
        <v>0</v>
      </c>
      <c r="F171" s="918">
        <f t="shared" si="21"/>
        <v>0</v>
      </c>
      <c r="G171" s="545">
        <f t="shared" si="22"/>
        <v>0</v>
      </c>
      <c r="H171" s="918">
        <f t="shared" si="23"/>
        <v>0</v>
      </c>
      <c r="I171" s="173"/>
      <c r="J171" t="str">
        <f t="shared" si="14"/>
        <v>Y</v>
      </c>
      <c r="K171" s="226">
        <f t="shared" si="15"/>
        <v>0</v>
      </c>
      <c r="L171">
        <f t="shared" si="16"/>
        <v>0</v>
      </c>
    </row>
    <row r="172" spans="1:12" ht="14.1" customHeight="1" x14ac:dyDescent="0.2">
      <c r="A172">
        <v>151</v>
      </c>
      <c r="B172" t="s">
        <v>2174</v>
      </c>
      <c r="D172">
        <v>835416</v>
      </c>
      <c r="E172" s="918">
        <f t="shared" si="20"/>
        <v>0</v>
      </c>
      <c r="F172" s="918">
        <f t="shared" si="21"/>
        <v>0</v>
      </c>
      <c r="G172" s="545">
        <f t="shared" si="22"/>
        <v>0</v>
      </c>
      <c r="H172" s="918">
        <f t="shared" si="23"/>
        <v>0</v>
      </c>
      <c r="I172" s="173"/>
      <c r="J172" t="str">
        <f t="shared" si="14"/>
        <v>Y</v>
      </c>
      <c r="K172" s="226">
        <f t="shared" si="15"/>
        <v>0</v>
      </c>
      <c r="L172">
        <f t="shared" si="16"/>
        <v>0</v>
      </c>
    </row>
    <row r="173" spans="1:12" ht="14.1" customHeight="1" x14ac:dyDescent="0.2">
      <c r="A173">
        <v>151</v>
      </c>
      <c r="B173" t="s">
        <v>2174</v>
      </c>
      <c r="D173">
        <v>835426</v>
      </c>
      <c r="E173" s="918">
        <f t="shared" si="20"/>
        <v>0</v>
      </c>
      <c r="F173" s="918">
        <f t="shared" si="21"/>
        <v>0</v>
      </c>
      <c r="G173" s="545">
        <f t="shared" si="22"/>
        <v>0</v>
      </c>
      <c r="H173" s="918">
        <f t="shared" si="23"/>
        <v>0</v>
      </c>
      <c r="I173" s="173"/>
      <c r="J173" t="str">
        <f t="shared" si="14"/>
        <v>Y</v>
      </c>
      <c r="K173" s="226">
        <f t="shared" si="15"/>
        <v>0</v>
      </c>
      <c r="L173">
        <f t="shared" si="16"/>
        <v>0</v>
      </c>
    </row>
    <row r="174" spans="1:12" ht="14.1" customHeight="1" x14ac:dyDescent="0.2">
      <c r="A174">
        <v>151</v>
      </c>
      <c r="B174" t="s">
        <v>2174</v>
      </c>
      <c r="D174">
        <v>835429</v>
      </c>
      <c r="E174" s="918">
        <f t="shared" si="20"/>
        <v>0</v>
      </c>
      <c r="F174" s="918">
        <f t="shared" si="21"/>
        <v>0</v>
      </c>
      <c r="G174" s="545">
        <f t="shared" si="22"/>
        <v>0</v>
      </c>
      <c r="H174" s="918">
        <f t="shared" si="23"/>
        <v>0</v>
      </c>
      <c r="I174" s="173"/>
      <c r="J174" t="str">
        <f t="shared" si="14"/>
        <v>Y</v>
      </c>
      <c r="K174" s="226">
        <f t="shared" si="15"/>
        <v>0</v>
      </c>
      <c r="L174">
        <f t="shared" si="16"/>
        <v>0</v>
      </c>
    </row>
    <row r="175" spans="1:12" ht="14.1" customHeight="1" x14ac:dyDescent="0.2">
      <c r="A175">
        <v>152</v>
      </c>
      <c r="B175" t="s">
        <v>2133</v>
      </c>
      <c r="D175">
        <v>835379</v>
      </c>
      <c r="E175" s="918">
        <f t="shared" si="20"/>
        <v>0</v>
      </c>
      <c r="F175" s="918">
        <f t="shared" si="21"/>
        <v>0</v>
      </c>
      <c r="G175" s="545">
        <f t="shared" si="22"/>
        <v>0</v>
      </c>
      <c r="H175" s="918">
        <f t="shared" si="23"/>
        <v>0</v>
      </c>
      <c r="I175" s="173"/>
      <c r="J175" t="str">
        <f t="shared" si="14"/>
        <v>Y</v>
      </c>
      <c r="K175" s="226">
        <f t="shared" si="15"/>
        <v>0</v>
      </c>
      <c r="L175">
        <f t="shared" si="16"/>
        <v>0</v>
      </c>
    </row>
    <row r="176" spans="1:12" ht="14.1" customHeight="1" x14ac:dyDescent="0.2">
      <c r="A176">
        <v>152</v>
      </c>
      <c r="B176" t="s">
        <v>2133</v>
      </c>
      <c r="D176">
        <v>835433</v>
      </c>
      <c r="E176" s="918">
        <f t="shared" si="20"/>
        <v>0</v>
      </c>
      <c r="F176" s="918">
        <f t="shared" si="21"/>
        <v>0</v>
      </c>
      <c r="G176" s="545">
        <f t="shared" si="22"/>
        <v>0</v>
      </c>
      <c r="H176" s="918">
        <f t="shared" si="23"/>
        <v>0</v>
      </c>
      <c r="I176" s="173"/>
      <c r="J176" t="str">
        <f t="shared" si="14"/>
        <v>Y</v>
      </c>
      <c r="K176" s="226">
        <f t="shared" si="15"/>
        <v>0</v>
      </c>
      <c r="L176">
        <f t="shared" si="16"/>
        <v>0</v>
      </c>
    </row>
    <row r="177" spans="1:12" ht="14.1" customHeight="1" x14ac:dyDescent="0.2">
      <c r="A177">
        <v>152</v>
      </c>
      <c r="B177" t="s">
        <v>2133</v>
      </c>
      <c r="D177">
        <v>835442</v>
      </c>
      <c r="E177" s="918">
        <f t="shared" si="20"/>
        <v>0</v>
      </c>
      <c r="F177" s="918">
        <f t="shared" si="21"/>
        <v>0</v>
      </c>
      <c r="G177" s="545">
        <f t="shared" si="22"/>
        <v>0</v>
      </c>
      <c r="H177" s="918">
        <f t="shared" si="23"/>
        <v>0</v>
      </c>
      <c r="I177" s="173"/>
      <c r="J177" t="str">
        <f t="shared" si="14"/>
        <v>Y</v>
      </c>
      <c r="K177" s="226">
        <f t="shared" si="15"/>
        <v>0</v>
      </c>
      <c r="L177">
        <f t="shared" si="16"/>
        <v>0</v>
      </c>
    </row>
    <row r="178" spans="1:12" ht="14.1" customHeight="1" x14ac:dyDescent="0.2">
      <c r="A178">
        <v>154</v>
      </c>
      <c r="B178" t="s">
        <v>2140</v>
      </c>
      <c r="D178">
        <v>835424</v>
      </c>
      <c r="E178" s="918">
        <f t="shared" si="20"/>
        <v>0</v>
      </c>
      <c r="F178" s="918">
        <f t="shared" si="21"/>
        <v>0</v>
      </c>
      <c r="G178" s="545">
        <f t="shared" si="22"/>
        <v>0</v>
      </c>
      <c r="H178" s="918">
        <f t="shared" si="23"/>
        <v>0</v>
      </c>
      <c r="I178" s="173"/>
      <c r="J178" t="str">
        <f t="shared" si="14"/>
        <v>Y</v>
      </c>
      <c r="K178" s="226">
        <f t="shared" si="15"/>
        <v>0</v>
      </c>
      <c r="L178">
        <f t="shared" si="16"/>
        <v>0</v>
      </c>
    </row>
    <row r="179" spans="1:12" ht="14.1" customHeight="1" x14ac:dyDescent="0.2">
      <c r="A179">
        <v>154</v>
      </c>
      <c r="B179" t="s">
        <v>2140</v>
      </c>
      <c r="D179">
        <v>835425</v>
      </c>
      <c r="E179" s="918">
        <f t="shared" si="20"/>
        <v>0</v>
      </c>
      <c r="F179" s="918">
        <f t="shared" si="21"/>
        <v>0</v>
      </c>
      <c r="G179" s="545">
        <f t="shared" si="22"/>
        <v>0</v>
      </c>
      <c r="H179" s="918">
        <f t="shared" si="23"/>
        <v>0</v>
      </c>
      <c r="I179" s="173"/>
      <c r="J179" t="str">
        <f t="shared" si="14"/>
        <v>Y</v>
      </c>
      <c r="K179" s="226">
        <f t="shared" si="15"/>
        <v>0</v>
      </c>
      <c r="L179">
        <f t="shared" si="16"/>
        <v>0</v>
      </c>
    </row>
    <row r="180" spans="1:12" ht="14.1" customHeight="1" x14ac:dyDescent="0.2">
      <c r="A180">
        <v>155</v>
      </c>
      <c r="B180" t="s">
        <v>2175</v>
      </c>
      <c r="D180">
        <v>834586</v>
      </c>
      <c r="E180" s="918">
        <f t="shared" si="20"/>
        <v>0</v>
      </c>
      <c r="F180" s="918">
        <f t="shared" si="21"/>
        <v>0</v>
      </c>
      <c r="G180" s="545">
        <f t="shared" si="22"/>
        <v>0</v>
      </c>
      <c r="H180" s="918">
        <f t="shared" si="23"/>
        <v>0</v>
      </c>
      <c r="I180" s="173"/>
      <c r="J180" t="str">
        <f t="shared" si="14"/>
        <v>Y</v>
      </c>
      <c r="K180" s="226">
        <f t="shared" si="15"/>
        <v>0</v>
      </c>
      <c r="L180">
        <f t="shared" si="16"/>
        <v>0</v>
      </c>
    </row>
    <row r="181" spans="1:12" ht="14.1" customHeight="1" x14ac:dyDescent="0.2">
      <c r="A181">
        <v>156</v>
      </c>
      <c r="B181" t="s">
        <v>2176</v>
      </c>
      <c r="C181" t="s">
        <v>2077</v>
      </c>
      <c r="D181">
        <v>804275</v>
      </c>
      <c r="E181" s="918">
        <f t="shared" si="20"/>
        <v>0</v>
      </c>
      <c r="F181" s="918">
        <f t="shared" si="21"/>
        <v>0</v>
      </c>
      <c r="G181" s="545">
        <f t="shared" si="22"/>
        <v>0</v>
      </c>
      <c r="H181" s="918">
        <f t="shared" si="23"/>
        <v>0</v>
      </c>
      <c r="I181" s="173"/>
      <c r="J181" t="str">
        <f t="shared" si="14"/>
        <v>Y</v>
      </c>
      <c r="K181" s="226">
        <f t="shared" si="15"/>
        <v>0</v>
      </c>
      <c r="L181">
        <f t="shared" si="16"/>
        <v>0</v>
      </c>
    </row>
    <row r="182" spans="1:12" ht="14.1" customHeight="1" x14ac:dyDescent="0.2">
      <c r="A182">
        <v>156</v>
      </c>
      <c r="B182" t="s">
        <v>2176</v>
      </c>
      <c r="C182" t="s">
        <v>2077</v>
      </c>
      <c r="D182">
        <v>834362</v>
      </c>
      <c r="E182" s="918">
        <f t="shared" si="20"/>
        <v>0</v>
      </c>
      <c r="F182" s="918">
        <f t="shared" si="21"/>
        <v>0</v>
      </c>
      <c r="G182" s="545">
        <f t="shared" si="22"/>
        <v>0</v>
      </c>
      <c r="H182" s="918">
        <f t="shared" si="23"/>
        <v>0</v>
      </c>
      <c r="I182" s="173"/>
      <c r="J182" t="str">
        <f t="shared" si="14"/>
        <v>Y</v>
      </c>
      <c r="K182" s="226">
        <f t="shared" ref="K182:K192" si="24">IF(ISNA(VLOOKUP(D182,InCNR,3,FALSE)),0,VLOOKUP(D182,InCNR,3,FALSE))</f>
        <v>0</v>
      </c>
      <c r="L182">
        <f t="shared" si="16"/>
        <v>0</v>
      </c>
    </row>
    <row r="183" spans="1:12" ht="14.1" customHeight="1" x14ac:dyDescent="0.2">
      <c r="A183">
        <v>164</v>
      </c>
      <c r="B183" t="s">
        <v>2177</v>
      </c>
      <c r="D183">
        <v>804513</v>
      </c>
      <c r="E183" s="918">
        <f t="shared" si="20"/>
        <v>0</v>
      </c>
      <c r="F183" s="918">
        <f t="shared" si="21"/>
        <v>3373</v>
      </c>
      <c r="G183" s="545">
        <f t="shared" si="22"/>
        <v>0</v>
      </c>
      <c r="H183" s="918">
        <f t="shared" si="23"/>
        <v>25</v>
      </c>
      <c r="I183" s="173"/>
      <c r="J183" t="str">
        <f t="shared" si="14"/>
        <v>Y</v>
      </c>
      <c r="K183" s="226">
        <f t="shared" si="24"/>
        <v>3373</v>
      </c>
      <c r="L183">
        <f t="shared" si="16"/>
        <v>0</v>
      </c>
    </row>
    <row r="184" spans="1:12" ht="14.1" customHeight="1" x14ac:dyDescent="0.2">
      <c r="A184">
        <v>166</v>
      </c>
      <c r="B184" t="s">
        <v>2179</v>
      </c>
      <c r="D184">
        <v>835443</v>
      </c>
      <c r="E184" s="918">
        <f t="shared" si="20"/>
        <v>0</v>
      </c>
      <c r="F184" s="918">
        <f t="shared" si="21"/>
        <v>0</v>
      </c>
      <c r="G184" s="545">
        <f t="shared" si="22"/>
        <v>0</v>
      </c>
      <c r="H184" s="918">
        <f t="shared" si="23"/>
        <v>0</v>
      </c>
      <c r="I184" s="173"/>
      <c r="J184" t="str">
        <f t="shared" si="14"/>
        <v>Y</v>
      </c>
      <c r="K184" s="226">
        <f t="shared" si="24"/>
        <v>0</v>
      </c>
      <c r="L184">
        <f t="shared" si="16"/>
        <v>0</v>
      </c>
    </row>
    <row r="185" spans="1:12" ht="14.1" customHeight="1" x14ac:dyDescent="0.2">
      <c r="A185">
        <v>166</v>
      </c>
      <c r="B185" t="s">
        <v>2179</v>
      </c>
      <c r="D185">
        <v>836654</v>
      </c>
      <c r="E185" s="918">
        <f t="shared" si="20"/>
        <v>0</v>
      </c>
      <c r="F185" s="918">
        <f t="shared" si="21"/>
        <v>0</v>
      </c>
      <c r="G185" s="545">
        <f t="shared" si="22"/>
        <v>0</v>
      </c>
      <c r="H185" s="918">
        <f t="shared" si="23"/>
        <v>0</v>
      </c>
      <c r="I185" s="173"/>
      <c r="J185" t="str">
        <f t="shared" si="14"/>
        <v>Y</v>
      </c>
      <c r="K185" s="226">
        <f t="shared" si="24"/>
        <v>0</v>
      </c>
      <c r="L185">
        <f t="shared" si="16"/>
        <v>0</v>
      </c>
    </row>
    <row r="186" spans="1:12" ht="14.1" customHeight="1" x14ac:dyDescent="0.2">
      <c r="A186">
        <v>167</v>
      </c>
      <c r="B186" t="s">
        <v>2180</v>
      </c>
      <c r="D186">
        <v>837133</v>
      </c>
      <c r="E186" s="918">
        <f t="shared" si="20"/>
        <v>0</v>
      </c>
      <c r="F186" s="918">
        <f t="shared" si="21"/>
        <v>0</v>
      </c>
      <c r="G186" s="545">
        <f t="shared" si="22"/>
        <v>0</v>
      </c>
      <c r="H186" s="918">
        <f t="shared" si="23"/>
        <v>0</v>
      </c>
      <c r="I186" s="173"/>
      <c r="J186" t="str">
        <f t="shared" si="14"/>
        <v>Y</v>
      </c>
      <c r="K186" s="226">
        <f t="shared" si="24"/>
        <v>0</v>
      </c>
      <c r="L186">
        <f t="shared" si="16"/>
        <v>0</v>
      </c>
    </row>
    <row r="187" spans="1:12" ht="14.1" customHeight="1" x14ac:dyDescent="0.2">
      <c r="A187">
        <v>167</v>
      </c>
      <c r="B187" t="s">
        <v>2180</v>
      </c>
      <c r="D187">
        <v>835092</v>
      </c>
      <c r="E187" s="918">
        <f t="shared" si="20"/>
        <v>0</v>
      </c>
      <c r="F187" s="918">
        <f t="shared" si="21"/>
        <v>0</v>
      </c>
      <c r="G187" s="545">
        <f t="shared" si="22"/>
        <v>0</v>
      </c>
      <c r="H187" s="918">
        <f t="shared" si="23"/>
        <v>0</v>
      </c>
      <c r="I187" s="173"/>
      <c r="J187" t="str">
        <f t="shared" si="14"/>
        <v>Y</v>
      </c>
      <c r="K187" s="226">
        <f t="shared" si="24"/>
        <v>0</v>
      </c>
      <c r="L187">
        <f t="shared" si="16"/>
        <v>0</v>
      </c>
    </row>
    <row r="188" spans="1:12" ht="14.1" customHeight="1" x14ac:dyDescent="0.2">
      <c r="A188">
        <v>167</v>
      </c>
      <c r="B188" t="s">
        <v>2180</v>
      </c>
      <c r="D188">
        <v>835093</v>
      </c>
      <c r="E188" s="918">
        <f t="shared" si="20"/>
        <v>0</v>
      </c>
      <c r="F188" s="918">
        <f t="shared" si="21"/>
        <v>0</v>
      </c>
      <c r="G188" s="545">
        <f t="shared" si="22"/>
        <v>0</v>
      </c>
      <c r="H188" s="918">
        <f t="shared" si="23"/>
        <v>0</v>
      </c>
      <c r="I188" s="173"/>
      <c r="J188" t="str">
        <f t="shared" si="14"/>
        <v>Y</v>
      </c>
      <c r="K188" s="226">
        <f t="shared" si="24"/>
        <v>0</v>
      </c>
      <c r="L188">
        <f t="shared" si="16"/>
        <v>0</v>
      </c>
    </row>
    <row r="189" spans="1:12" ht="14.1" customHeight="1" x14ac:dyDescent="0.2">
      <c r="A189">
        <v>167</v>
      </c>
      <c r="B189" t="s">
        <v>2180</v>
      </c>
      <c r="D189">
        <v>835094</v>
      </c>
      <c r="E189" s="918">
        <f t="shared" si="20"/>
        <v>0</v>
      </c>
      <c r="F189" s="918">
        <f t="shared" si="21"/>
        <v>0</v>
      </c>
      <c r="G189" s="545">
        <f t="shared" si="22"/>
        <v>0</v>
      </c>
      <c r="H189" s="918">
        <f t="shared" si="23"/>
        <v>0</v>
      </c>
      <c r="I189" s="173"/>
      <c r="J189" t="str">
        <f t="shared" si="14"/>
        <v>Y</v>
      </c>
      <c r="K189" s="226">
        <f t="shared" si="24"/>
        <v>0</v>
      </c>
      <c r="L189">
        <f t="shared" si="16"/>
        <v>0</v>
      </c>
    </row>
    <row r="190" spans="1:12" ht="14.1" customHeight="1" x14ac:dyDescent="0.2">
      <c r="A190">
        <v>167</v>
      </c>
      <c r="B190" t="s">
        <v>2180</v>
      </c>
      <c r="D190">
        <v>835614</v>
      </c>
      <c r="E190" s="918">
        <f t="shared" si="20"/>
        <v>0</v>
      </c>
      <c r="F190" s="918">
        <f t="shared" si="21"/>
        <v>0</v>
      </c>
      <c r="G190" s="545">
        <f t="shared" si="22"/>
        <v>0</v>
      </c>
      <c r="H190" s="918">
        <f t="shared" si="23"/>
        <v>0</v>
      </c>
      <c r="I190" s="173"/>
      <c r="J190" t="str">
        <f t="shared" si="14"/>
        <v>Y</v>
      </c>
      <c r="K190" s="226">
        <f t="shared" si="24"/>
        <v>0</v>
      </c>
      <c r="L190">
        <f t="shared" si="16"/>
        <v>0</v>
      </c>
    </row>
    <row r="191" spans="1:12" ht="14.1" customHeight="1" x14ac:dyDescent="0.2">
      <c r="A191">
        <v>167</v>
      </c>
      <c r="B191" t="s">
        <v>2180</v>
      </c>
      <c r="D191">
        <v>835619</v>
      </c>
      <c r="E191" s="918">
        <f t="shared" si="20"/>
        <v>0</v>
      </c>
      <c r="F191" s="918">
        <f t="shared" si="21"/>
        <v>0</v>
      </c>
      <c r="G191" s="545">
        <f t="shared" si="22"/>
        <v>0</v>
      </c>
      <c r="H191" s="918">
        <f t="shared" si="23"/>
        <v>0</v>
      </c>
      <c r="I191" s="173"/>
      <c r="J191" t="str">
        <f t="shared" si="14"/>
        <v>Y</v>
      </c>
      <c r="K191" s="226">
        <f t="shared" si="24"/>
        <v>0</v>
      </c>
      <c r="L191">
        <f t="shared" si="16"/>
        <v>0</v>
      </c>
    </row>
    <row r="192" spans="1:12" ht="14.1" customHeight="1" x14ac:dyDescent="0.2">
      <c r="A192">
        <v>170</v>
      </c>
      <c r="B192" t="s">
        <v>2181</v>
      </c>
      <c r="D192">
        <v>835444</v>
      </c>
      <c r="E192" s="918">
        <f t="shared" si="20"/>
        <v>0</v>
      </c>
      <c r="F192" s="918">
        <f t="shared" si="21"/>
        <v>0</v>
      </c>
      <c r="G192" s="545">
        <f t="shared" si="22"/>
        <v>0</v>
      </c>
      <c r="H192" s="918">
        <f t="shared" si="23"/>
        <v>0</v>
      </c>
      <c r="I192" s="173"/>
      <c r="J192" t="str">
        <f t="shared" si="14"/>
        <v>Y</v>
      </c>
      <c r="K192" s="226">
        <f t="shared" si="24"/>
        <v>0</v>
      </c>
      <c r="L192">
        <f t="shared" si="16"/>
        <v>0</v>
      </c>
    </row>
    <row r="193" spans="1:12" ht="14.1" customHeight="1" x14ac:dyDescent="0.2">
      <c r="A193">
        <v>170</v>
      </c>
      <c r="B193" t="s">
        <v>2181</v>
      </c>
      <c r="D193">
        <v>835997</v>
      </c>
      <c r="E193" s="918">
        <f t="shared" si="20"/>
        <v>0</v>
      </c>
      <c r="F193" s="918">
        <f t="shared" si="21"/>
        <v>0</v>
      </c>
      <c r="G193" s="545">
        <f t="shared" si="22"/>
        <v>0</v>
      </c>
      <c r="H193" s="918">
        <f t="shared" si="23"/>
        <v>0</v>
      </c>
      <c r="I193" s="173"/>
      <c r="J193" t="str">
        <f t="shared" ref="J193:J244" si="25">IF(ISNA(VLOOKUP(D193,InCNR,3,FALSE)),"--", "Y")</f>
        <v>Y</v>
      </c>
      <c r="K193" s="226">
        <f t="shared" ref="K193:K244" si="26">IF(ISNA(VLOOKUP(D193,InCNR,3,FALSE)),0,VLOOKUP(D193,InCNR,3,FALSE))</f>
        <v>0</v>
      </c>
      <c r="L193">
        <f t="shared" ref="L193:L244" si="27">+F193-K193</f>
        <v>0</v>
      </c>
    </row>
    <row r="194" spans="1:12" ht="14.1" customHeight="1" x14ac:dyDescent="0.2">
      <c r="A194">
        <v>170</v>
      </c>
      <c r="B194" t="s">
        <v>2181</v>
      </c>
      <c r="D194">
        <v>801478</v>
      </c>
      <c r="E194" s="918">
        <f t="shared" si="20"/>
        <v>0</v>
      </c>
      <c r="F194" s="918">
        <f t="shared" si="21"/>
        <v>0</v>
      </c>
      <c r="G194" s="545">
        <f t="shared" si="22"/>
        <v>0</v>
      </c>
      <c r="H194" s="918">
        <f t="shared" si="23"/>
        <v>0</v>
      </c>
      <c r="I194" s="173"/>
      <c r="J194" t="str">
        <f t="shared" si="25"/>
        <v>Y</v>
      </c>
      <c r="K194" s="226">
        <f t="shared" si="26"/>
        <v>0</v>
      </c>
      <c r="L194">
        <f t="shared" si="27"/>
        <v>0</v>
      </c>
    </row>
    <row r="195" spans="1:12" ht="14.1" customHeight="1" x14ac:dyDescent="0.2">
      <c r="A195">
        <v>172</v>
      </c>
      <c r="B195" t="s">
        <v>2173</v>
      </c>
      <c r="D195">
        <v>835077</v>
      </c>
      <c r="E195" s="918">
        <f t="shared" si="20"/>
        <v>0</v>
      </c>
      <c r="F195" s="918">
        <f t="shared" si="21"/>
        <v>0</v>
      </c>
      <c r="G195" s="545">
        <f t="shared" si="22"/>
        <v>0</v>
      </c>
      <c r="H195" s="918">
        <f t="shared" si="23"/>
        <v>0</v>
      </c>
      <c r="I195" s="173"/>
      <c r="J195" t="str">
        <f t="shared" si="25"/>
        <v>Y</v>
      </c>
      <c r="K195" s="226">
        <f t="shared" si="26"/>
        <v>0</v>
      </c>
      <c r="L195">
        <f t="shared" si="27"/>
        <v>0</v>
      </c>
    </row>
    <row r="196" spans="1:12" ht="14.1" customHeight="1" x14ac:dyDescent="0.2">
      <c r="A196">
        <v>172</v>
      </c>
      <c r="B196" t="s">
        <v>2173</v>
      </c>
      <c r="D196">
        <v>835157</v>
      </c>
      <c r="E196" s="918">
        <f t="shared" ref="E196:E248" si="28">IF(ISNA(VLOOKUP(D196,CNRVol,5,FALSE)),0,VLOOKUP(D196,CNRVol,5,FALSE))</f>
        <v>0</v>
      </c>
      <c r="F196" s="918">
        <f t="shared" ref="F196:F248" si="29">IF(ISNA(VLOOKUP(D196,CNRVol,6,FALSE)),0,VLOOKUP(D196,CNRVol,6,FALSE))</f>
        <v>0</v>
      </c>
      <c r="G196" s="545">
        <f t="shared" ref="G196:G248" si="30">+E196*0.9575</f>
        <v>0</v>
      </c>
      <c r="H196" s="918">
        <f t="shared" ref="H196:H248" si="31">IF(ISNA(VLOOKUP(D196,CNRVol,7,FALSE)),0,VLOOKUP(D196,CNRVol,7,FALSE))</f>
        <v>0</v>
      </c>
      <c r="I196" s="173"/>
      <c r="J196" t="str">
        <f t="shared" si="25"/>
        <v>Y</v>
      </c>
      <c r="K196" s="226">
        <f t="shared" si="26"/>
        <v>0</v>
      </c>
      <c r="L196">
        <f t="shared" si="27"/>
        <v>0</v>
      </c>
    </row>
    <row r="197" spans="1:12" ht="14.1" customHeight="1" x14ac:dyDescent="0.2">
      <c r="A197">
        <v>173</v>
      </c>
      <c r="B197" t="s">
        <v>2182</v>
      </c>
      <c r="D197">
        <v>824366</v>
      </c>
      <c r="E197" s="918">
        <f t="shared" si="28"/>
        <v>0</v>
      </c>
      <c r="F197" s="918">
        <f t="shared" si="29"/>
        <v>0</v>
      </c>
      <c r="G197" s="545">
        <f t="shared" si="30"/>
        <v>0</v>
      </c>
      <c r="H197" s="918">
        <f t="shared" si="31"/>
        <v>0</v>
      </c>
      <c r="I197" s="173"/>
      <c r="J197" t="str">
        <f t="shared" si="25"/>
        <v>Y</v>
      </c>
      <c r="K197" s="226">
        <f t="shared" si="26"/>
        <v>0</v>
      </c>
      <c r="L197">
        <f t="shared" si="27"/>
        <v>0</v>
      </c>
    </row>
    <row r="198" spans="1:12" ht="14.1" customHeight="1" x14ac:dyDescent="0.2">
      <c r="A198">
        <v>173</v>
      </c>
      <c r="B198" t="s">
        <v>2182</v>
      </c>
      <c r="D198">
        <v>825640</v>
      </c>
      <c r="E198" s="918">
        <f t="shared" si="28"/>
        <v>0</v>
      </c>
      <c r="F198" s="918">
        <f t="shared" si="29"/>
        <v>0</v>
      </c>
      <c r="G198" s="545">
        <f t="shared" si="30"/>
        <v>0</v>
      </c>
      <c r="H198" s="918">
        <f t="shared" si="31"/>
        <v>0</v>
      </c>
      <c r="I198" s="173"/>
      <c r="J198" t="str">
        <f t="shared" si="25"/>
        <v>Y</v>
      </c>
      <c r="K198" s="226">
        <f t="shared" si="26"/>
        <v>0</v>
      </c>
      <c r="L198">
        <f t="shared" si="27"/>
        <v>0</v>
      </c>
    </row>
    <row r="199" spans="1:12" ht="14.1" customHeight="1" x14ac:dyDescent="0.2">
      <c r="A199">
        <v>175</v>
      </c>
      <c r="B199" t="s">
        <v>2183</v>
      </c>
      <c r="D199">
        <v>835684</v>
      </c>
      <c r="E199" s="918">
        <f t="shared" si="28"/>
        <v>0</v>
      </c>
      <c r="F199" s="918">
        <f t="shared" si="29"/>
        <v>0</v>
      </c>
      <c r="G199" s="545">
        <f t="shared" si="30"/>
        <v>0</v>
      </c>
      <c r="H199" s="918">
        <f t="shared" si="31"/>
        <v>0</v>
      </c>
      <c r="I199" s="173"/>
      <c r="J199" t="str">
        <f t="shared" si="25"/>
        <v>Y</v>
      </c>
      <c r="K199" s="226">
        <f t="shared" si="26"/>
        <v>0</v>
      </c>
      <c r="L199">
        <f t="shared" si="27"/>
        <v>0</v>
      </c>
    </row>
    <row r="200" spans="1:12" ht="14.1" customHeight="1" x14ac:dyDescent="0.2">
      <c r="A200">
        <v>176</v>
      </c>
      <c r="B200" t="s">
        <v>2184</v>
      </c>
      <c r="D200">
        <v>800996</v>
      </c>
      <c r="E200" s="918">
        <f t="shared" si="28"/>
        <v>0</v>
      </c>
      <c r="F200" s="918">
        <f t="shared" si="29"/>
        <v>0</v>
      </c>
      <c r="G200" s="545">
        <f t="shared" si="30"/>
        <v>0</v>
      </c>
      <c r="H200" s="918">
        <f t="shared" si="31"/>
        <v>0</v>
      </c>
      <c r="I200" s="173"/>
      <c r="J200" t="str">
        <f t="shared" si="25"/>
        <v>Y</v>
      </c>
      <c r="K200" s="226">
        <f t="shared" si="26"/>
        <v>0</v>
      </c>
      <c r="L200">
        <f t="shared" si="27"/>
        <v>0</v>
      </c>
    </row>
    <row r="201" spans="1:12" ht="14.1" customHeight="1" x14ac:dyDescent="0.2">
      <c r="A201">
        <v>176</v>
      </c>
      <c r="B201" t="s">
        <v>2184</v>
      </c>
      <c r="D201">
        <v>801013</v>
      </c>
      <c r="E201" s="918">
        <f t="shared" si="28"/>
        <v>0</v>
      </c>
      <c r="F201" s="918">
        <f t="shared" si="29"/>
        <v>0</v>
      </c>
      <c r="G201" s="545">
        <f t="shared" si="30"/>
        <v>0</v>
      </c>
      <c r="H201" s="918">
        <f t="shared" si="31"/>
        <v>0</v>
      </c>
      <c r="I201" s="173"/>
      <c r="J201" t="str">
        <f t="shared" si="25"/>
        <v>Y</v>
      </c>
      <c r="K201" s="226">
        <f t="shared" si="26"/>
        <v>0</v>
      </c>
      <c r="L201">
        <f t="shared" si="27"/>
        <v>0</v>
      </c>
    </row>
    <row r="202" spans="1:12" ht="14.1" customHeight="1" x14ac:dyDescent="0.2">
      <c r="A202">
        <v>176</v>
      </c>
      <c r="B202" t="s">
        <v>2184</v>
      </c>
      <c r="D202">
        <v>835749</v>
      </c>
      <c r="E202" s="918">
        <f t="shared" si="28"/>
        <v>0</v>
      </c>
      <c r="F202" s="918">
        <f t="shared" si="29"/>
        <v>0</v>
      </c>
      <c r="G202" s="545">
        <f t="shared" si="30"/>
        <v>0</v>
      </c>
      <c r="H202" s="918">
        <f t="shared" si="31"/>
        <v>0</v>
      </c>
      <c r="I202" s="173"/>
      <c r="J202" t="str">
        <f t="shared" si="25"/>
        <v>Y</v>
      </c>
      <c r="K202" s="226">
        <f t="shared" si="26"/>
        <v>0</v>
      </c>
      <c r="L202">
        <f t="shared" si="27"/>
        <v>0</v>
      </c>
    </row>
    <row r="203" spans="1:12" ht="14.1" customHeight="1" x14ac:dyDescent="0.2">
      <c r="A203">
        <v>176</v>
      </c>
      <c r="B203" t="s">
        <v>2184</v>
      </c>
      <c r="D203">
        <v>835765</v>
      </c>
      <c r="E203" s="918">
        <f t="shared" si="28"/>
        <v>0</v>
      </c>
      <c r="F203" s="918">
        <f t="shared" si="29"/>
        <v>0</v>
      </c>
      <c r="G203" s="545">
        <f t="shared" si="30"/>
        <v>0</v>
      </c>
      <c r="H203" s="918">
        <f t="shared" si="31"/>
        <v>0</v>
      </c>
      <c r="I203" s="173"/>
      <c r="J203" t="str">
        <f>IF(ISNA(VLOOKUP(D203,InCNR,3,FALSE)),"--", "Y")</f>
        <v>Y</v>
      </c>
      <c r="K203" s="226">
        <f>IF(ISNA(VLOOKUP(D203,InCNR,3,FALSE)),0,VLOOKUP(D203,InCNR,3,FALSE))</f>
        <v>0</v>
      </c>
      <c r="L203">
        <f>+F203-K203</f>
        <v>0</v>
      </c>
    </row>
    <row r="204" spans="1:12" ht="14.1" customHeight="1" x14ac:dyDescent="0.2">
      <c r="A204">
        <v>506</v>
      </c>
      <c r="B204" t="s">
        <v>2186</v>
      </c>
      <c r="D204">
        <v>827984</v>
      </c>
      <c r="E204" s="918">
        <f t="shared" si="28"/>
        <v>0</v>
      </c>
      <c r="F204" s="918">
        <f t="shared" si="29"/>
        <v>0</v>
      </c>
      <c r="G204" s="545">
        <f t="shared" si="30"/>
        <v>0</v>
      </c>
      <c r="H204" s="918">
        <f t="shared" si="31"/>
        <v>25</v>
      </c>
      <c r="I204" s="173"/>
      <c r="J204" t="str">
        <f t="shared" si="25"/>
        <v>Y</v>
      </c>
      <c r="K204" s="226">
        <f t="shared" si="26"/>
        <v>0</v>
      </c>
      <c r="L204">
        <f t="shared" si="27"/>
        <v>0</v>
      </c>
    </row>
    <row r="205" spans="1:12" ht="14.1" customHeight="1" x14ac:dyDescent="0.2">
      <c r="A205">
        <v>511</v>
      </c>
      <c r="B205" t="s">
        <v>2187</v>
      </c>
      <c r="C205" t="s">
        <v>2078</v>
      </c>
      <c r="D205">
        <v>818727</v>
      </c>
      <c r="E205" s="918">
        <f t="shared" si="28"/>
        <v>0</v>
      </c>
      <c r="F205" s="918">
        <f t="shared" si="29"/>
        <v>0</v>
      </c>
      <c r="G205" s="545">
        <f t="shared" si="30"/>
        <v>0</v>
      </c>
      <c r="H205" s="918">
        <f t="shared" si="31"/>
        <v>0</v>
      </c>
      <c r="I205" s="173"/>
      <c r="J205" t="str">
        <f t="shared" si="25"/>
        <v>Y</v>
      </c>
      <c r="K205" s="226">
        <f t="shared" si="26"/>
        <v>0</v>
      </c>
      <c r="L205">
        <f t="shared" si="27"/>
        <v>0</v>
      </c>
    </row>
    <row r="206" spans="1:12" ht="14.1" customHeight="1" x14ac:dyDescent="0.2">
      <c r="A206">
        <v>516</v>
      </c>
      <c r="B206" t="s">
        <v>2188</v>
      </c>
      <c r="D206">
        <v>830983</v>
      </c>
      <c r="E206" s="918">
        <f t="shared" si="28"/>
        <v>0</v>
      </c>
      <c r="F206" s="918">
        <f t="shared" si="29"/>
        <v>0</v>
      </c>
      <c r="G206" s="545">
        <f t="shared" si="30"/>
        <v>0</v>
      </c>
      <c r="H206" s="918">
        <f t="shared" si="31"/>
        <v>0</v>
      </c>
      <c r="I206" s="173"/>
      <c r="J206" t="str">
        <f t="shared" si="25"/>
        <v>Y</v>
      </c>
      <c r="K206" s="226">
        <f t="shared" si="26"/>
        <v>0</v>
      </c>
      <c r="L206">
        <f t="shared" si="27"/>
        <v>0</v>
      </c>
    </row>
    <row r="207" spans="1:12" ht="14.1" customHeight="1" x14ac:dyDescent="0.2">
      <c r="A207">
        <v>516</v>
      </c>
      <c r="B207" t="s">
        <v>2188</v>
      </c>
      <c r="D207">
        <v>625848</v>
      </c>
      <c r="E207" s="918">
        <f t="shared" si="28"/>
        <v>0</v>
      </c>
      <c r="F207" s="918">
        <f t="shared" si="29"/>
        <v>0</v>
      </c>
      <c r="G207" s="545">
        <f t="shared" si="30"/>
        <v>0</v>
      </c>
      <c r="H207" s="918">
        <f t="shared" si="31"/>
        <v>0</v>
      </c>
      <c r="I207" s="173"/>
      <c r="J207" t="str">
        <f>IF(ISNA(VLOOKUP(D207,InCNR,3,FALSE)),"--", "Y")</f>
        <v>Y</v>
      </c>
      <c r="K207" s="226">
        <f>IF(ISNA(VLOOKUP(D207,InCNR,3,FALSE)),0,VLOOKUP(D207,InCNR,3,FALSE))</f>
        <v>0</v>
      </c>
      <c r="L207">
        <f>+F207-K207</f>
        <v>0</v>
      </c>
    </row>
    <row r="208" spans="1:12" ht="14.1" customHeight="1" x14ac:dyDescent="0.2">
      <c r="A208">
        <v>516</v>
      </c>
      <c r="B208" t="s">
        <v>2188</v>
      </c>
      <c r="D208">
        <v>630925</v>
      </c>
      <c r="E208" s="918">
        <f t="shared" si="28"/>
        <v>0</v>
      </c>
      <c r="F208" s="918">
        <f t="shared" si="29"/>
        <v>0</v>
      </c>
      <c r="G208" s="545">
        <f t="shared" si="30"/>
        <v>0</v>
      </c>
      <c r="H208" s="918">
        <f t="shared" si="31"/>
        <v>0</v>
      </c>
      <c r="I208" s="173"/>
      <c r="J208" t="str">
        <f t="shared" si="25"/>
        <v>Y</v>
      </c>
      <c r="K208" s="226">
        <f t="shared" si="26"/>
        <v>0</v>
      </c>
      <c r="L208">
        <f t="shared" si="27"/>
        <v>0</v>
      </c>
    </row>
    <row r="209" spans="1:12" ht="14.1" customHeight="1" x14ac:dyDescent="0.2">
      <c r="A209">
        <v>517</v>
      </c>
      <c r="B209" t="s">
        <v>2171</v>
      </c>
      <c r="D209">
        <v>804252</v>
      </c>
      <c r="E209" s="918">
        <f t="shared" si="28"/>
        <v>0</v>
      </c>
      <c r="F209" s="918">
        <f t="shared" si="29"/>
        <v>0</v>
      </c>
      <c r="G209" s="545">
        <f t="shared" si="30"/>
        <v>0</v>
      </c>
      <c r="H209" s="918">
        <f t="shared" si="31"/>
        <v>0</v>
      </c>
      <c r="I209" s="173"/>
      <c r="J209" t="str">
        <f t="shared" si="25"/>
        <v>Y</v>
      </c>
      <c r="K209" s="226">
        <f t="shared" si="26"/>
        <v>0</v>
      </c>
      <c r="L209">
        <f t="shared" si="27"/>
        <v>0</v>
      </c>
    </row>
    <row r="210" spans="1:12" ht="14.1" customHeight="1" x14ac:dyDescent="0.2">
      <c r="A210">
        <v>517</v>
      </c>
      <c r="B210" t="s">
        <v>2171</v>
      </c>
      <c r="D210">
        <v>804311</v>
      </c>
      <c r="E210" s="918">
        <f t="shared" si="28"/>
        <v>0</v>
      </c>
      <c r="F210" s="918">
        <f t="shared" si="29"/>
        <v>0</v>
      </c>
      <c r="G210" s="545">
        <f t="shared" si="30"/>
        <v>0</v>
      </c>
      <c r="H210" s="918">
        <f t="shared" si="31"/>
        <v>0</v>
      </c>
      <c r="I210" s="173"/>
      <c r="J210" t="str">
        <f t="shared" si="25"/>
        <v>Y</v>
      </c>
      <c r="K210" s="226">
        <f t="shared" si="26"/>
        <v>0</v>
      </c>
      <c r="L210">
        <f t="shared" si="27"/>
        <v>0</v>
      </c>
    </row>
    <row r="211" spans="1:12" ht="14.1" customHeight="1" x14ac:dyDescent="0.2">
      <c r="A211">
        <v>517</v>
      </c>
      <c r="B211" t="s">
        <v>2171</v>
      </c>
      <c r="D211">
        <v>804619</v>
      </c>
      <c r="E211" s="918">
        <f t="shared" si="28"/>
        <v>0</v>
      </c>
      <c r="F211" s="918">
        <f t="shared" si="29"/>
        <v>0</v>
      </c>
      <c r="G211" s="545">
        <f t="shared" si="30"/>
        <v>0</v>
      </c>
      <c r="H211" s="918">
        <f t="shared" si="31"/>
        <v>0</v>
      </c>
      <c r="I211" s="173"/>
      <c r="J211" t="str">
        <f t="shared" si="25"/>
        <v>Y</v>
      </c>
      <c r="K211" s="226">
        <f t="shared" si="26"/>
        <v>0</v>
      </c>
      <c r="L211">
        <f t="shared" si="27"/>
        <v>0</v>
      </c>
    </row>
    <row r="212" spans="1:12" ht="14.1" customHeight="1" x14ac:dyDescent="0.2">
      <c r="A212">
        <v>517</v>
      </c>
      <c r="B212" t="s">
        <v>2171</v>
      </c>
      <c r="D212">
        <v>804796</v>
      </c>
      <c r="E212" s="918">
        <f t="shared" si="28"/>
        <v>0</v>
      </c>
      <c r="F212" s="918">
        <f t="shared" si="29"/>
        <v>0</v>
      </c>
      <c r="G212" s="545">
        <f t="shared" si="30"/>
        <v>0</v>
      </c>
      <c r="H212" s="918">
        <f t="shared" si="31"/>
        <v>0</v>
      </c>
      <c r="I212" s="173"/>
      <c r="J212" t="str">
        <f t="shared" si="25"/>
        <v>Y</v>
      </c>
      <c r="K212" s="226">
        <f t="shared" si="26"/>
        <v>0</v>
      </c>
      <c r="L212">
        <f t="shared" si="27"/>
        <v>0</v>
      </c>
    </row>
    <row r="213" spans="1:12" ht="14.1" customHeight="1" x14ac:dyDescent="0.2">
      <c r="A213">
        <v>519</v>
      </c>
      <c r="B213" t="s">
        <v>2189</v>
      </c>
      <c r="D213">
        <v>806255</v>
      </c>
      <c r="E213" s="918">
        <f t="shared" si="28"/>
        <v>0</v>
      </c>
      <c r="F213" s="918">
        <f t="shared" si="29"/>
        <v>0</v>
      </c>
      <c r="G213" s="545">
        <f t="shared" si="30"/>
        <v>0</v>
      </c>
      <c r="H213" s="918">
        <f t="shared" si="31"/>
        <v>0</v>
      </c>
      <c r="I213" s="173"/>
      <c r="J213" t="str">
        <f t="shared" si="25"/>
        <v>Y</v>
      </c>
      <c r="K213" s="226">
        <f t="shared" si="26"/>
        <v>0</v>
      </c>
      <c r="L213">
        <f t="shared" si="27"/>
        <v>0</v>
      </c>
    </row>
    <row r="214" spans="1:12" ht="14.1" customHeight="1" x14ac:dyDescent="0.2">
      <c r="A214">
        <v>519</v>
      </c>
      <c r="B214" t="s">
        <v>2189</v>
      </c>
      <c r="D214">
        <v>830924</v>
      </c>
      <c r="E214" s="918">
        <f t="shared" si="28"/>
        <v>0</v>
      </c>
      <c r="F214" s="918">
        <f t="shared" si="29"/>
        <v>0</v>
      </c>
      <c r="G214" s="545">
        <f t="shared" si="30"/>
        <v>0</v>
      </c>
      <c r="H214" s="918">
        <f t="shared" si="31"/>
        <v>0</v>
      </c>
      <c r="I214" s="173"/>
      <c r="J214" t="str">
        <f t="shared" si="25"/>
        <v>Y</v>
      </c>
      <c r="K214" s="226">
        <f t="shared" si="26"/>
        <v>0</v>
      </c>
      <c r="L214">
        <f t="shared" si="27"/>
        <v>0</v>
      </c>
    </row>
    <row r="215" spans="1:12" ht="14.1" customHeight="1" x14ac:dyDescent="0.2">
      <c r="A215">
        <v>519</v>
      </c>
      <c r="B215" t="s">
        <v>2189</v>
      </c>
      <c r="D215">
        <v>831277</v>
      </c>
      <c r="E215" s="918">
        <f t="shared" si="28"/>
        <v>0</v>
      </c>
      <c r="F215" s="918">
        <f t="shared" si="29"/>
        <v>0</v>
      </c>
      <c r="G215" s="545">
        <f t="shared" si="30"/>
        <v>0</v>
      </c>
      <c r="H215" s="918">
        <f t="shared" si="31"/>
        <v>0</v>
      </c>
      <c r="I215" s="173"/>
      <c r="J215" t="str">
        <f t="shared" si="25"/>
        <v>Y</v>
      </c>
      <c r="K215" s="226">
        <f t="shared" si="26"/>
        <v>0</v>
      </c>
      <c r="L215">
        <f t="shared" si="27"/>
        <v>0</v>
      </c>
    </row>
    <row r="216" spans="1:12" ht="14.1" customHeight="1" x14ac:dyDescent="0.2">
      <c r="A216">
        <v>519</v>
      </c>
      <c r="B216" t="s">
        <v>2189</v>
      </c>
      <c r="D216">
        <v>833507</v>
      </c>
      <c r="E216" s="918">
        <f t="shared" si="28"/>
        <v>0</v>
      </c>
      <c r="F216" s="918">
        <f t="shared" si="29"/>
        <v>0</v>
      </c>
      <c r="G216" s="545">
        <f t="shared" si="30"/>
        <v>0</v>
      </c>
      <c r="H216" s="918">
        <f t="shared" si="31"/>
        <v>0</v>
      </c>
      <c r="I216" s="173"/>
      <c r="J216" t="str">
        <f t="shared" si="25"/>
        <v>Y</v>
      </c>
      <c r="K216" s="226">
        <f t="shared" si="26"/>
        <v>0</v>
      </c>
      <c r="L216">
        <f t="shared" si="27"/>
        <v>0</v>
      </c>
    </row>
    <row r="217" spans="1:12" ht="14.1" customHeight="1" x14ac:dyDescent="0.2">
      <c r="A217">
        <v>519</v>
      </c>
      <c r="B217" t="s">
        <v>2189</v>
      </c>
      <c r="D217">
        <v>833508</v>
      </c>
      <c r="E217" s="918">
        <f t="shared" si="28"/>
        <v>0</v>
      </c>
      <c r="F217" s="918">
        <f t="shared" si="29"/>
        <v>0</v>
      </c>
      <c r="G217" s="545">
        <f t="shared" si="30"/>
        <v>0</v>
      </c>
      <c r="H217" s="918">
        <f t="shared" si="31"/>
        <v>0</v>
      </c>
      <c r="I217" s="173"/>
      <c r="J217" t="str">
        <f t="shared" si="25"/>
        <v>Y</v>
      </c>
      <c r="K217" s="226">
        <f t="shared" si="26"/>
        <v>0</v>
      </c>
      <c r="L217">
        <f t="shared" si="27"/>
        <v>0</v>
      </c>
    </row>
    <row r="218" spans="1:12" ht="14.1" customHeight="1" x14ac:dyDescent="0.2">
      <c r="A218">
        <v>519</v>
      </c>
      <c r="B218" t="s">
        <v>2189</v>
      </c>
      <c r="D218">
        <v>833509</v>
      </c>
      <c r="E218" s="918">
        <f t="shared" si="28"/>
        <v>0</v>
      </c>
      <c r="F218" s="918">
        <f t="shared" si="29"/>
        <v>0</v>
      </c>
      <c r="G218" s="545">
        <f t="shared" si="30"/>
        <v>0</v>
      </c>
      <c r="H218" s="918">
        <f t="shared" si="31"/>
        <v>0</v>
      </c>
      <c r="I218" s="173"/>
      <c r="J218" t="str">
        <f t="shared" si="25"/>
        <v>Y</v>
      </c>
      <c r="K218" s="226">
        <f t="shared" si="26"/>
        <v>0</v>
      </c>
      <c r="L218">
        <f t="shared" si="27"/>
        <v>0</v>
      </c>
    </row>
    <row r="219" spans="1:12" ht="14.1" customHeight="1" x14ac:dyDescent="0.2">
      <c r="A219">
        <v>519</v>
      </c>
      <c r="B219" t="s">
        <v>2189</v>
      </c>
      <c r="D219">
        <v>834373</v>
      </c>
      <c r="E219" s="918">
        <f t="shared" si="28"/>
        <v>0</v>
      </c>
      <c r="F219" s="918">
        <f t="shared" si="29"/>
        <v>0</v>
      </c>
      <c r="G219" s="545">
        <f t="shared" si="30"/>
        <v>0</v>
      </c>
      <c r="H219" s="918">
        <f t="shared" si="31"/>
        <v>0</v>
      </c>
      <c r="I219" s="173"/>
      <c r="J219" t="str">
        <f t="shared" si="25"/>
        <v>Y</v>
      </c>
      <c r="K219" s="226">
        <f t="shared" si="26"/>
        <v>0</v>
      </c>
      <c r="L219">
        <f t="shared" si="27"/>
        <v>0</v>
      </c>
    </row>
    <row r="220" spans="1:12" ht="14.1" customHeight="1" x14ac:dyDescent="0.2">
      <c r="A220">
        <v>523</v>
      </c>
      <c r="B220" t="s">
        <v>2177</v>
      </c>
      <c r="D220">
        <v>826176</v>
      </c>
      <c r="E220" s="918">
        <f t="shared" si="28"/>
        <v>0</v>
      </c>
      <c r="F220" s="918">
        <f t="shared" si="29"/>
        <v>59</v>
      </c>
      <c r="G220" s="545">
        <f t="shared" si="30"/>
        <v>0</v>
      </c>
      <c r="H220" s="918">
        <f t="shared" si="31"/>
        <v>25</v>
      </c>
      <c r="I220" s="173"/>
      <c r="J220" t="str">
        <f t="shared" si="25"/>
        <v>Y</v>
      </c>
      <c r="K220" s="226">
        <f t="shared" si="26"/>
        <v>59</v>
      </c>
      <c r="L220">
        <f t="shared" si="27"/>
        <v>0</v>
      </c>
    </row>
    <row r="221" spans="1:12" ht="14.1" customHeight="1" x14ac:dyDescent="0.2">
      <c r="A221">
        <v>523</v>
      </c>
      <c r="B221" t="s">
        <v>2177</v>
      </c>
      <c r="D221">
        <v>833349</v>
      </c>
      <c r="E221" s="918">
        <f t="shared" si="28"/>
        <v>0</v>
      </c>
      <c r="F221" s="918">
        <f t="shared" si="29"/>
        <v>0</v>
      </c>
      <c r="G221" s="545">
        <f t="shared" si="30"/>
        <v>0</v>
      </c>
      <c r="H221" s="918">
        <f t="shared" si="31"/>
        <v>0</v>
      </c>
      <c r="I221" s="173"/>
      <c r="J221" t="str">
        <f t="shared" si="25"/>
        <v>--</v>
      </c>
      <c r="K221" s="226">
        <f t="shared" si="26"/>
        <v>0</v>
      </c>
      <c r="L221">
        <f t="shared" si="27"/>
        <v>0</v>
      </c>
    </row>
    <row r="222" spans="1:12" ht="14.1" customHeight="1" x14ac:dyDescent="0.2">
      <c r="A222">
        <v>529</v>
      </c>
      <c r="B222" t="s">
        <v>2190</v>
      </c>
      <c r="D222">
        <v>824196</v>
      </c>
      <c r="E222" s="918">
        <f t="shared" si="28"/>
        <v>0</v>
      </c>
      <c r="F222" s="918">
        <f t="shared" si="29"/>
        <v>0</v>
      </c>
      <c r="G222" s="545">
        <f t="shared" si="30"/>
        <v>0</v>
      </c>
      <c r="H222" s="918">
        <f t="shared" si="31"/>
        <v>0</v>
      </c>
      <c r="I222" s="173"/>
      <c r="J222" t="str">
        <f t="shared" si="25"/>
        <v>Y</v>
      </c>
      <c r="K222" s="226">
        <f t="shared" si="26"/>
        <v>0</v>
      </c>
      <c r="L222">
        <f t="shared" si="27"/>
        <v>0</v>
      </c>
    </row>
    <row r="223" spans="1:12" ht="14.1" customHeight="1" x14ac:dyDescent="0.2">
      <c r="A223">
        <v>539</v>
      </c>
      <c r="B223" t="s">
        <v>2191</v>
      </c>
      <c r="D223">
        <v>800012</v>
      </c>
      <c r="E223" s="918">
        <f t="shared" si="28"/>
        <v>0</v>
      </c>
      <c r="F223" s="918">
        <f t="shared" si="29"/>
        <v>0</v>
      </c>
      <c r="G223" s="545">
        <f t="shared" si="30"/>
        <v>0</v>
      </c>
      <c r="H223" s="918">
        <f t="shared" si="31"/>
        <v>0</v>
      </c>
      <c r="I223" s="173"/>
      <c r="J223" t="str">
        <f t="shared" si="25"/>
        <v>Y</v>
      </c>
      <c r="K223" s="226">
        <f t="shared" si="26"/>
        <v>0</v>
      </c>
      <c r="L223">
        <f t="shared" si="27"/>
        <v>0</v>
      </c>
    </row>
    <row r="224" spans="1:12" ht="14.1" customHeight="1" x14ac:dyDescent="0.2">
      <c r="A224">
        <v>539</v>
      </c>
      <c r="B224" t="s">
        <v>2191</v>
      </c>
      <c r="D224">
        <v>801349</v>
      </c>
      <c r="E224" s="918">
        <f t="shared" si="28"/>
        <v>0</v>
      </c>
      <c r="F224" s="918">
        <f t="shared" si="29"/>
        <v>0</v>
      </c>
      <c r="G224" s="545">
        <f t="shared" si="30"/>
        <v>0</v>
      </c>
      <c r="H224" s="918">
        <f t="shared" si="31"/>
        <v>0</v>
      </c>
      <c r="I224" s="173"/>
      <c r="J224" t="str">
        <f t="shared" si="25"/>
        <v>Y</v>
      </c>
      <c r="K224" s="226">
        <f t="shared" si="26"/>
        <v>0</v>
      </c>
      <c r="L224">
        <f t="shared" si="27"/>
        <v>0</v>
      </c>
    </row>
    <row r="225" spans="1:12" ht="14.1" customHeight="1" x14ac:dyDescent="0.2">
      <c r="A225">
        <v>539</v>
      </c>
      <c r="B225" t="s">
        <v>2191</v>
      </c>
      <c r="D225">
        <v>801655</v>
      </c>
      <c r="E225" s="918">
        <f t="shared" si="28"/>
        <v>0</v>
      </c>
      <c r="F225" s="918">
        <f t="shared" si="29"/>
        <v>0</v>
      </c>
      <c r="G225" s="545">
        <f t="shared" si="30"/>
        <v>0</v>
      </c>
      <c r="H225" s="918">
        <f t="shared" si="31"/>
        <v>0</v>
      </c>
      <c r="I225" s="173"/>
      <c r="J225" t="str">
        <f t="shared" si="25"/>
        <v>Y</v>
      </c>
      <c r="K225" s="226">
        <f t="shared" si="26"/>
        <v>0</v>
      </c>
      <c r="L225">
        <f t="shared" si="27"/>
        <v>0</v>
      </c>
    </row>
    <row r="226" spans="1:12" ht="14.1" customHeight="1" x14ac:dyDescent="0.2">
      <c r="A226">
        <v>539</v>
      </c>
      <c r="B226" t="s">
        <v>2191</v>
      </c>
      <c r="D226">
        <v>802867</v>
      </c>
      <c r="E226" s="918">
        <f t="shared" si="28"/>
        <v>0</v>
      </c>
      <c r="F226" s="918">
        <f t="shared" si="29"/>
        <v>0</v>
      </c>
      <c r="G226" s="545">
        <f t="shared" si="30"/>
        <v>0</v>
      </c>
      <c r="H226" s="918">
        <f t="shared" si="31"/>
        <v>0</v>
      </c>
      <c r="I226" s="173"/>
      <c r="J226" t="str">
        <f t="shared" si="25"/>
        <v>Y</v>
      </c>
      <c r="K226" s="226">
        <f t="shared" si="26"/>
        <v>0</v>
      </c>
      <c r="L226">
        <f t="shared" si="27"/>
        <v>0</v>
      </c>
    </row>
    <row r="227" spans="1:12" ht="14.1" customHeight="1" x14ac:dyDescent="0.2">
      <c r="A227">
        <v>539</v>
      </c>
      <c r="B227" t="s">
        <v>2191</v>
      </c>
      <c r="D227">
        <v>808289</v>
      </c>
      <c r="E227" s="918">
        <f t="shared" si="28"/>
        <v>0</v>
      </c>
      <c r="F227" s="918">
        <f t="shared" si="29"/>
        <v>0</v>
      </c>
      <c r="G227" s="545">
        <f t="shared" si="30"/>
        <v>0</v>
      </c>
      <c r="H227" s="918">
        <f t="shared" si="31"/>
        <v>0</v>
      </c>
      <c r="I227" s="173"/>
      <c r="J227" t="str">
        <f t="shared" si="25"/>
        <v>Y</v>
      </c>
      <c r="K227" s="226">
        <f t="shared" si="26"/>
        <v>0</v>
      </c>
      <c r="L227">
        <f t="shared" si="27"/>
        <v>0</v>
      </c>
    </row>
    <row r="228" spans="1:12" ht="14.1" customHeight="1" x14ac:dyDescent="0.2">
      <c r="A228">
        <v>539</v>
      </c>
      <c r="B228" t="s">
        <v>2191</v>
      </c>
      <c r="D228">
        <v>827084</v>
      </c>
      <c r="E228" s="918">
        <f t="shared" si="28"/>
        <v>0</v>
      </c>
      <c r="F228" s="918">
        <f t="shared" si="29"/>
        <v>0</v>
      </c>
      <c r="G228" s="545">
        <f t="shared" si="30"/>
        <v>0</v>
      </c>
      <c r="H228" s="918">
        <f t="shared" si="31"/>
        <v>0</v>
      </c>
      <c r="I228" s="173"/>
      <c r="J228" t="str">
        <f t="shared" si="25"/>
        <v>Y</v>
      </c>
      <c r="K228" s="226">
        <f t="shared" si="26"/>
        <v>0</v>
      </c>
      <c r="L228">
        <f t="shared" si="27"/>
        <v>0</v>
      </c>
    </row>
    <row r="229" spans="1:12" ht="14.1" customHeight="1" x14ac:dyDescent="0.2">
      <c r="A229">
        <v>539</v>
      </c>
      <c r="B229" t="s">
        <v>2191</v>
      </c>
      <c r="D229">
        <v>836853</v>
      </c>
      <c r="E229" s="918">
        <f t="shared" si="28"/>
        <v>0</v>
      </c>
      <c r="F229" s="918">
        <f t="shared" si="29"/>
        <v>0</v>
      </c>
      <c r="G229" s="545">
        <f t="shared" si="30"/>
        <v>0</v>
      </c>
      <c r="H229" s="918">
        <f t="shared" si="31"/>
        <v>0</v>
      </c>
      <c r="I229" s="173"/>
      <c r="J229" t="str">
        <f t="shared" si="25"/>
        <v>Y</v>
      </c>
      <c r="K229" s="226">
        <f t="shared" si="26"/>
        <v>0</v>
      </c>
      <c r="L229">
        <f t="shared" si="27"/>
        <v>0</v>
      </c>
    </row>
    <row r="230" spans="1:12" ht="14.1" customHeight="1" x14ac:dyDescent="0.2">
      <c r="A230">
        <v>552</v>
      </c>
      <c r="B230" t="s">
        <v>2192</v>
      </c>
      <c r="D230">
        <v>800289</v>
      </c>
      <c r="E230" s="918">
        <f t="shared" si="28"/>
        <v>0</v>
      </c>
      <c r="F230" s="918">
        <f t="shared" si="29"/>
        <v>83</v>
      </c>
      <c r="G230" s="545">
        <f t="shared" si="30"/>
        <v>0</v>
      </c>
      <c r="H230" s="918">
        <f t="shared" si="31"/>
        <v>25</v>
      </c>
      <c r="I230" s="173"/>
      <c r="J230" t="str">
        <f t="shared" si="25"/>
        <v>Y</v>
      </c>
      <c r="K230" s="226">
        <f t="shared" si="26"/>
        <v>83</v>
      </c>
      <c r="L230">
        <f t="shared" si="27"/>
        <v>0</v>
      </c>
    </row>
    <row r="231" spans="1:12" ht="14.1" customHeight="1" x14ac:dyDescent="0.2">
      <c r="A231">
        <v>552</v>
      </c>
      <c r="B231" t="s">
        <v>2192</v>
      </c>
      <c r="D231">
        <v>833596</v>
      </c>
      <c r="E231" s="918">
        <f t="shared" si="28"/>
        <v>0</v>
      </c>
      <c r="F231" s="918">
        <f t="shared" si="29"/>
        <v>469</v>
      </c>
      <c r="G231" s="545">
        <f t="shared" si="30"/>
        <v>0</v>
      </c>
      <c r="H231" s="918">
        <f t="shared" si="31"/>
        <v>25</v>
      </c>
      <c r="I231" s="173"/>
      <c r="J231" t="str">
        <f t="shared" si="25"/>
        <v>Y</v>
      </c>
      <c r="K231" s="226">
        <f t="shared" si="26"/>
        <v>469</v>
      </c>
      <c r="L231">
        <f t="shared" si="27"/>
        <v>0</v>
      </c>
    </row>
    <row r="232" spans="1:12" ht="14.1" customHeight="1" x14ac:dyDescent="0.2">
      <c r="A232">
        <v>552</v>
      </c>
      <c r="B232" t="s">
        <v>2192</v>
      </c>
      <c r="D232">
        <v>833848</v>
      </c>
      <c r="E232" s="918">
        <f t="shared" si="28"/>
        <v>0</v>
      </c>
      <c r="F232" s="918">
        <f t="shared" si="29"/>
        <v>780</v>
      </c>
      <c r="G232" s="545">
        <f t="shared" si="30"/>
        <v>0</v>
      </c>
      <c r="H232" s="918">
        <f t="shared" si="31"/>
        <v>25</v>
      </c>
      <c r="I232" s="173"/>
      <c r="J232" t="str">
        <f t="shared" si="25"/>
        <v>Y</v>
      </c>
      <c r="K232" s="226">
        <f t="shared" si="26"/>
        <v>780</v>
      </c>
      <c r="L232">
        <f t="shared" si="27"/>
        <v>0</v>
      </c>
    </row>
    <row r="233" spans="1:12" ht="14.1" customHeight="1" x14ac:dyDescent="0.2">
      <c r="A233">
        <v>579</v>
      </c>
      <c r="B233" t="s">
        <v>2193</v>
      </c>
      <c r="D233">
        <v>619045</v>
      </c>
      <c r="E233" s="918">
        <f t="shared" si="28"/>
        <v>0</v>
      </c>
      <c r="F233" s="918">
        <f t="shared" si="29"/>
        <v>0</v>
      </c>
      <c r="G233" s="545">
        <f t="shared" si="30"/>
        <v>0</v>
      </c>
      <c r="H233" s="918">
        <f t="shared" si="31"/>
        <v>0</v>
      </c>
      <c r="I233" s="173"/>
      <c r="J233" t="str">
        <f t="shared" si="25"/>
        <v>Y</v>
      </c>
      <c r="K233" s="226">
        <f t="shared" si="26"/>
        <v>0</v>
      </c>
      <c r="L233">
        <f t="shared" si="27"/>
        <v>0</v>
      </c>
    </row>
    <row r="234" spans="1:12" ht="14.1" customHeight="1" x14ac:dyDescent="0.2">
      <c r="A234">
        <v>593</v>
      </c>
      <c r="B234" t="s">
        <v>2194</v>
      </c>
      <c r="D234">
        <v>800035</v>
      </c>
      <c r="E234" s="918">
        <f t="shared" si="28"/>
        <v>0</v>
      </c>
      <c r="F234" s="918">
        <f t="shared" si="29"/>
        <v>0</v>
      </c>
      <c r="G234" s="545">
        <f t="shared" si="30"/>
        <v>0</v>
      </c>
      <c r="H234" s="918">
        <f t="shared" si="31"/>
        <v>0</v>
      </c>
      <c r="I234" s="173"/>
      <c r="J234" t="str">
        <f t="shared" si="25"/>
        <v>Y</v>
      </c>
      <c r="K234" s="226">
        <f t="shared" si="26"/>
        <v>0</v>
      </c>
      <c r="L234">
        <f t="shared" si="27"/>
        <v>0</v>
      </c>
    </row>
    <row r="235" spans="1:12" ht="14.1" customHeight="1" x14ac:dyDescent="0.2">
      <c r="A235">
        <v>593</v>
      </c>
      <c r="B235" t="s">
        <v>2194</v>
      </c>
      <c r="D235">
        <v>800096</v>
      </c>
      <c r="E235" s="918">
        <f t="shared" si="28"/>
        <v>0</v>
      </c>
      <c r="F235" s="918">
        <f t="shared" si="29"/>
        <v>0</v>
      </c>
      <c r="G235" s="545">
        <f t="shared" si="30"/>
        <v>0</v>
      </c>
      <c r="H235" s="918">
        <f t="shared" si="31"/>
        <v>0</v>
      </c>
      <c r="I235" s="173"/>
      <c r="J235" t="str">
        <f t="shared" si="25"/>
        <v>Y</v>
      </c>
      <c r="K235" s="226">
        <f t="shared" si="26"/>
        <v>0</v>
      </c>
      <c r="L235">
        <f t="shared" si="27"/>
        <v>0</v>
      </c>
    </row>
    <row r="236" spans="1:12" ht="14.1" customHeight="1" x14ac:dyDescent="0.2">
      <c r="A236">
        <v>593</v>
      </c>
      <c r="B236" t="s">
        <v>2194</v>
      </c>
      <c r="D236">
        <v>800136</v>
      </c>
      <c r="E236" s="918">
        <f t="shared" si="28"/>
        <v>0</v>
      </c>
      <c r="F236" s="918">
        <f t="shared" si="29"/>
        <v>0</v>
      </c>
      <c r="G236" s="545">
        <f t="shared" si="30"/>
        <v>0</v>
      </c>
      <c r="H236" s="918">
        <f t="shared" si="31"/>
        <v>0</v>
      </c>
      <c r="I236" s="173"/>
      <c r="J236" t="str">
        <f t="shared" si="25"/>
        <v>Y</v>
      </c>
      <c r="K236" s="226">
        <f t="shared" si="26"/>
        <v>0</v>
      </c>
      <c r="L236">
        <f t="shared" si="27"/>
        <v>0</v>
      </c>
    </row>
    <row r="237" spans="1:12" ht="14.1" customHeight="1" x14ac:dyDescent="0.2">
      <c r="A237">
        <v>601</v>
      </c>
      <c r="B237" t="s">
        <v>2195</v>
      </c>
      <c r="D237">
        <v>825004</v>
      </c>
      <c r="E237" s="918">
        <f t="shared" si="28"/>
        <v>0</v>
      </c>
      <c r="F237" s="918">
        <f t="shared" si="29"/>
        <v>0</v>
      </c>
      <c r="G237" s="545">
        <f t="shared" si="30"/>
        <v>0</v>
      </c>
      <c r="H237" s="918">
        <f t="shared" si="31"/>
        <v>0</v>
      </c>
      <c r="I237" s="173"/>
      <c r="J237" t="str">
        <f t="shared" si="25"/>
        <v>Y</v>
      </c>
      <c r="K237" s="226">
        <f t="shared" si="26"/>
        <v>0</v>
      </c>
      <c r="L237">
        <f t="shared" si="27"/>
        <v>0</v>
      </c>
    </row>
    <row r="238" spans="1:12" ht="14.1" customHeight="1" x14ac:dyDescent="0.2">
      <c r="A238">
        <v>607</v>
      </c>
      <c r="B238" t="s">
        <v>2170</v>
      </c>
      <c r="D238">
        <v>804186</v>
      </c>
      <c r="E238" s="918">
        <f t="shared" si="28"/>
        <v>0</v>
      </c>
      <c r="F238" s="918">
        <f t="shared" si="29"/>
        <v>0</v>
      </c>
      <c r="G238" s="545">
        <f t="shared" si="30"/>
        <v>0</v>
      </c>
      <c r="H238" s="918">
        <f t="shared" si="31"/>
        <v>0</v>
      </c>
      <c r="I238" s="173"/>
      <c r="J238" t="str">
        <f t="shared" si="25"/>
        <v>Y</v>
      </c>
      <c r="K238" s="226">
        <f t="shared" si="26"/>
        <v>0</v>
      </c>
      <c r="L238">
        <f t="shared" si="27"/>
        <v>0</v>
      </c>
    </row>
    <row r="239" spans="1:12" ht="14.1" customHeight="1" x14ac:dyDescent="0.2">
      <c r="A239">
        <v>607</v>
      </c>
      <c r="B239" t="s">
        <v>2170</v>
      </c>
      <c r="D239">
        <v>833825</v>
      </c>
      <c r="E239" s="918">
        <f t="shared" si="28"/>
        <v>0</v>
      </c>
      <c r="F239" s="918">
        <f t="shared" si="29"/>
        <v>0</v>
      </c>
      <c r="G239" s="545">
        <f t="shared" si="30"/>
        <v>0</v>
      </c>
      <c r="H239" s="918">
        <f t="shared" si="31"/>
        <v>0</v>
      </c>
      <c r="I239" s="173"/>
      <c r="J239" t="str">
        <f t="shared" si="25"/>
        <v>Y</v>
      </c>
      <c r="K239" s="226">
        <f t="shared" si="26"/>
        <v>0</v>
      </c>
      <c r="L239">
        <f t="shared" si="27"/>
        <v>0</v>
      </c>
    </row>
    <row r="240" spans="1:12" ht="14.1" customHeight="1" x14ac:dyDescent="0.2">
      <c r="A240">
        <v>609</v>
      </c>
      <c r="B240" t="s">
        <v>2196</v>
      </c>
      <c r="C240" t="s">
        <v>2079</v>
      </c>
      <c r="D240">
        <v>804174</v>
      </c>
      <c r="E240" s="918">
        <f t="shared" si="28"/>
        <v>0</v>
      </c>
      <c r="F240" s="918">
        <f t="shared" si="29"/>
        <v>0</v>
      </c>
      <c r="G240" s="545">
        <f t="shared" si="30"/>
        <v>0</v>
      </c>
      <c r="H240" s="918">
        <f t="shared" si="31"/>
        <v>0</v>
      </c>
      <c r="I240" s="173"/>
      <c r="J240" t="str">
        <f t="shared" si="25"/>
        <v>Y</v>
      </c>
      <c r="K240" s="226">
        <f t="shared" si="26"/>
        <v>0</v>
      </c>
      <c r="L240">
        <f t="shared" si="27"/>
        <v>0</v>
      </c>
    </row>
    <row r="241" spans="1:12" ht="14.1" customHeight="1" x14ac:dyDescent="0.2">
      <c r="A241">
        <v>609</v>
      </c>
      <c r="B241" t="s">
        <v>2196</v>
      </c>
      <c r="C241" t="s">
        <v>2079</v>
      </c>
      <c r="D241">
        <v>804660</v>
      </c>
      <c r="E241" s="918">
        <f t="shared" si="28"/>
        <v>0</v>
      </c>
      <c r="F241" s="918">
        <f t="shared" si="29"/>
        <v>0</v>
      </c>
      <c r="G241" s="545">
        <f t="shared" si="30"/>
        <v>0</v>
      </c>
      <c r="H241" s="918">
        <f t="shared" si="31"/>
        <v>0</v>
      </c>
      <c r="I241" s="173"/>
      <c r="J241" t="str">
        <f t="shared" si="25"/>
        <v>Y</v>
      </c>
      <c r="K241" s="226">
        <f t="shared" si="26"/>
        <v>0</v>
      </c>
      <c r="L241">
        <f t="shared" si="27"/>
        <v>0</v>
      </c>
    </row>
    <row r="242" spans="1:12" ht="14.1" customHeight="1" x14ac:dyDescent="0.2">
      <c r="A242">
        <v>612</v>
      </c>
      <c r="B242" t="s">
        <v>2197</v>
      </c>
      <c r="C242" t="s">
        <v>2080</v>
      </c>
      <c r="D242">
        <v>800134</v>
      </c>
      <c r="E242" s="918">
        <f t="shared" si="28"/>
        <v>0</v>
      </c>
      <c r="F242" s="918">
        <f t="shared" si="29"/>
        <v>57</v>
      </c>
      <c r="G242" s="545">
        <f t="shared" si="30"/>
        <v>0</v>
      </c>
      <c r="H242" s="918">
        <f t="shared" si="31"/>
        <v>12.5</v>
      </c>
      <c r="I242" s="173"/>
      <c r="J242" t="str">
        <f t="shared" si="25"/>
        <v>Y</v>
      </c>
      <c r="K242" s="226">
        <f t="shared" si="26"/>
        <v>57</v>
      </c>
      <c r="L242">
        <f t="shared" si="27"/>
        <v>0</v>
      </c>
    </row>
    <row r="243" spans="1:12" ht="14.1" customHeight="1" x14ac:dyDescent="0.2">
      <c r="A243">
        <v>612</v>
      </c>
      <c r="B243" t="s">
        <v>2197</v>
      </c>
      <c r="C243" t="s">
        <v>2080</v>
      </c>
      <c r="D243">
        <v>800176</v>
      </c>
      <c r="E243" s="918">
        <f t="shared" si="28"/>
        <v>0</v>
      </c>
      <c r="F243" s="918">
        <f t="shared" si="29"/>
        <v>477</v>
      </c>
      <c r="G243" s="545">
        <f t="shared" si="30"/>
        <v>0</v>
      </c>
      <c r="H243" s="918">
        <f t="shared" si="31"/>
        <v>12.5</v>
      </c>
      <c r="I243" s="173"/>
      <c r="J243" t="str">
        <f t="shared" si="25"/>
        <v>Y</v>
      </c>
      <c r="K243" s="226">
        <f t="shared" si="26"/>
        <v>477</v>
      </c>
      <c r="L243">
        <f t="shared" si="27"/>
        <v>0</v>
      </c>
    </row>
    <row r="244" spans="1:12" ht="14.1" customHeight="1" x14ac:dyDescent="0.2">
      <c r="A244">
        <v>618</v>
      </c>
      <c r="B244" t="s">
        <v>2198</v>
      </c>
      <c r="D244">
        <v>834862</v>
      </c>
      <c r="E244" s="918">
        <f t="shared" si="28"/>
        <v>0</v>
      </c>
      <c r="F244" s="918">
        <f t="shared" si="29"/>
        <v>0</v>
      </c>
      <c r="G244" s="545">
        <f t="shared" si="30"/>
        <v>0</v>
      </c>
      <c r="H244" s="918">
        <f t="shared" si="31"/>
        <v>25</v>
      </c>
      <c r="I244" s="173"/>
      <c r="J244" t="str">
        <f t="shared" si="25"/>
        <v>Y</v>
      </c>
      <c r="K244" s="226">
        <f t="shared" si="26"/>
        <v>0</v>
      </c>
      <c r="L244">
        <f t="shared" si="27"/>
        <v>0</v>
      </c>
    </row>
    <row r="245" spans="1:12" ht="14.1" customHeight="1" x14ac:dyDescent="0.2">
      <c r="A245">
        <v>999</v>
      </c>
      <c r="B245" t="s">
        <v>216</v>
      </c>
      <c r="D245">
        <v>804555</v>
      </c>
      <c r="E245" s="918">
        <f t="shared" si="28"/>
        <v>0</v>
      </c>
      <c r="F245" s="918">
        <f t="shared" si="29"/>
        <v>0</v>
      </c>
      <c r="G245" s="545">
        <f t="shared" si="30"/>
        <v>0</v>
      </c>
      <c r="H245" s="918">
        <f t="shared" si="31"/>
        <v>0</v>
      </c>
      <c r="I245" s="173"/>
      <c r="J245" t="str">
        <f>IF(ISNA(VLOOKUP(D245,InCNR,3,FALSE)),"--", "Y")</f>
        <v>Y</v>
      </c>
      <c r="K245" s="226">
        <f>IF(ISNA(VLOOKUP(D245,InCNR,3,FALSE)),0,VLOOKUP(D245,InCNR,3,FALSE))</f>
        <v>0</v>
      </c>
      <c r="L245">
        <f>+F245-K245</f>
        <v>0</v>
      </c>
    </row>
    <row r="246" spans="1:12" ht="14.1" customHeight="1" x14ac:dyDescent="0.2">
      <c r="A246">
        <v>999</v>
      </c>
      <c r="B246" t="s">
        <v>216</v>
      </c>
      <c r="D246">
        <v>804679</v>
      </c>
      <c r="E246" s="918">
        <f t="shared" si="28"/>
        <v>0</v>
      </c>
      <c r="F246" s="918">
        <f t="shared" si="29"/>
        <v>0</v>
      </c>
      <c r="G246" s="545">
        <f t="shared" si="30"/>
        <v>0</v>
      </c>
      <c r="H246" s="918">
        <f t="shared" si="31"/>
        <v>0</v>
      </c>
      <c r="I246" s="173"/>
      <c r="J246" t="str">
        <f>IF(ISNA(VLOOKUP(D246,InCNR,3,FALSE)),"--", "Y")</f>
        <v>Y</v>
      </c>
      <c r="K246" s="226">
        <f>IF(ISNA(VLOOKUP(D246,InCNR,3,FALSE)),0,VLOOKUP(D246,InCNR,3,FALSE))</f>
        <v>0</v>
      </c>
      <c r="L246">
        <f>+F246-K246</f>
        <v>0</v>
      </c>
    </row>
    <row r="247" spans="1:12" ht="14.1" customHeight="1" x14ac:dyDescent="0.2">
      <c r="A247" s="894">
        <v>83</v>
      </c>
      <c r="B247" s="894" t="s">
        <v>1898</v>
      </c>
      <c r="C247" s="894" t="s">
        <v>1899</v>
      </c>
      <c r="D247" s="894">
        <v>804452</v>
      </c>
      <c r="E247" s="918">
        <f t="shared" si="28"/>
        <v>0</v>
      </c>
      <c r="F247" s="918">
        <f t="shared" si="29"/>
        <v>175</v>
      </c>
      <c r="G247" s="545">
        <f t="shared" si="30"/>
        <v>0</v>
      </c>
      <c r="H247" s="918">
        <f t="shared" si="31"/>
        <v>25</v>
      </c>
      <c r="I247" s="895"/>
      <c r="J247" s="894" t="str">
        <f>IF(ISNA(VLOOKUP(D247,InCNR,3,FALSE)),"--", "Y")</f>
        <v>Y</v>
      </c>
      <c r="K247" s="896">
        <f>IF(ISNA(VLOOKUP(D247,InCNR,3,FALSE)),0,VLOOKUP(D247,InCNR,3,FALSE))</f>
        <v>175</v>
      </c>
      <c r="L247" s="894">
        <f>+F247-K247</f>
        <v>0</v>
      </c>
    </row>
    <row r="248" spans="1:12" ht="14.1" customHeight="1" x14ac:dyDescent="0.2">
      <c r="A248" s="894">
        <v>146</v>
      </c>
      <c r="B248" s="894" t="s">
        <v>552</v>
      </c>
      <c r="C248" s="894" t="s">
        <v>1899</v>
      </c>
      <c r="D248" s="894">
        <v>834673</v>
      </c>
      <c r="E248" s="918">
        <f t="shared" si="28"/>
        <v>0</v>
      </c>
      <c r="F248" s="918">
        <f t="shared" si="29"/>
        <v>0</v>
      </c>
      <c r="G248" s="545">
        <f t="shared" si="30"/>
        <v>0</v>
      </c>
      <c r="H248" s="918">
        <f t="shared" si="31"/>
        <v>0</v>
      </c>
      <c r="I248" s="895"/>
      <c r="J248" s="894" t="str">
        <f>IF(ISNA(VLOOKUP(D248,InCNR,3,FALSE)),"--", "Y")</f>
        <v>Y</v>
      </c>
      <c r="K248" s="896">
        <f>IF(ISNA(VLOOKUP(D248,InCNR,3,FALSE)),0,VLOOKUP(D248,InCNR,3,FALSE))</f>
        <v>0</v>
      </c>
      <c r="L248" s="894">
        <f>+F248-K248</f>
        <v>0</v>
      </c>
    </row>
    <row r="250" spans="1:12" x14ac:dyDescent="0.2">
      <c r="E250">
        <f>SUM(E3:E249)</f>
        <v>0</v>
      </c>
      <c r="F250" s="145">
        <f>SUM(F3:F249)</f>
        <v>11827</v>
      </c>
      <c r="G250" s="546">
        <f>SUM(G3:G249)</f>
        <v>0</v>
      </c>
      <c r="K250">
        <f>SUM(K3:K249)</f>
        <v>11827</v>
      </c>
      <c r="L250">
        <f>SUM(L3:L249)</f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28</vt:i4>
      </vt:variant>
    </vt:vector>
  </HeadingPairs>
  <TitlesOfParts>
    <vt:vector size="45" baseType="lpstr">
      <vt:lpstr>Pool Invoices</vt:lpstr>
      <vt:lpstr>CGASVol</vt:lpstr>
      <vt:lpstr>CGAS0001</vt:lpstr>
      <vt:lpstr>cgas</vt:lpstr>
      <vt:lpstr>GathVol</vt:lpstr>
      <vt:lpstr>Gatherco0001</vt:lpstr>
      <vt:lpstr>gatherco</vt:lpstr>
      <vt:lpstr>CNRVol</vt:lpstr>
      <vt:lpstr>CNR0001</vt:lpstr>
      <vt:lpstr>cnr</vt:lpstr>
      <vt:lpstr>Special Pricing</vt:lpstr>
      <vt:lpstr>CNGx</vt:lpstr>
      <vt:lpstr>CNGData</vt:lpstr>
      <vt:lpstr>CNG</vt:lpstr>
      <vt:lpstr>CNGPricing</vt:lpstr>
      <vt:lpstr>EQTR-Other</vt:lpstr>
      <vt:lpstr>Brewer</vt:lpstr>
      <vt:lpstr>cgas9910</vt:lpstr>
      <vt:lpstr>cgasx</vt:lpstr>
      <vt:lpstr>cngdata</vt:lpstr>
      <vt:lpstr>CNGDataF</vt:lpstr>
      <vt:lpstr>cngded</vt:lpstr>
      <vt:lpstr>CNGx</vt:lpstr>
      <vt:lpstr>CNRGas</vt:lpstr>
      <vt:lpstr>CNRVol</vt:lpstr>
      <vt:lpstr>gath9909</vt:lpstr>
      <vt:lpstr>GathVol</vt:lpstr>
      <vt:lpstr>InCGAS</vt:lpstr>
      <vt:lpstr>INCNG</vt:lpstr>
      <vt:lpstr>InCNR</vt:lpstr>
      <vt:lpstr>InReg</vt:lpstr>
      <vt:lpstr>cgas!Print_Area</vt:lpstr>
      <vt:lpstr>CNG!Print_Area</vt:lpstr>
      <vt:lpstr>CNGData!Print_Area</vt:lpstr>
      <vt:lpstr>CNGPricing!Print_Area</vt:lpstr>
      <vt:lpstr>cnr!Print_Area</vt:lpstr>
      <vt:lpstr>gatherco!Print_Area</vt:lpstr>
      <vt:lpstr>Gatherco0001!Print_Area</vt:lpstr>
      <vt:lpstr>'Special Pricing'!Print_Area</vt:lpstr>
      <vt:lpstr>cgas!Print_Titles</vt:lpstr>
      <vt:lpstr>CGAS0001!Print_Titles</vt:lpstr>
      <vt:lpstr>CNG!Print_Titles</vt:lpstr>
      <vt:lpstr>cnr!Print_Titles</vt:lpstr>
      <vt:lpstr>gatherco!Print_Titles</vt:lpstr>
      <vt:lpstr>Retention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 </dc:creator>
  <cp:keywords/>
  <dc:description/>
  <cp:lastModifiedBy>Felienne</cp:lastModifiedBy>
  <cp:lastPrinted>2002-05-22T20:30:17Z</cp:lastPrinted>
  <dcterms:created xsi:type="dcterms:W3CDTF">1998-04-01T15:34:04Z</dcterms:created>
  <dcterms:modified xsi:type="dcterms:W3CDTF">2014-09-03T12:24:12Z</dcterms:modified>
</cp:coreProperties>
</file>