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" yWindow="-15" windowWidth="14895" windowHeight="7725"/>
  </bookViews>
  <sheets>
    <sheet name="Table of Contents" sheetId="7" r:id="rId1"/>
    <sheet name="Invoice Rec" sheetId="1" r:id="rId2"/>
    <sheet name="Invoice Rec2" sheetId="6" r:id="rId3"/>
    <sheet name="April Deficiency" sheetId="5" r:id="rId4"/>
    <sheet name="Assumptions" sheetId="2" r:id="rId5"/>
    <sheet name="Historical Calcs" sheetId="3" r:id="rId6"/>
    <sheet name="Invoice Analysis" sheetId="4" r:id="rId7"/>
  </sheets>
  <definedNames>
    <definedName name="lookup_table">Assumptions!$A$5:$Q$20</definedName>
    <definedName name="names">Assumptions!$A$4:$Q$4</definedName>
  </definedNames>
  <calcPr calcId="152511"/>
</workbook>
</file>

<file path=xl/calcChain.xml><?xml version="1.0" encoding="utf-8"?>
<calcChain xmlns="http://schemas.openxmlformats.org/spreadsheetml/2006/main">
  <c r="G6" i="5" l="1"/>
  <c r="H6" i="5"/>
  <c r="I6" i="5"/>
  <c r="G7" i="5"/>
  <c r="H7" i="5"/>
  <c r="I7" i="5"/>
  <c r="G8" i="5"/>
  <c r="H8" i="5"/>
  <c r="I8" i="5" s="1"/>
  <c r="B1" i="2"/>
  <c r="C1" i="2"/>
  <c r="D1" i="2"/>
  <c r="E1" i="2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B4" i="3"/>
  <c r="L4" i="3" s="1"/>
  <c r="D4" i="3"/>
  <c r="E4" i="3"/>
  <c r="F4" i="3"/>
  <c r="G4" i="3"/>
  <c r="I4" i="3"/>
  <c r="S4" i="3" s="1"/>
  <c r="J4" i="3"/>
  <c r="M4" i="3"/>
  <c r="Q4" i="3"/>
  <c r="T4" i="3" s="1"/>
  <c r="R4" i="3"/>
  <c r="W4" i="3"/>
  <c r="AA4" i="3"/>
  <c r="AB4" i="3"/>
  <c r="B5" i="3"/>
  <c r="Q5" i="3" s="1"/>
  <c r="D5" i="3"/>
  <c r="G5" i="3" s="1"/>
  <c r="E5" i="3"/>
  <c r="F5" i="3"/>
  <c r="I5" i="3"/>
  <c r="J5" i="3"/>
  <c r="S5" i="3" s="1"/>
  <c r="M5" i="3"/>
  <c r="N5" i="3"/>
  <c r="R5" i="3"/>
  <c r="W5" i="3"/>
  <c r="X5" i="3"/>
  <c r="AB5" i="3"/>
  <c r="B6" i="3"/>
  <c r="D6" i="3" s="1"/>
  <c r="G6" i="3" s="1"/>
  <c r="F6" i="3"/>
  <c r="I6" i="3"/>
  <c r="AC6" i="3" s="1"/>
  <c r="AD6" i="3" s="1"/>
  <c r="J6" i="3"/>
  <c r="L6" i="3"/>
  <c r="M6" i="3"/>
  <c r="Q6" i="3"/>
  <c r="R6" i="3"/>
  <c r="V6" i="3"/>
  <c r="AF6" i="3" s="1"/>
  <c r="W6" i="3"/>
  <c r="AA6" i="3"/>
  <c r="AB6" i="3"/>
  <c r="B7" i="3"/>
  <c r="L7" i="3" s="1"/>
  <c r="D7" i="3"/>
  <c r="E7" i="3"/>
  <c r="F7" i="3"/>
  <c r="G7" i="3"/>
  <c r="I7" i="3"/>
  <c r="J7" i="3"/>
  <c r="M7" i="3"/>
  <c r="N7" i="3"/>
  <c r="Q7" i="3"/>
  <c r="R7" i="3"/>
  <c r="S7" i="3" s="1"/>
  <c r="W7" i="3"/>
  <c r="X7" i="3"/>
  <c r="AA7" i="3"/>
  <c r="AD7" i="3" s="1"/>
  <c r="AB7" i="3"/>
  <c r="AC7" i="3" s="1"/>
  <c r="B8" i="3"/>
  <c r="E8" i="3" s="1"/>
  <c r="D8" i="3"/>
  <c r="G8" i="3" s="1"/>
  <c r="F8" i="3"/>
  <c r="I8" i="3"/>
  <c r="J8" i="3"/>
  <c r="S8" i="3" s="1"/>
  <c r="M8" i="3"/>
  <c r="N8" i="3"/>
  <c r="R8" i="3"/>
  <c r="W8" i="3"/>
  <c r="X8" i="3"/>
  <c r="AB8" i="3"/>
  <c r="B9" i="3"/>
  <c r="D9" i="3"/>
  <c r="E9" i="3"/>
  <c r="AI9" i="3" s="1"/>
  <c r="F9" i="3"/>
  <c r="G9" i="3"/>
  <c r="I9" i="3"/>
  <c r="S9" i="3" s="1"/>
  <c r="T9" i="3" s="1"/>
  <c r="J9" i="3"/>
  <c r="AC9" i="3" s="1"/>
  <c r="AD9" i="3" s="1"/>
  <c r="L9" i="3"/>
  <c r="M9" i="3"/>
  <c r="Q9" i="3"/>
  <c r="AF9" i="3" s="1"/>
  <c r="R9" i="3"/>
  <c r="V9" i="3"/>
  <c r="W9" i="3"/>
  <c r="AA9" i="3"/>
  <c r="AB9" i="3"/>
  <c r="B10" i="3"/>
  <c r="L10" i="3" s="1"/>
  <c r="D10" i="3"/>
  <c r="G10" i="3" s="1"/>
  <c r="E10" i="3"/>
  <c r="F10" i="3"/>
  <c r="I10" i="3"/>
  <c r="J10" i="3"/>
  <c r="S10" i="3" s="1"/>
  <c r="M10" i="3"/>
  <c r="N10" i="3"/>
  <c r="Q10" i="3"/>
  <c r="T10" i="3" s="1"/>
  <c r="R10" i="3"/>
  <c r="W10" i="3"/>
  <c r="X10" i="3"/>
  <c r="AA10" i="3"/>
  <c r="AB10" i="3"/>
  <c r="B11" i="3"/>
  <c r="D11" i="3" s="1"/>
  <c r="G11" i="3" s="1"/>
  <c r="F11" i="3"/>
  <c r="I11" i="3"/>
  <c r="N11" i="3" s="1"/>
  <c r="J11" i="3"/>
  <c r="M11" i="3"/>
  <c r="R11" i="3"/>
  <c r="W11" i="3"/>
  <c r="AB11" i="3"/>
  <c r="B12" i="3"/>
  <c r="L12" i="3" s="1"/>
  <c r="D12" i="3"/>
  <c r="E12" i="3"/>
  <c r="F12" i="3"/>
  <c r="G12" i="3"/>
  <c r="I12" i="3"/>
  <c r="S12" i="3" s="1"/>
  <c r="J12" i="3"/>
  <c r="M12" i="3"/>
  <c r="Q12" i="3"/>
  <c r="R12" i="3"/>
  <c r="W12" i="3"/>
  <c r="AA12" i="3"/>
  <c r="AB12" i="3"/>
  <c r="B13" i="3"/>
  <c r="Q13" i="3" s="1"/>
  <c r="T13" i="3" s="1"/>
  <c r="D13" i="3"/>
  <c r="G13" i="3" s="1"/>
  <c r="E13" i="3"/>
  <c r="F13" i="3"/>
  <c r="I13" i="3"/>
  <c r="J13" i="3"/>
  <c r="S13" i="3" s="1"/>
  <c r="M13" i="3"/>
  <c r="N13" i="3"/>
  <c r="R13" i="3"/>
  <c r="W13" i="3"/>
  <c r="X13" i="3"/>
  <c r="AB13" i="3"/>
  <c r="B14" i="3"/>
  <c r="D14" i="3" s="1"/>
  <c r="G14" i="3" s="1"/>
  <c r="F14" i="3"/>
  <c r="I14" i="3"/>
  <c r="N14" i="3" s="1"/>
  <c r="J14" i="3"/>
  <c r="AC14" i="3" s="1"/>
  <c r="AD14" i="3" s="1"/>
  <c r="L14" i="3"/>
  <c r="O14" i="3" s="1"/>
  <c r="M14" i="3"/>
  <c r="Q14" i="3"/>
  <c r="R14" i="3"/>
  <c r="V14" i="3"/>
  <c r="W14" i="3"/>
  <c r="AA14" i="3"/>
  <c r="AB14" i="3"/>
  <c r="B15" i="3"/>
  <c r="L15" i="3" s="1"/>
  <c r="D15" i="3"/>
  <c r="E15" i="3"/>
  <c r="F15" i="3"/>
  <c r="G15" i="3"/>
  <c r="I15" i="3"/>
  <c r="J15" i="3"/>
  <c r="M15" i="3"/>
  <c r="N15" i="3"/>
  <c r="Q15" i="3"/>
  <c r="T15" i="3" s="1"/>
  <c r="R15" i="3"/>
  <c r="S15" i="3" s="1"/>
  <c r="W15" i="3"/>
  <c r="X15" i="3"/>
  <c r="AA15" i="3"/>
  <c r="AB15" i="3"/>
  <c r="AC15" i="3" s="1"/>
  <c r="B16" i="3"/>
  <c r="E16" i="3" s="1"/>
  <c r="D16" i="3"/>
  <c r="G16" i="3" s="1"/>
  <c r="F16" i="3"/>
  <c r="I16" i="3"/>
  <c r="J16" i="3"/>
  <c r="S16" i="3" s="1"/>
  <c r="M16" i="3"/>
  <c r="N16" i="3"/>
  <c r="R16" i="3"/>
  <c r="W16" i="3"/>
  <c r="X16" i="3"/>
  <c r="AB16" i="3"/>
  <c r="B17" i="3"/>
  <c r="D17" i="3"/>
  <c r="E17" i="3"/>
  <c r="AI17" i="3" s="1"/>
  <c r="F17" i="3"/>
  <c r="G17" i="3"/>
  <c r="I17" i="3"/>
  <c r="N17" i="3" s="1"/>
  <c r="O17" i="3" s="1"/>
  <c r="J17" i="3"/>
  <c r="L17" i="3"/>
  <c r="M17" i="3"/>
  <c r="Q17" i="3"/>
  <c r="AF17" i="3" s="1"/>
  <c r="R17" i="3"/>
  <c r="V17" i="3"/>
  <c r="W17" i="3"/>
  <c r="AA17" i="3"/>
  <c r="AB17" i="3"/>
  <c r="B18" i="3"/>
  <c r="L18" i="3" s="1"/>
  <c r="D18" i="3"/>
  <c r="G18" i="3" s="1"/>
  <c r="E18" i="3"/>
  <c r="F18" i="3"/>
  <c r="I18" i="3"/>
  <c r="J18" i="3"/>
  <c r="S18" i="3" s="1"/>
  <c r="M18" i="3"/>
  <c r="N18" i="3"/>
  <c r="Q18" i="3"/>
  <c r="T18" i="3" s="1"/>
  <c r="R18" i="3"/>
  <c r="W18" i="3"/>
  <c r="X18" i="3"/>
  <c r="AA18" i="3"/>
  <c r="AB18" i="3"/>
  <c r="B19" i="3"/>
  <c r="D19" i="3" s="1"/>
  <c r="G19" i="3" s="1"/>
  <c r="F19" i="3"/>
  <c r="I19" i="3"/>
  <c r="N19" i="3" s="1"/>
  <c r="J19" i="3"/>
  <c r="M19" i="3"/>
  <c r="R19" i="3"/>
  <c r="W19" i="3"/>
  <c r="AB19" i="3"/>
  <c r="H8" i="4"/>
  <c r="L8" i="4"/>
  <c r="P8" i="4"/>
  <c r="T8" i="4"/>
  <c r="V8" i="4"/>
  <c r="H9" i="4"/>
  <c r="H10" i="4"/>
  <c r="G11" i="4"/>
  <c r="H11" i="4"/>
  <c r="V11" i="4" s="1"/>
  <c r="K11" i="4"/>
  <c r="L11" i="4"/>
  <c r="O11" i="4"/>
  <c r="P11" i="4"/>
  <c r="S11" i="4"/>
  <c r="T11" i="4" s="1"/>
  <c r="D12" i="4"/>
  <c r="D13" i="4"/>
  <c r="D15" i="4"/>
  <c r="D16" i="4"/>
  <c r="G16" i="4"/>
  <c r="H16" i="4"/>
  <c r="R16" i="4"/>
  <c r="T16" i="4" s="1"/>
  <c r="G17" i="4"/>
  <c r="H17" i="4"/>
  <c r="J17" i="4"/>
  <c r="K17" i="4"/>
  <c r="L17" i="4"/>
  <c r="N17" i="4"/>
  <c r="P17" i="4" s="1"/>
  <c r="O17" i="4"/>
  <c r="G18" i="4"/>
  <c r="H18" i="4"/>
  <c r="J18" i="4"/>
  <c r="K18" i="4"/>
  <c r="L18" i="4"/>
  <c r="T18" i="4"/>
  <c r="G19" i="4"/>
  <c r="H19" i="4" s="1"/>
  <c r="O19" i="4"/>
  <c r="P19" i="4"/>
  <c r="S19" i="4"/>
  <c r="T19" i="4"/>
  <c r="K5" i="1"/>
  <c r="M5" i="1"/>
  <c r="O5" i="1" s="1"/>
  <c r="K10" i="1"/>
  <c r="M10" i="1"/>
  <c r="Q10" i="1"/>
  <c r="K12" i="1"/>
  <c r="M12" i="1" s="1"/>
  <c r="O12" i="1"/>
  <c r="K14" i="1"/>
  <c r="M14" i="1"/>
  <c r="O14" i="1"/>
  <c r="O17" i="1" s="1"/>
  <c r="Q14" i="1"/>
  <c r="K16" i="1"/>
  <c r="M16" i="1" s="1"/>
  <c r="Q16" i="1" s="1"/>
  <c r="O16" i="1"/>
  <c r="B5" i="6"/>
  <c r="Q17" i="1" l="1"/>
  <c r="O15" i="3"/>
  <c r="O19" i="1"/>
  <c r="Q5" i="1"/>
  <c r="O6" i="1"/>
  <c r="AF4" i="3"/>
  <c r="AI4" i="3" s="1"/>
  <c r="O4" i="3"/>
  <c r="AD15" i="3"/>
  <c r="O10" i="3"/>
  <c r="T7" i="3"/>
  <c r="O7" i="3"/>
  <c r="T5" i="3"/>
  <c r="Q12" i="1"/>
  <c r="B3" i="6"/>
  <c r="B7" i="6" s="1"/>
  <c r="B11" i="6" s="1"/>
  <c r="T12" i="3"/>
  <c r="I10" i="5"/>
  <c r="AD4" i="3"/>
  <c r="M17" i="1"/>
  <c r="O18" i="3"/>
  <c r="AD10" i="3"/>
  <c r="M19" i="1"/>
  <c r="AF14" i="3"/>
  <c r="AC12" i="3"/>
  <c r="AD12" i="3" s="1"/>
  <c r="V19" i="3"/>
  <c r="Y19" i="3" s="1"/>
  <c r="S17" i="3"/>
  <c r="T17" i="3" s="1"/>
  <c r="AG17" i="3" s="1"/>
  <c r="AJ17" i="3" s="1"/>
  <c r="L11" i="3"/>
  <c r="L16" i="3"/>
  <c r="AC19" i="3"/>
  <c r="S19" i="3"/>
  <c r="L5" i="3"/>
  <c r="V18" i="3"/>
  <c r="Y18" i="3" s="1"/>
  <c r="AC16" i="3"/>
  <c r="X12" i="3"/>
  <c r="N12" i="3"/>
  <c r="O12" i="3" s="1"/>
  <c r="V10" i="3"/>
  <c r="Y10" i="3" s="1"/>
  <c r="AC8" i="3"/>
  <c r="X4" i="3"/>
  <c r="N4" i="3"/>
  <c r="AC17" i="3"/>
  <c r="AD17" i="3" s="1"/>
  <c r="S14" i="3"/>
  <c r="T14" i="3" s="1"/>
  <c r="AG14" i="3" s="1"/>
  <c r="AJ14" i="3" s="1"/>
  <c r="L8" i="3"/>
  <c r="S6" i="3"/>
  <c r="T6" i="3" s="1"/>
  <c r="V13" i="3"/>
  <c r="Y13" i="3" s="1"/>
  <c r="AC11" i="3"/>
  <c r="S11" i="3"/>
  <c r="M6" i="1"/>
  <c r="AA19" i="3"/>
  <c r="AD19" i="3" s="1"/>
  <c r="Q19" i="3"/>
  <c r="T19" i="3" s="1"/>
  <c r="X17" i="3"/>
  <c r="Y17" i="3" s="1"/>
  <c r="V15" i="3"/>
  <c r="Y15" i="3" s="1"/>
  <c r="E14" i="3"/>
  <c r="AI14" i="3" s="1"/>
  <c r="AC13" i="3"/>
  <c r="AA11" i="3"/>
  <c r="AD11" i="3" s="1"/>
  <c r="Q11" i="3"/>
  <c r="T11" i="3" s="1"/>
  <c r="X9" i="3"/>
  <c r="Y9" i="3" s="1"/>
  <c r="N9" i="3"/>
  <c r="O9" i="3" s="1"/>
  <c r="AG9" i="3" s="1"/>
  <c r="AJ9" i="3" s="1"/>
  <c r="V7" i="3"/>
  <c r="Y7" i="3" s="1"/>
  <c r="E6" i="3"/>
  <c r="AI6" i="3" s="1"/>
  <c r="AC5" i="3"/>
  <c r="V16" i="3"/>
  <c r="Y16" i="3" s="1"/>
  <c r="V8" i="3"/>
  <c r="Y8" i="3" s="1"/>
  <c r="L13" i="3"/>
  <c r="E19" i="3"/>
  <c r="AC18" i="3"/>
  <c r="AD18" i="3" s="1"/>
  <c r="AA16" i="3"/>
  <c r="AD16" i="3" s="1"/>
  <c r="Q16" i="3"/>
  <c r="T16" i="3" s="1"/>
  <c r="X14" i="3"/>
  <c r="Y14" i="3" s="1"/>
  <c r="V12" i="3"/>
  <c r="E11" i="3"/>
  <c r="AC10" i="3"/>
  <c r="AA8" i="3"/>
  <c r="AD8" i="3" s="1"/>
  <c r="Q8" i="3"/>
  <c r="T8" i="3" s="1"/>
  <c r="X6" i="3"/>
  <c r="Y6" i="3" s="1"/>
  <c r="N6" i="3"/>
  <c r="O6" i="3" s="1"/>
  <c r="V4" i="3"/>
  <c r="AC4" i="3"/>
  <c r="L19" i="3"/>
  <c r="V11" i="3"/>
  <c r="V5" i="3"/>
  <c r="Y5" i="3" s="1"/>
  <c r="X19" i="3"/>
  <c r="AA13" i="3"/>
  <c r="AD13" i="3" s="1"/>
  <c r="X11" i="3"/>
  <c r="AA5" i="3"/>
  <c r="AD5" i="3" s="1"/>
  <c r="AG6" i="3" l="1"/>
  <c r="AJ6" i="3" s="1"/>
  <c r="O11" i="3"/>
  <c r="AF11" i="3"/>
  <c r="AI11" i="3" s="1"/>
  <c r="O8" i="3"/>
  <c r="AG8" i="3" s="1"/>
  <c r="AJ8" i="3" s="1"/>
  <c r="AF8" i="3"/>
  <c r="AI8" i="3" s="1"/>
  <c r="AF18" i="3"/>
  <c r="AI18" i="3" s="1"/>
  <c r="O16" i="3"/>
  <c r="AG16" i="3" s="1"/>
  <c r="AJ16" i="3" s="1"/>
  <c r="AF16" i="3"/>
  <c r="AI16" i="3" s="1"/>
  <c r="AG18" i="3"/>
  <c r="AJ18" i="3" s="1"/>
  <c r="AG15" i="3"/>
  <c r="AJ15" i="3" s="1"/>
  <c r="Y11" i="3"/>
  <c r="O13" i="3"/>
  <c r="AG13" i="3" s="1"/>
  <c r="AJ13" i="3" s="1"/>
  <c r="AF13" i="3"/>
  <c r="AI13" i="3" s="1"/>
  <c r="AF15" i="3"/>
  <c r="AI15" i="3" s="1"/>
  <c r="O19" i="3"/>
  <c r="AG19" i="3" s="1"/>
  <c r="AJ19" i="3" s="1"/>
  <c r="AF19" i="3"/>
  <c r="AI19" i="3" s="1"/>
  <c r="O5" i="3"/>
  <c r="AG5" i="3" s="1"/>
  <c r="AJ5" i="3" s="1"/>
  <c r="AF5" i="3"/>
  <c r="AI5" i="3" s="1"/>
  <c r="Q6" i="1"/>
  <c r="Y12" i="3"/>
  <c r="AG12" i="3" s="1"/>
  <c r="AJ12" i="3" s="1"/>
  <c r="AF12" i="3"/>
  <c r="AI12" i="3" s="1"/>
  <c r="AF7" i="3"/>
  <c r="AI7" i="3" s="1"/>
  <c r="AF10" i="3"/>
  <c r="AI10" i="3" s="1"/>
  <c r="Y4" i="3"/>
  <c r="AG4" i="3" s="1"/>
  <c r="AJ4" i="3" s="1"/>
  <c r="AG7" i="3"/>
  <c r="AJ7" i="3" s="1"/>
  <c r="AG10" i="3"/>
  <c r="AJ10" i="3" s="1"/>
  <c r="Q19" i="1"/>
  <c r="O23" i="1"/>
  <c r="AG11" i="3" l="1"/>
  <c r="AJ11" i="3" s="1"/>
</calcChain>
</file>

<file path=xl/sharedStrings.xml><?xml version="1.0" encoding="utf-8"?>
<sst xmlns="http://schemas.openxmlformats.org/spreadsheetml/2006/main" count="165" uniqueCount="89">
  <si>
    <t>MCV I</t>
  </si>
  <si>
    <t>IF-TRUNKL/TX</t>
  </si>
  <si>
    <t>MCV II</t>
  </si>
  <si>
    <t>IF-PAN/TX/OK</t>
  </si>
  <si>
    <t>Fixed</t>
  </si>
  <si>
    <t>IF-HEHUB</t>
  </si>
  <si>
    <t>IF-FOM</t>
  </si>
  <si>
    <t>SALE PRICE</t>
  </si>
  <si>
    <t>FIXED</t>
  </si>
  <si>
    <t>TOTAL</t>
  </si>
  <si>
    <t>IF-ANR/LA</t>
  </si>
  <si>
    <t>IF-TRUNKL/LA</t>
  </si>
  <si>
    <t xml:space="preserve">INVOICED </t>
  </si>
  <si>
    <t>DIFFERENCE</t>
  </si>
  <si>
    <t>MCV PAID ON 4/26/02</t>
  </si>
  <si>
    <t>NET SHORT</t>
  </si>
  <si>
    <t>VOLUME</t>
  </si>
  <si>
    <t>Model Values</t>
  </si>
  <si>
    <t>System Values</t>
  </si>
  <si>
    <t>System - Model</t>
  </si>
  <si>
    <t>MCV II Subtotal</t>
  </si>
  <si>
    <t>MCV I Subtotal</t>
  </si>
  <si>
    <t>MCV I and II</t>
  </si>
  <si>
    <t>Pricing Table</t>
  </si>
  <si>
    <t>Volume Table (MMBtu/d)</t>
  </si>
  <si>
    <t>Monthly Volume</t>
  </si>
  <si>
    <t>Fixed Price</t>
  </si>
  <si>
    <t>Price</t>
  </si>
  <si>
    <t>Sale Price</t>
  </si>
  <si>
    <t>Revenue</t>
  </si>
  <si>
    <t>Del Month</t>
  </si>
  <si>
    <t>Days</t>
  </si>
  <si>
    <t>Monthly Revenue</t>
  </si>
  <si>
    <t>TOTAL MCV II</t>
  </si>
  <si>
    <t>TOTAL INVOICE I AND II</t>
  </si>
  <si>
    <t>Volumes</t>
  </si>
  <si>
    <t>Pricing</t>
  </si>
  <si>
    <t>Total</t>
  </si>
  <si>
    <t>Total MCV II</t>
  </si>
  <si>
    <t>APRIL 2002 Enron Deficiency</t>
  </si>
  <si>
    <t>Pipeline</t>
  </si>
  <si>
    <t>Point</t>
  </si>
  <si>
    <t>Contract MMBtu</t>
  </si>
  <si>
    <t>Contract Price</t>
  </si>
  <si>
    <t>Replacement Price</t>
  </si>
  <si>
    <t>Deficiency $/ MMBtu</t>
  </si>
  <si>
    <t>Total Deficiency due to MCV</t>
  </si>
  <si>
    <t>ANRSE</t>
  </si>
  <si>
    <t>SE Headstation</t>
  </si>
  <si>
    <t>PEPL</t>
  </si>
  <si>
    <t xml:space="preserve">Field Zone </t>
  </si>
  <si>
    <t>TRLN</t>
  </si>
  <si>
    <t>Invoice w/o PEPL</t>
  </si>
  <si>
    <t>MCV Payment</t>
  </si>
  <si>
    <t>Short Pay</t>
  </si>
  <si>
    <t>MCV Claimed LD</t>
  </si>
  <si>
    <t>Balance</t>
  </si>
  <si>
    <t>Invoice for PEPL</t>
  </si>
  <si>
    <t>This is what the invoice should have been without the PEPL Volume</t>
  </si>
  <si>
    <t>This is what MCV Actually paid</t>
  </si>
  <si>
    <t>Based on what invoice should have been, amount of short pay</t>
  </si>
  <si>
    <t>MCV charging us for April non-deliveries</t>
  </si>
  <si>
    <t>Thus explains shortpay</t>
  </si>
  <si>
    <t>What we should have invoiced for PEPL</t>
  </si>
  <si>
    <t>Gray represents what MCV is claiming</t>
  </si>
  <si>
    <t xml:space="preserve">Note that Article II of the May 1996 Purchase Agreement, states that buyer's deficiency </t>
  </si>
  <si>
    <t xml:space="preserve">price "shall be no greater than one hundred and eight percent (108%) of the Inside Ferce Price".  </t>
  </si>
  <si>
    <t>Inside FERC</t>
  </si>
  <si>
    <t>Repl. Price % Diff from IF</t>
  </si>
  <si>
    <t>Balance Due for April</t>
  </si>
  <si>
    <t>1 Day of Swing Gas</t>
  </si>
  <si>
    <t>???</t>
  </si>
  <si>
    <t>????</t>
  </si>
  <si>
    <t>Should be the PEPL volumes plus the day's worth of swing</t>
  </si>
  <si>
    <t>APRIL INVOICE ANALYSIS</t>
  </si>
  <si>
    <t>Worksheet</t>
  </si>
  <si>
    <t>Description</t>
  </si>
  <si>
    <t>Invoice Rec2</t>
  </si>
  <si>
    <t>Invoice Rec</t>
  </si>
  <si>
    <t>Compares what PP has modeled to what the system invoiced.  Also shows what MCV paid, and the amount shortpaid based on the system invoice.</t>
  </si>
  <si>
    <t>Shows what MCV should have been invoiced for and explains why they short paid.  Needs to have a swing gas amount included</t>
  </si>
  <si>
    <t>April Deficiency</t>
  </si>
  <si>
    <t>Shows how MCV calcs their LDs for ENE's April non-deliveries in MCV II</t>
  </si>
  <si>
    <t>Assumptions</t>
  </si>
  <si>
    <t>Shows the volume and price assumptions used for the model on the "Historical Calcs" page</t>
  </si>
  <si>
    <t>Historical Calcs</t>
  </si>
  <si>
    <t>Shows what MCV should have been billed starting in Jan-01.  It assumes that they take the MDQ each day at each point.</t>
  </si>
  <si>
    <t>Invoice Analysis</t>
  </si>
  <si>
    <t>This is the information PP was able to glean from historical invoices provided by Settlements.  It looks like we are missing a lot of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</si>
</sst>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"/>
    <numFmt numFmtId="167" formatCode="&quot;$&quot;#,##0.000_);[Red]\(&quot;$&quot;#,##0.000\)"/>
    <numFmt numFmtId="171" formatCode="_(&quot;$&quot;* #,##0.0000_);_(&quot;$&quot;* \(#,##0.0000\);_(&quot;$&quot;* &quot;-&quot;??_);_(@_)"/>
    <numFmt numFmtId="173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3" fontId="0" fillId="0" borderId="0" xfId="0" applyNumberFormat="1"/>
    <xf numFmtId="8" fontId="0" fillId="0" borderId="0" xfId="0" applyNumberFormat="1"/>
    <xf numFmtId="8" fontId="2" fillId="0" borderId="0" xfId="0" applyNumberFormat="1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Alignment="1">
      <alignment horizontal="right"/>
    </xf>
    <xf numFmtId="8" fontId="0" fillId="0" borderId="1" xfId="0" applyNumberFormat="1" applyBorder="1"/>
    <xf numFmtId="8" fontId="3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38" fontId="0" fillId="0" borderId="0" xfId="0" applyNumberFormat="1"/>
    <xf numFmtId="167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73" fontId="1" fillId="0" borderId="0" xfId="1" applyNumberFormat="1"/>
    <xf numFmtId="171" fontId="1" fillId="0" borderId="0" xfId="2" applyNumberFormat="1"/>
    <xf numFmtId="0" fontId="0" fillId="0" borderId="0" xfId="0" applyAlignment="1">
      <alignment horizontal="center" wrapText="1"/>
    </xf>
    <xf numFmtId="173" fontId="1" fillId="0" borderId="0" xfId="1" applyNumberFormat="1" applyAlignment="1">
      <alignment horizontal="center" wrapText="1"/>
    </xf>
    <xf numFmtId="171" fontId="1" fillId="0" borderId="0" xfId="2" applyNumberFormat="1" applyAlignment="1">
      <alignment horizontal="center" wrapText="1"/>
    </xf>
    <xf numFmtId="171" fontId="1" fillId="0" borderId="0" xfId="2" applyNumberFormat="1" applyAlignment="1">
      <alignment wrapText="1"/>
    </xf>
    <xf numFmtId="10" fontId="1" fillId="0" borderId="0" xfId="3" applyNumberFormat="1"/>
    <xf numFmtId="0" fontId="0" fillId="4" borderId="0" xfId="0" applyFill="1"/>
    <xf numFmtId="173" fontId="1" fillId="4" borderId="0" xfId="1" applyNumberFormat="1" applyFill="1"/>
    <xf numFmtId="171" fontId="1" fillId="4" borderId="0" xfId="2" applyNumberFormat="1" applyFill="1"/>
    <xf numFmtId="44" fontId="1" fillId="4" borderId="0" xfId="2" applyFill="1"/>
    <xf numFmtId="171" fontId="1" fillId="0" borderId="0" xfId="2" applyNumberFormat="1" applyFill="1"/>
    <xf numFmtId="171" fontId="1" fillId="0" borderId="0" xfId="2" applyNumberFormat="1" applyFill="1" applyAlignment="1">
      <alignment horizontal="center" wrapText="1"/>
    </xf>
    <xf numFmtId="10" fontId="1" fillId="0" borderId="0" xfId="3" applyNumberFormat="1" applyFill="1"/>
    <xf numFmtId="0" fontId="7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5.42578125" bestFit="1" customWidth="1"/>
    <col min="3" max="3" width="2.5703125" customWidth="1"/>
    <col min="4" max="4" width="47" customWidth="1"/>
  </cols>
  <sheetData>
    <row r="2" spans="1:4" x14ac:dyDescent="0.2">
      <c r="B2" s="1" t="s">
        <v>75</v>
      </c>
      <c r="C2" s="1"/>
      <c r="D2" s="1" t="s">
        <v>76</v>
      </c>
    </row>
    <row r="3" spans="1:4" ht="33.75" x14ac:dyDescent="0.2">
      <c r="A3" s="37">
        <v>1</v>
      </c>
      <c r="B3" s="38" t="s">
        <v>78</v>
      </c>
      <c r="D3" s="39" t="s">
        <v>79</v>
      </c>
    </row>
    <row r="4" spans="1:4" x14ac:dyDescent="0.2">
      <c r="A4" s="37"/>
      <c r="B4" s="38"/>
      <c r="D4" s="39"/>
    </row>
    <row r="5" spans="1:4" ht="33.75" x14ac:dyDescent="0.2">
      <c r="A5" s="37">
        <v>2</v>
      </c>
      <c r="B5" s="38" t="s">
        <v>77</v>
      </c>
      <c r="D5" s="39" t="s">
        <v>80</v>
      </c>
    </row>
    <row r="6" spans="1:4" x14ac:dyDescent="0.2">
      <c r="A6" s="37"/>
      <c r="B6" s="38"/>
      <c r="D6" s="39"/>
    </row>
    <row r="7" spans="1:4" ht="22.5" x14ac:dyDescent="0.2">
      <c r="A7" s="37">
        <v>3</v>
      </c>
      <c r="B7" s="38" t="s">
        <v>81</v>
      </c>
      <c r="D7" s="39" t="s">
        <v>82</v>
      </c>
    </row>
    <row r="8" spans="1:4" x14ac:dyDescent="0.2">
      <c r="A8" s="37"/>
      <c r="B8" s="38"/>
      <c r="D8" s="39"/>
    </row>
    <row r="9" spans="1:4" ht="22.5" x14ac:dyDescent="0.2">
      <c r="A9" s="37">
        <v>4</v>
      </c>
      <c r="B9" s="38" t="s">
        <v>83</v>
      </c>
      <c r="D9" s="39" t="s">
        <v>84</v>
      </c>
    </row>
    <row r="10" spans="1:4" x14ac:dyDescent="0.2">
      <c r="A10" s="37"/>
      <c r="B10" s="38"/>
      <c r="D10" s="39"/>
    </row>
    <row r="11" spans="1:4" ht="22.5" x14ac:dyDescent="0.2">
      <c r="A11" s="37">
        <v>5</v>
      </c>
      <c r="B11" s="38" t="s">
        <v>85</v>
      </c>
      <c r="D11" s="39" t="s">
        <v>86</v>
      </c>
    </row>
    <row r="12" spans="1:4" x14ac:dyDescent="0.2">
      <c r="A12" s="37"/>
      <c r="B12" s="38"/>
      <c r="D12" s="39"/>
    </row>
    <row r="13" spans="1:4" ht="33.75" x14ac:dyDescent="0.2">
      <c r="A13" s="37">
        <v>6</v>
      </c>
      <c r="B13" s="38" t="s">
        <v>87</v>
      </c>
      <c r="D13" s="39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workbookViewId="0">
      <selection activeCell="K23" sqref="K23"/>
    </sheetView>
  </sheetViews>
  <sheetFormatPr defaultRowHeight="12.75" x14ac:dyDescent="0.2"/>
  <cols>
    <col min="1" max="1" width="7.140625" customWidth="1"/>
    <col min="3" max="3" width="9.28515625" bestFit="1" customWidth="1"/>
    <col min="4" max="4" width="3" customWidth="1"/>
    <col min="5" max="5" width="9.28515625" bestFit="1" customWidth="1"/>
    <col min="6" max="6" width="2.28515625" customWidth="1"/>
    <col min="7" max="7" width="11.85546875" bestFit="1" customWidth="1"/>
    <col min="8" max="8" width="2.85546875" customWidth="1"/>
    <col min="9" max="9" width="9.28515625" bestFit="1" customWidth="1"/>
    <col min="10" max="10" width="2.85546875" customWidth="1"/>
    <col min="11" max="11" width="12.140625" bestFit="1" customWidth="1"/>
    <col min="12" max="12" width="2.85546875" customWidth="1"/>
    <col min="13" max="13" width="15.140625" bestFit="1" customWidth="1"/>
    <col min="14" max="14" width="3.28515625" customWidth="1"/>
    <col min="15" max="15" width="18.7109375" bestFit="1" customWidth="1"/>
    <col min="16" max="16" width="3" customWidth="1"/>
    <col min="17" max="17" width="14.140625" bestFit="1" customWidth="1"/>
  </cols>
  <sheetData>
    <row r="2" spans="1:17" x14ac:dyDescent="0.2">
      <c r="E2" s="6" t="s">
        <v>17</v>
      </c>
      <c r="F2" s="6"/>
      <c r="G2" s="6"/>
      <c r="H2" s="6"/>
      <c r="I2" s="6"/>
      <c r="J2" s="6"/>
      <c r="K2" s="6"/>
      <c r="L2" s="6"/>
      <c r="M2" s="6"/>
      <c r="O2" s="6" t="s">
        <v>18</v>
      </c>
      <c r="Q2" s="6" t="s">
        <v>19</v>
      </c>
    </row>
    <row r="4" spans="1:17" x14ac:dyDescent="0.2">
      <c r="A4" s="1" t="s">
        <v>0</v>
      </c>
      <c r="C4" t="s">
        <v>16</v>
      </c>
      <c r="E4" t="s">
        <v>8</v>
      </c>
      <c r="K4" t="s">
        <v>7</v>
      </c>
      <c r="M4" t="s">
        <v>9</v>
      </c>
      <c r="O4" t="s">
        <v>12</v>
      </c>
      <c r="Q4" t="s">
        <v>13</v>
      </c>
    </row>
    <row r="5" spans="1:17" x14ac:dyDescent="0.2">
      <c r="A5" t="s">
        <v>1</v>
      </c>
      <c r="C5" s="2">
        <v>210800</v>
      </c>
      <c r="E5" s="3">
        <v>4.2300000000000004</v>
      </c>
      <c r="K5" s="3">
        <f>E5</f>
        <v>4.2300000000000004</v>
      </c>
      <c r="M5" s="8">
        <f>C5*K5</f>
        <v>891684.00000000012</v>
      </c>
      <c r="N5" s="5"/>
      <c r="O5" s="8">
        <f>M5</f>
        <v>891684.00000000012</v>
      </c>
      <c r="Q5" s="3">
        <f>O5-M5</f>
        <v>0</v>
      </c>
    </row>
    <row r="6" spans="1:17" x14ac:dyDescent="0.2">
      <c r="C6" s="2"/>
      <c r="E6" s="3"/>
      <c r="G6" s="3"/>
      <c r="H6" s="2"/>
      <c r="K6" s="7" t="s">
        <v>21</v>
      </c>
      <c r="M6" s="9">
        <f>M5</f>
        <v>891684.00000000012</v>
      </c>
      <c r="N6" s="9"/>
      <c r="O6" s="9">
        <f>O5</f>
        <v>891684.00000000012</v>
      </c>
      <c r="Q6" s="3">
        <f>O6-M6</f>
        <v>0</v>
      </c>
    </row>
    <row r="7" spans="1:17" x14ac:dyDescent="0.2">
      <c r="C7" s="2"/>
      <c r="E7" s="3"/>
      <c r="G7" s="3"/>
      <c r="H7" s="2"/>
      <c r="N7" s="3"/>
      <c r="O7" s="3"/>
    </row>
    <row r="8" spans="1:17" x14ac:dyDescent="0.2">
      <c r="C8" s="2"/>
      <c r="E8" s="3"/>
      <c r="G8" s="3"/>
      <c r="H8" s="2"/>
      <c r="N8" s="3"/>
      <c r="O8" s="3"/>
    </row>
    <row r="9" spans="1:17" x14ac:dyDescent="0.2">
      <c r="A9" s="1" t="s">
        <v>2</v>
      </c>
      <c r="C9" s="2"/>
      <c r="E9" s="3" t="s">
        <v>4</v>
      </c>
      <c r="G9" s="3" t="s">
        <v>5</v>
      </c>
      <c r="H9" s="2"/>
      <c r="I9" t="s">
        <v>6</v>
      </c>
      <c r="K9" t="s">
        <v>7</v>
      </c>
      <c r="M9" t="s">
        <v>9</v>
      </c>
      <c r="N9" s="3"/>
      <c r="O9" s="3"/>
    </row>
    <row r="10" spans="1:17" x14ac:dyDescent="0.2">
      <c r="A10" t="s">
        <v>3</v>
      </c>
      <c r="C10" s="2">
        <v>155000</v>
      </c>
      <c r="E10" s="3">
        <v>2.5499999999999998</v>
      </c>
      <c r="G10" s="3">
        <v>2.39</v>
      </c>
      <c r="H10" s="2"/>
      <c r="I10">
        <v>2.2999999999999998</v>
      </c>
      <c r="K10" s="3">
        <f>E10-(G10-I10)</f>
        <v>2.4599999999999995</v>
      </c>
      <c r="M10" s="3">
        <f>C10*K10</f>
        <v>381299.99999999994</v>
      </c>
      <c r="N10" s="3"/>
      <c r="O10" s="3">
        <v>26143.85</v>
      </c>
      <c r="Q10" s="3">
        <f>O10-M10</f>
        <v>-355156.14999999997</v>
      </c>
    </row>
    <row r="11" spans="1:17" x14ac:dyDescent="0.2">
      <c r="C11" s="2"/>
      <c r="E11" s="3"/>
      <c r="G11" s="3"/>
      <c r="H11" s="2"/>
      <c r="N11" s="3"/>
      <c r="O11" s="3"/>
    </row>
    <row r="12" spans="1:17" x14ac:dyDescent="0.2">
      <c r="A12" t="s">
        <v>10</v>
      </c>
      <c r="C12" s="2">
        <v>124000</v>
      </c>
      <c r="E12" s="3">
        <v>2.5499999999999998</v>
      </c>
      <c r="G12" s="3">
        <v>2.39</v>
      </c>
      <c r="H12" s="2"/>
      <c r="I12">
        <v>2.33</v>
      </c>
      <c r="K12" s="3">
        <f>E12-(G12-I12)</f>
        <v>2.4899999999999998</v>
      </c>
      <c r="M12" s="3">
        <f>C12*K12</f>
        <v>308760</v>
      </c>
      <c r="N12" s="3"/>
      <c r="O12" s="3">
        <f>20915.08+292429.2</f>
        <v>313344.28000000003</v>
      </c>
      <c r="Q12" s="3">
        <f>O12-M12</f>
        <v>4584.2800000000279</v>
      </c>
    </row>
    <row r="13" spans="1:17" x14ac:dyDescent="0.2">
      <c r="C13" s="2"/>
      <c r="E13" s="3"/>
      <c r="G13" s="3"/>
      <c r="H13" s="2"/>
      <c r="N13" s="3"/>
      <c r="O13" s="3"/>
    </row>
    <row r="14" spans="1:17" x14ac:dyDescent="0.2">
      <c r="A14" t="s">
        <v>11</v>
      </c>
      <c r="C14" s="2">
        <v>93000</v>
      </c>
      <c r="E14" s="3">
        <v>2.5499999999999998</v>
      </c>
      <c r="G14" s="3">
        <v>2.39</v>
      </c>
      <c r="H14" s="2"/>
      <c r="I14" s="3">
        <v>2.3199999999999998</v>
      </c>
      <c r="K14" s="3">
        <f>E14-(G14-I14)</f>
        <v>2.4799999999999995</v>
      </c>
      <c r="M14" s="3">
        <f>C14*K14</f>
        <v>230639.99999999997</v>
      </c>
      <c r="N14" s="3"/>
      <c r="O14" s="3">
        <f>218391.9+15686.31</f>
        <v>234078.21</v>
      </c>
      <c r="Q14" s="3">
        <f>O14-M14</f>
        <v>3438.210000000021</v>
      </c>
    </row>
    <row r="15" spans="1:17" x14ac:dyDescent="0.2">
      <c r="C15" s="2"/>
      <c r="E15" s="3"/>
      <c r="G15" s="3"/>
      <c r="H15" s="2"/>
      <c r="N15" s="3"/>
      <c r="O15" s="3"/>
    </row>
    <row r="16" spans="1:17" x14ac:dyDescent="0.2">
      <c r="A16" t="s">
        <v>1</v>
      </c>
      <c r="C16" s="2">
        <v>93000</v>
      </c>
      <c r="E16" s="3">
        <v>2.5499999999999998</v>
      </c>
      <c r="G16" s="3">
        <v>2.39</v>
      </c>
      <c r="H16" s="2"/>
      <c r="I16" s="3">
        <v>2.27</v>
      </c>
      <c r="K16" s="3">
        <f>E16-(G16-I16)</f>
        <v>2.4299999999999997</v>
      </c>
      <c r="M16" s="8">
        <f>C16*K16</f>
        <v>225989.99999999997</v>
      </c>
      <c r="N16" s="8"/>
      <c r="O16" s="8">
        <f>220224+15686.31</f>
        <v>235910.31</v>
      </c>
      <c r="Q16" s="3">
        <f>O16-M16</f>
        <v>9920.3100000000268</v>
      </c>
    </row>
    <row r="17" spans="3:17" x14ac:dyDescent="0.2">
      <c r="C17" s="2"/>
      <c r="E17" s="3"/>
      <c r="G17" s="3"/>
      <c r="H17" s="2"/>
      <c r="K17" s="7" t="s">
        <v>20</v>
      </c>
      <c r="M17" s="9">
        <f>SUM(M10:M16)</f>
        <v>1146690</v>
      </c>
      <c r="N17" s="9"/>
      <c r="O17" s="9">
        <f>SUM(O10:O16)</f>
        <v>809476.64999999991</v>
      </c>
      <c r="Q17" s="3">
        <f>O17-M17</f>
        <v>-337213.35000000009</v>
      </c>
    </row>
    <row r="18" spans="3:17" x14ac:dyDescent="0.2">
      <c r="C18" s="2"/>
      <c r="E18" s="3"/>
      <c r="G18" s="3"/>
      <c r="H18" s="2"/>
      <c r="N18" s="3"/>
      <c r="O18" s="3"/>
    </row>
    <row r="19" spans="3:17" x14ac:dyDescent="0.2">
      <c r="C19" s="2"/>
      <c r="E19" s="3"/>
      <c r="G19" s="3"/>
      <c r="H19" s="2"/>
      <c r="K19" s="1" t="s">
        <v>22</v>
      </c>
      <c r="M19" s="3">
        <f>M5+M10+M12+M14+M16</f>
        <v>2038374</v>
      </c>
      <c r="N19" s="3"/>
      <c r="O19" s="3">
        <f>O5+O10+O12+O14+O16</f>
        <v>1701160.6500000001</v>
      </c>
      <c r="Q19" s="3">
        <f>O19-M19</f>
        <v>-337213.34999999986</v>
      </c>
    </row>
    <row r="20" spans="3:17" x14ac:dyDescent="0.2">
      <c r="C20" s="2"/>
      <c r="E20" s="3"/>
      <c r="G20" s="3"/>
      <c r="H20" s="2"/>
      <c r="N20" s="3"/>
      <c r="O20" s="3"/>
    </row>
    <row r="21" spans="3:17" x14ac:dyDescent="0.2">
      <c r="C21" s="2"/>
      <c r="E21" s="3"/>
      <c r="G21" s="3"/>
      <c r="H21" s="2"/>
      <c r="K21" s="11" t="s">
        <v>14</v>
      </c>
      <c r="M21" s="3"/>
      <c r="N21" s="3"/>
      <c r="O21" s="4">
        <v>1272099</v>
      </c>
      <c r="Q21" s="3"/>
    </row>
    <row r="22" spans="3:17" x14ac:dyDescent="0.2">
      <c r="C22" s="2"/>
      <c r="E22" s="3"/>
      <c r="G22" s="3"/>
      <c r="H22" s="2"/>
      <c r="K22" s="10"/>
      <c r="N22" s="3"/>
      <c r="O22" s="3"/>
    </row>
    <row r="23" spans="3:17" x14ac:dyDescent="0.2">
      <c r="C23" s="2"/>
      <c r="E23" s="3"/>
      <c r="G23" s="3"/>
      <c r="H23" s="2"/>
      <c r="K23" s="11" t="s">
        <v>15</v>
      </c>
      <c r="N23" s="3"/>
      <c r="O23" s="4">
        <f>O21-O19</f>
        <v>-429061.65000000014</v>
      </c>
    </row>
    <row r="24" spans="3:17" x14ac:dyDescent="0.2">
      <c r="C24" s="2"/>
      <c r="E24" s="3"/>
      <c r="G24" s="3"/>
      <c r="H24" s="2"/>
      <c r="N24" s="3"/>
      <c r="O24" s="3"/>
    </row>
    <row r="25" spans="3:17" x14ac:dyDescent="0.2">
      <c r="C25" s="2"/>
      <c r="E25" s="3"/>
      <c r="G25" s="3"/>
      <c r="H25" s="2"/>
      <c r="N25" s="3"/>
      <c r="O25" s="3"/>
    </row>
    <row r="26" spans="3:17" x14ac:dyDescent="0.2">
      <c r="C26" s="2"/>
      <c r="E26" s="3"/>
      <c r="G26" s="3"/>
      <c r="H26" s="2"/>
      <c r="N26" s="3"/>
      <c r="O26" s="3"/>
    </row>
    <row r="27" spans="3:17" x14ac:dyDescent="0.2">
      <c r="C27" s="2"/>
      <c r="E27" s="3"/>
      <c r="G27" s="3"/>
      <c r="H27" s="2"/>
    </row>
    <row r="28" spans="3:17" x14ac:dyDescent="0.2">
      <c r="C28" s="2"/>
      <c r="E28" s="3"/>
      <c r="G28" s="3"/>
      <c r="H28" s="2"/>
    </row>
    <row r="29" spans="3:17" x14ac:dyDescent="0.2">
      <c r="C29" s="2"/>
      <c r="E29" s="3"/>
      <c r="G29" s="3"/>
      <c r="H29" s="2"/>
    </row>
    <row r="30" spans="3:17" x14ac:dyDescent="0.2">
      <c r="C30" s="2"/>
      <c r="E30" s="3"/>
      <c r="G30" s="3"/>
      <c r="H30" s="2"/>
    </row>
    <row r="31" spans="3:17" x14ac:dyDescent="0.2">
      <c r="C31" s="2"/>
      <c r="E31" s="3"/>
      <c r="G31" s="3"/>
      <c r="H31" s="2"/>
    </row>
    <row r="32" spans="3:17" x14ac:dyDescent="0.2">
      <c r="C32" s="2"/>
      <c r="E32" s="3"/>
      <c r="G32" s="3"/>
      <c r="H32" s="2"/>
    </row>
    <row r="33" spans="3:8" x14ac:dyDescent="0.2">
      <c r="C33" s="2"/>
      <c r="E33" s="3"/>
      <c r="G33" s="3"/>
      <c r="H33" s="2"/>
    </row>
    <row r="34" spans="3:8" x14ac:dyDescent="0.2">
      <c r="C34" s="2"/>
      <c r="E34" s="3"/>
      <c r="G34" s="3"/>
      <c r="H34" s="2"/>
    </row>
    <row r="35" spans="3:8" x14ac:dyDescent="0.2">
      <c r="C35" s="2"/>
      <c r="E35" s="3"/>
      <c r="G35" s="3"/>
      <c r="H35" s="2"/>
    </row>
    <row r="36" spans="3:8" x14ac:dyDescent="0.2">
      <c r="C36" s="2"/>
      <c r="E36" s="3"/>
      <c r="G36" s="3"/>
      <c r="H36" s="2"/>
    </row>
    <row r="37" spans="3:8" x14ac:dyDescent="0.2">
      <c r="C37" s="2"/>
      <c r="E37" s="3"/>
      <c r="G37" s="3"/>
      <c r="H37" s="2"/>
    </row>
    <row r="38" spans="3:8" x14ac:dyDescent="0.2">
      <c r="C38" s="2"/>
      <c r="E38" s="3"/>
      <c r="G38" s="3"/>
      <c r="H38" s="2"/>
    </row>
    <row r="39" spans="3:8" x14ac:dyDescent="0.2">
      <c r="C39" s="2"/>
      <c r="E39" s="3"/>
      <c r="G39" s="3"/>
      <c r="H39" s="2"/>
    </row>
    <row r="40" spans="3:8" x14ac:dyDescent="0.2">
      <c r="C40" s="2"/>
      <c r="E40" s="3"/>
      <c r="G40" s="3"/>
      <c r="H40" s="2"/>
    </row>
    <row r="41" spans="3:8" x14ac:dyDescent="0.2">
      <c r="C41" s="2"/>
      <c r="E41" s="3"/>
      <c r="G41" s="3"/>
      <c r="H41" s="2"/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2.75" x14ac:dyDescent="0.2"/>
  <cols>
    <col min="1" max="1" width="18.7109375" bestFit="1" customWidth="1"/>
    <col min="2" max="2" width="13.42578125" bestFit="1" customWidth="1"/>
    <col min="3" max="3" width="4.7109375" customWidth="1"/>
    <col min="4" max="4" width="48.85546875" bestFit="1" customWidth="1"/>
    <col min="7" max="7" width="14.5703125" customWidth="1"/>
    <col min="8" max="8" width="24.85546875" customWidth="1"/>
  </cols>
  <sheetData>
    <row r="1" spans="1:4" x14ac:dyDescent="0.2">
      <c r="A1" s="1" t="s">
        <v>74</v>
      </c>
    </row>
    <row r="3" spans="1:4" x14ac:dyDescent="0.2">
      <c r="A3" t="s">
        <v>52</v>
      </c>
      <c r="B3" s="3">
        <f>'Invoice Rec'!$M$12+'Invoice Rec'!$M$14+'Invoice Rec'!$M$16+'Invoice Rec'!$M$5</f>
        <v>1657074</v>
      </c>
      <c r="D3" s="36" t="s">
        <v>58</v>
      </c>
    </row>
    <row r="4" spans="1:4" x14ac:dyDescent="0.2">
      <c r="B4" s="3"/>
      <c r="D4" s="36"/>
    </row>
    <row r="5" spans="1:4" x14ac:dyDescent="0.2">
      <c r="A5" t="s">
        <v>53</v>
      </c>
      <c r="B5" s="3">
        <f>1272099</f>
        <v>1272099</v>
      </c>
      <c r="D5" s="36" t="s">
        <v>59</v>
      </c>
    </row>
    <row r="6" spans="1:4" x14ac:dyDescent="0.2">
      <c r="B6" s="3"/>
      <c r="D6" s="36"/>
    </row>
    <row r="7" spans="1:4" x14ac:dyDescent="0.2">
      <c r="A7" t="s">
        <v>54</v>
      </c>
      <c r="B7" s="3">
        <f>B5-B3</f>
        <v>-384975</v>
      </c>
      <c r="D7" s="36" t="s">
        <v>60</v>
      </c>
    </row>
    <row r="8" spans="1:4" x14ac:dyDescent="0.2">
      <c r="B8" s="3"/>
      <c r="D8" s="36"/>
    </row>
    <row r="9" spans="1:4" x14ac:dyDescent="0.2">
      <c r="A9" t="s">
        <v>55</v>
      </c>
      <c r="B9" s="3">
        <v>384975</v>
      </c>
      <c r="D9" s="36" t="s">
        <v>61</v>
      </c>
    </row>
    <row r="10" spans="1:4" x14ac:dyDescent="0.2">
      <c r="B10" s="3"/>
      <c r="D10" s="36"/>
    </row>
    <row r="11" spans="1:4" x14ac:dyDescent="0.2">
      <c r="A11" t="s">
        <v>56</v>
      </c>
      <c r="B11" s="3">
        <f>B9+B7</f>
        <v>0</v>
      </c>
      <c r="D11" s="36" t="s">
        <v>62</v>
      </c>
    </row>
    <row r="12" spans="1:4" x14ac:dyDescent="0.2">
      <c r="B12" s="3"/>
      <c r="D12" s="36"/>
    </row>
    <row r="13" spans="1:4" x14ac:dyDescent="0.2">
      <c r="A13" t="s">
        <v>57</v>
      </c>
      <c r="B13" s="3">
        <v>381300</v>
      </c>
      <c r="D13" s="36" t="s">
        <v>63</v>
      </c>
    </row>
    <row r="14" spans="1:4" x14ac:dyDescent="0.2">
      <c r="B14" s="3"/>
      <c r="D14" s="36"/>
    </row>
    <row r="15" spans="1:4" x14ac:dyDescent="0.2">
      <c r="A15" t="s">
        <v>70</v>
      </c>
      <c r="B15" s="1" t="s">
        <v>71</v>
      </c>
      <c r="D15" s="36"/>
    </row>
    <row r="16" spans="1:4" x14ac:dyDescent="0.2">
      <c r="B16" s="3"/>
      <c r="D16" s="36"/>
    </row>
    <row r="17" spans="1:4" x14ac:dyDescent="0.2">
      <c r="A17" t="s">
        <v>69</v>
      </c>
      <c r="B17" s="4" t="s">
        <v>72</v>
      </c>
      <c r="D17" s="36" t="s">
        <v>73</v>
      </c>
    </row>
    <row r="18" spans="1:4" x14ac:dyDescent="0.2">
      <c r="B18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6" sqref="A16"/>
    </sheetView>
  </sheetViews>
  <sheetFormatPr defaultRowHeight="12.75" x14ac:dyDescent="0.2"/>
  <cols>
    <col min="1" max="1" width="12.85546875" customWidth="1"/>
    <col min="2" max="2" width="15.28515625" customWidth="1"/>
    <col min="3" max="3" width="10" style="22" customWidth="1"/>
    <col min="4" max="5" width="9.140625" style="23"/>
    <col min="6" max="6" width="12.42578125" style="23" customWidth="1"/>
    <col min="7" max="7" width="12.42578125" style="33" customWidth="1"/>
    <col min="8" max="8" width="10.42578125" style="23" customWidth="1"/>
    <col min="9" max="9" width="12.28515625" bestFit="1" customWidth="1"/>
  </cols>
  <sheetData>
    <row r="1" spans="1:9" x14ac:dyDescent="0.2">
      <c r="A1" s="29" t="s">
        <v>64</v>
      </c>
    </row>
    <row r="3" spans="1:9" ht="15.75" x14ac:dyDescent="0.25">
      <c r="A3" s="20" t="s">
        <v>39</v>
      </c>
      <c r="B3" s="21"/>
    </row>
    <row r="4" spans="1:9" ht="38.25" x14ac:dyDescent="0.2">
      <c r="A4" s="24" t="s">
        <v>40</v>
      </c>
      <c r="B4" s="24" t="s">
        <v>41</v>
      </c>
      <c r="C4" s="25" t="s">
        <v>42</v>
      </c>
      <c r="D4" s="26" t="s">
        <v>43</v>
      </c>
      <c r="E4" s="26" t="s">
        <v>67</v>
      </c>
      <c r="F4" s="26" t="s">
        <v>44</v>
      </c>
      <c r="G4" s="34" t="s">
        <v>68</v>
      </c>
      <c r="H4" s="27" t="s">
        <v>45</v>
      </c>
      <c r="I4" s="16" t="s">
        <v>46</v>
      </c>
    </row>
    <row r="6" spans="1:9" x14ac:dyDescent="0.2">
      <c r="A6" s="29" t="s">
        <v>47</v>
      </c>
      <c r="B6" s="29" t="s">
        <v>48</v>
      </c>
      <c r="C6" s="30">
        <v>120000</v>
      </c>
      <c r="D6" s="31">
        <v>2.46</v>
      </c>
      <c r="E6" s="33">
        <v>3.31</v>
      </c>
      <c r="F6" s="31">
        <v>3.3125</v>
      </c>
      <c r="G6" s="28">
        <f>F6/E6-1</f>
        <v>7.5528700906346558E-4</v>
      </c>
      <c r="H6" s="31">
        <f>+F6-D6</f>
        <v>0.85250000000000004</v>
      </c>
      <c r="I6" s="32">
        <f>+C6*H6</f>
        <v>102300</v>
      </c>
    </row>
    <row r="7" spans="1:9" x14ac:dyDescent="0.2">
      <c r="A7" s="29" t="s">
        <v>49</v>
      </c>
      <c r="B7" s="29" t="s">
        <v>50</v>
      </c>
      <c r="C7" s="30">
        <v>150000</v>
      </c>
      <c r="D7" s="31">
        <v>2.44</v>
      </c>
      <c r="E7" s="33">
        <v>3.29</v>
      </c>
      <c r="F7" s="31">
        <v>3.3344999999999998</v>
      </c>
      <c r="G7" s="28">
        <f>F7/E7-1</f>
        <v>1.3525835866261327E-2</v>
      </c>
      <c r="H7" s="31">
        <f>+F7-D7</f>
        <v>0.89449999999999985</v>
      </c>
      <c r="I7" s="32">
        <f>+C7*H7</f>
        <v>134174.99999999997</v>
      </c>
    </row>
    <row r="8" spans="1:9" x14ac:dyDescent="0.2">
      <c r="A8" s="29" t="s">
        <v>51</v>
      </c>
      <c r="B8" s="29" t="s">
        <v>50</v>
      </c>
      <c r="C8" s="30">
        <v>180000</v>
      </c>
      <c r="D8" s="31">
        <v>2.4550000000000001</v>
      </c>
      <c r="E8" s="33">
        <v>3.28</v>
      </c>
      <c r="F8" s="31">
        <v>3.28</v>
      </c>
      <c r="G8" s="28">
        <f>F8/E8-1</f>
        <v>0</v>
      </c>
      <c r="H8" s="31">
        <f>+F8-D8</f>
        <v>0.82499999999999973</v>
      </c>
      <c r="I8" s="32">
        <f>+C8*H8</f>
        <v>148499.99999999994</v>
      </c>
    </row>
    <row r="9" spans="1:9" x14ac:dyDescent="0.2">
      <c r="A9" s="29"/>
      <c r="B9" s="29"/>
      <c r="C9" s="30"/>
      <c r="D9" s="31"/>
      <c r="E9" s="33"/>
      <c r="F9" s="31"/>
      <c r="H9" s="31"/>
      <c r="I9" s="32"/>
    </row>
    <row r="10" spans="1:9" x14ac:dyDescent="0.2">
      <c r="A10" s="29"/>
      <c r="B10" s="29"/>
      <c r="C10" s="30"/>
      <c r="D10" s="31"/>
      <c r="E10" s="33"/>
      <c r="F10" s="31"/>
      <c r="H10" s="31"/>
      <c r="I10" s="32">
        <f>SUM(I6:I9)</f>
        <v>384974.99999999988</v>
      </c>
    </row>
    <row r="13" spans="1:9" x14ac:dyDescent="0.2">
      <c r="A13" t="s">
        <v>65</v>
      </c>
    </row>
    <row r="14" spans="1:9" x14ac:dyDescent="0.2">
      <c r="A14" t="s">
        <v>66</v>
      </c>
    </row>
    <row r="18" spans="7:7" x14ac:dyDescent="0.2">
      <c r="G18" s="35"/>
    </row>
    <row r="19" spans="7:7" x14ac:dyDescent="0.2">
      <c r="G19" s="35"/>
    </row>
    <row r="20" spans="7:7" x14ac:dyDescent="0.2">
      <c r="G20" s="3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4" sqref="G14"/>
    </sheetView>
  </sheetViews>
  <sheetFormatPr defaultRowHeight="12.75" x14ac:dyDescent="0.2"/>
  <cols>
    <col min="2" max="2" width="10.42578125" bestFit="1" customWidth="1"/>
    <col min="3" max="3" width="1.7109375" customWidth="1"/>
    <col min="5" max="6" width="12.85546875" bestFit="1" customWidth="1"/>
    <col min="7" max="7" width="13.28515625" bestFit="1" customWidth="1"/>
    <col min="8" max="8" width="12.85546875" bestFit="1" customWidth="1"/>
    <col min="12" max="12" width="13.42578125" bestFit="1" customWidth="1"/>
    <col min="13" max="13" width="3.5703125" customWidth="1"/>
    <col min="14" max="14" width="12.28515625" bestFit="1" customWidth="1"/>
    <col min="15" max="17" width="13.42578125" bestFit="1" customWidth="1"/>
  </cols>
  <sheetData>
    <row r="1" spans="1:17" x14ac:dyDescent="0.2">
      <c r="A1">
        <v>1</v>
      </c>
      <c r="B1">
        <f>A1+1</f>
        <v>2</v>
      </c>
      <c r="C1">
        <f t="shared" ref="C1:Q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</row>
    <row r="2" spans="1:17" x14ac:dyDescent="0.2">
      <c r="B2" t="s">
        <v>23</v>
      </c>
      <c r="L2" t="s">
        <v>24</v>
      </c>
    </row>
    <row r="3" spans="1:17" x14ac:dyDescent="0.2">
      <c r="B3" t="s">
        <v>0</v>
      </c>
      <c r="D3" t="s">
        <v>2</v>
      </c>
      <c r="L3" t="s">
        <v>0</v>
      </c>
      <c r="N3" t="s">
        <v>2</v>
      </c>
    </row>
    <row r="4" spans="1:17" x14ac:dyDescent="0.2">
      <c r="B4" t="s">
        <v>26</v>
      </c>
      <c r="D4" t="s">
        <v>26</v>
      </c>
      <c r="E4" t="s">
        <v>10</v>
      </c>
      <c r="F4" t="s">
        <v>3</v>
      </c>
      <c r="G4" t="s">
        <v>11</v>
      </c>
      <c r="H4" t="s">
        <v>1</v>
      </c>
      <c r="I4" t="s">
        <v>5</v>
      </c>
      <c r="L4" t="s">
        <v>11</v>
      </c>
      <c r="N4" t="s">
        <v>10</v>
      </c>
      <c r="O4" t="s">
        <v>3</v>
      </c>
      <c r="P4" t="s">
        <v>11</v>
      </c>
      <c r="Q4" t="s">
        <v>1</v>
      </c>
    </row>
    <row r="5" spans="1:17" x14ac:dyDescent="0.2">
      <c r="A5" s="12">
        <v>36892</v>
      </c>
      <c r="B5" s="3">
        <v>3.93</v>
      </c>
      <c r="C5" s="3"/>
      <c r="D5" s="3">
        <v>2.5499999999999998</v>
      </c>
      <c r="E5" s="3">
        <v>9.83</v>
      </c>
      <c r="F5" s="3">
        <v>9.92</v>
      </c>
      <c r="G5" s="3">
        <v>9.84</v>
      </c>
      <c r="H5" s="3">
        <v>9.7200000000000006</v>
      </c>
      <c r="I5" s="3">
        <v>9.91</v>
      </c>
      <c r="K5" s="12">
        <v>36892</v>
      </c>
      <c r="L5" s="2">
        <v>5100</v>
      </c>
      <c r="M5" s="2"/>
      <c r="N5" s="2">
        <v>4000</v>
      </c>
      <c r="O5" s="2">
        <v>5000</v>
      </c>
      <c r="P5" s="2">
        <v>3000</v>
      </c>
      <c r="Q5" s="2">
        <v>3000</v>
      </c>
    </row>
    <row r="6" spans="1:17" x14ac:dyDescent="0.2">
      <c r="A6" s="12">
        <v>36923</v>
      </c>
      <c r="B6" s="3">
        <v>3.93</v>
      </c>
      <c r="C6" s="3"/>
      <c r="D6" s="3">
        <v>2.5499999999999998</v>
      </c>
      <c r="E6" s="3">
        <v>6.12</v>
      </c>
      <c r="F6" s="3">
        <v>6.22</v>
      </c>
      <c r="G6" s="3">
        <v>6.13</v>
      </c>
      <c r="H6" s="3">
        <v>6.01</v>
      </c>
      <c r="I6" s="3">
        <v>6.22</v>
      </c>
      <c r="K6" s="12">
        <v>36923</v>
      </c>
      <c r="L6" s="2">
        <v>5100</v>
      </c>
      <c r="M6" s="2"/>
      <c r="N6" s="2">
        <v>4000</v>
      </c>
      <c r="O6" s="2">
        <v>5000</v>
      </c>
      <c r="P6" s="2">
        <v>3000</v>
      </c>
      <c r="Q6" s="2">
        <v>3000</v>
      </c>
    </row>
    <row r="7" spans="1:17" x14ac:dyDescent="0.2">
      <c r="A7" s="12">
        <v>36951</v>
      </c>
      <c r="B7" s="3">
        <v>3.93</v>
      </c>
      <c r="C7" s="3"/>
      <c r="D7" s="3">
        <v>2.5499999999999998</v>
      </c>
      <c r="E7" s="3">
        <v>4.9000000000000004</v>
      </c>
      <c r="F7" s="3">
        <v>5.01</v>
      </c>
      <c r="G7" s="3">
        <v>4.8600000000000003</v>
      </c>
      <c r="H7" s="3">
        <v>4.76</v>
      </c>
      <c r="I7" s="3">
        <v>5.03</v>
      </c>
      <c r="K7" s="12">
        <v>36951</v>
      </c>
      <c r="L7" s="2">
        <v>6800</v>
      </c>
      <c r="M7" s="2"/>
      <c r="N7" s="2">
        <v>4000</v>
      </c>
      <c r="O7" s="2">
        <v>5000</v>
      </c>
      <c r="P7" s="2">
        <v>3000</v>
      </c>
      <c r="Q7" s="2">
        <v>3000</v>
      </c>
    </row>
    <row r="8" spans="1:17" x14ac:dyDescent="0.2">
      <c r="A8" s="12">
        <v>36982</v>
      </c>
      <c r="B8" s="3">
        <v>3.93</v>
      </c>
      <c r="C8" s="3"/>
      <c r="D8" s="3">
        <v>2.5499999999999998</v>
      </c>
      <c r="E8" s="3">
        <v>5.29</v>
      </c>
      <c r="F8" s="3">
        <v>5.31</v>
      </c>
      <c r="G8" s="3">
        <v>5.29</v>
      </c>
      <c r="H8" s="3">
        <v>5.19</v>
      </c>
      <c r="I8" s="3">
        <v>5.35</v>
      </c>
      <c r="K8" s="12">
        <v>36982</v>
      </c>
      <c r="L8" s="2">
        <v>6800</v>
      </c>
      <c r="M8" s="2"/>
      <c r="N8" s="2">
        <v>4000</v>
      </c>
      <c r="O8" s="2">
        <v>5000</v>
      </c>
      <c r="P8" s="2">
        <v>3000</v>
      </c>
      <c r="Q8" s="2">
        <v>3000</v>
      </c>
    </row>
    <row r="9" spans="1:17" x14ac:dyDescent="0.2">
      <c r="A9" s="12">
        <v>37012</v>
      </c>
      <c r="B9" s="3">
        <v>3.93</v>
      </c>
      <c r="C9" s="3"/>
      <c r="D9" s="3">
        <v>2.5499999999999998</v>
      </c>
      <c r="E9" s="3">
        <v>4.7699999999999996</v>
      </c>
      <c r="F9" s="3">
        <v>4.82</v>
      </c>
      <c r="G9" s="3">
        <v>4.71</v>
      </c>
      <c r="H9" s="3">
        <v>4.74</v>
      </c>
      <c r="I9" s="3">
        <v>4.87</v>
      </c>
      <c r="K9" s="12">
        <v>37012</v>
      </c>
      <c r="L9" s="2">
        <v>6800</v>
      </c>
      <c r="M9" s="2"/>
      <c r="N9" s="2">
        <v>4000</v>
      </c>
      <c r="O9" s="2">
        <v>5000</v>
      </c>
      <c r="P9" s="2">
        <v>3000</v>
      </c>
      <c r="Q9" s="2">
        <v>3000</v>
      </c>
    </row>
    <row r="10" spans="1:17" x14ac:dyDescent="0.2">
      <c r="A10" s="12">
        <v>37043</v>
      </c>
      <c r="B10" s="3">
        <v>3.93</v>
      </c>
      <c r="C10" s="3"/>
      <c r="D10" s="3">
        <v>2.5499999999999998</v>
      </c>
      <c r="E10" s="3">
        <v>3.64</v>
      </c>
      <c r="F10" s="3">
        <v>3.65</v>
      </c>
      <c r="G10" s="3">
        <v>3.57</v>
      </c>
      <c r="H10" s="3">
        <v>3.63</v>
      </c>
      <c r="I10" s="3">
        <v>3.73</v>
      </c>
      <c r="K10" s="12">
        <v>37043</v>
      </c>
      <c r="L10" s="2">
        <v>6800</v>
      </c>
      <c r="M10" s="2"/>
      <c r="N10" s="2">
        <v>4000</v>
      </c>
      <c r="O10" s="2">
        <v>5000</v>
      </c>
      <c r="P10" s="2">
        <v>3000</v>
      </c>
      <c r="Q10" s="2">
        <v>3000</v>
      </c>
    </row>
    <row r="11" spans="1:17" x14ac:dyDescent="0.2">
      <c r="A11" s="12">
        <v>37073</v>
      </c>
      <c r="B11" s="3">
        <v>3.93</v>
      </c>
      <c r="C11" s="3"/>
      <c r="D11" s="3">
        <v>2.5499999999999998</v>
      </c>
      <c r="E11" s="3">
        <v>3.07</v>
      </c>
      <c r="F11" s="3">
        <v>3.05</v>
      </c>
      <c r="G11" s="3">
        <v>3.03</v>
      </c>
      <c r="H11" s="3">
        <v>3.1</v>
      </c>
      <c r="I11" s="3">
        <v>3.16</v>
      </c>
      <c r="K11" s="12">
        <v>37073</v>
      </c>
      <c r="L11" s="2">
        <v>6800</v>
      </c>
      <c r="M11" s="2"/>
      <c r="N11" s="2">
        <v>4000</v>
      </c>
      <c r="O11" s="2">
        <v>5000</v>
      </c>
      <c r="P11" s="2">
        <v>3000</v>
      </c>
      <c r="Q11" s="2">
        <v>3000</v>
      </c>
    </row>
    <row r="12" spans="1:17" x14ac:dyDescent="0.2">
      <c r="A12" s="12">
        <v>37104</v>
      </c>
      <c r="B12" s="3">
        <v>3.93</v>
      </c>
      <c r="C12" s="3"/>
      <c r="D12" s="3">
        <v>2.5499999999999998</v>
      </c>
      <c r="E12" s="3">
        <v>3.07</v>
      </c>
      <c r="F12" s="3">
        <v>3.08</v>
      </c>
      <c r="G12" s="3">
        <v>3.09</v>
      </c>
      <c r="H12" s="3">
        <v>3.06</v>
      </c>
      <c r="I12" s="3">
        <v>3.19</v>
      </c>
      <c r="K12" s="12">
        <v>37104</v>
      </c>
      <c r="L12" s="2">
        <v>6800</v>
      </c>
      <c r="M12" s="2"/>
      <c r="N12" s="2">
        <v>4000</v>
      </c>
      <c r="O12" s="2">
        <v>5000</v>
      </c>
      <c r="P12" s="2">
        <v>3000</v>
      </c>
      <c r="Q12" s="2">
        <v>3000</v>
      </c>
    </row>
    <row r="13" spans="1:17" x14ac:dyDescent="0.2">
      <c r="A13" s="12">
        <v>37135</v>
      </c>
      <c r="B13" s="3">
        <v>3.93</v>
      </c>
      <c r="C13" s="3"/>
      <c r="D13" s="3">
        <v>2.5499999999999998</v>
      </c>
      <c r="E13" s="3">
        <v>2.2200000000000002</v>
      </c>
      <c r="F13" s="3">
        <v>2.2400000000000002</v>
      </c>
      <c r="G13" s="3">
        <v>2.2400000000000002</v>
      </c>
      <c r="H13" s="3">
        <v>2.21</v>
      </c>
      <c r="I13" s="3">
        <v>2.34</v>
      </c>
      <c r="K13" s="12">
        <v>37135</v>
      </c>
      <c r="L13" s="2">
        <v>6800</v>
      </c>
      <c r="M13" s="2"/>
      <c r="N13" s="2">
        <v>4000</v>
      </c>
      <c r="O13" s="2">
        <v>5000</v>
      </c>
      <c r="P13" s="2">
        <v>3000</v>
      </c>
      <c r="Q13" s="2">
        <v>3000</v>
      </c>
    </row>
    <row r="14" spans="1:17" x14ac:dyDescent="0.2">
      <c r="A14" s="12">
        <v>37165</v>
      </c>
      <c r="B14" s="3">
        <v>3.93</v>
      </c>
      <c r="C14" s="3"/>
      <c r="D14" s="3">
        <v>2.5499999999999998</v>
      </c>
      <c r="E14" s="3">
        <v>1.74</v>
      </c>
      <c r="F14" s="3">
        <v>1.75</v>
      </c>
      <c r="G14" s="3">
        <v>1.74</v>
      </c>
      <c r="H14" s="3">
        <v>1.73</v>
      </c>
      <c r="I14" s="3">
        <v>1.86</v>
      </c>
      <c r="K14" s="12">
        <v>37165</v>
      </c>
      <c r="L14" s="2">
        <v>6800</v>
      </c>
      <c r="M14" s="2"/>
      <c r="N14" s="2">
        <v>4000</v>
      </c>
      <c r="O14" s="2">
        <v>5000</v>
      </c>
      <c r="P14" s="2">
        <v>3000</v>
      </c>
      <c r="Q14" s="2">
        <v>3000</v>
      </c>
    </row>
    <row r="15" spans="1:17" x14ac:dyDescent="0.2">
      <c r="A15" s="12">
        <v>37196</v>
      </c>
      <c r="B15" s="3">
        <v>3.93</v>
      </c>
      <c r="C15" s="3"/>
      <c r="D15" s="3">
        <v>2.5499999999999998</v>
      </c>
      <c r="E15" s="3">
        <v>3.07</v>
      </c>
      <c r="F15" s="3">
        <v>3.05</v>
      </c>
      <c r="G15" s="3">
        <v>3.08</v>
      </c>
      <c r="H15" s="3">
        <v>3.03</v>
      </c>
      <c r="I15" s="3">
        <v>3.16</v>
      </c>
      <c r="K15" s="12">
        <v>37196</v>
      </c>
      <c r="L15" s="2">
        <v>6800</v>
      </c>
      <c r="M15" s="2"/>
      <c r="N15" s="2">
        <v>4000</v>
      </c>
      <c r="O15" s="2">
        <v>5000</v>
      </c>
      <c r="P15" s="2">
        <v>3000</v>
      </c>
      <c r="Q15" s="2">
        <v>3000</v>
      </c>
    </row>
    <row r="16" spans="1:17" x14ac:dyDescent="0.2">
      <c r="A16" s="12">
        <v>37226</v>
      </c>
      <c r="B16" s="3">
        <v>3.93</v>
      </c>
      <c r="C16" s="3"/>
      <c r="D16" s="3">
        <v>2.5499999999999998</v>
      </c>
      <c r="E16" s="3">
        <v>2.2200000000000002</v>
      </c>
      <c r="F16" s="3">
        <v>2.2400000000000002</v>
      </c>
      <c r="G16" s="3">
        <v>2.23</v>
      </c>
      <c r="H16" s="3">
        <v>2.2000000000000002</v>
      </c>
      <c r="I16" s="3">
        <v>2.2799999999999998</v>
      </c>
      <c r="K16" s="12">
        <v>37226</v>
      </c>
      <c r="L16" s="2">
        <v>5100</v>
      </c>
      <c r="M16" s="2"/>
      <c r="N16" s="2">
        <v>4000</v>
      </c>
      <c r="O16" s="2">
        <v>5000</v>
      </c>
      <c r="P16" s="2">
        <v>3000</v>
      </c>
      <c r="Q16" s="2">
        <v>3000</v>
      </c>
    </row>
    <row r="17" spans="1:17" x14ac:dyDescent="0.2">
      <c r="A17" s="12">
        <v>37257</v>
      </c>
      <c r="B17" s="3">
        <v>4.2300000000000004</v>
      </c>
      <c r="C17" s="3"/>
      <c r="D17" s="3">
        <v>2.5499999999999998</v>
      </c>
      <c r="E17" s="3">
        <v>2.5</v>
      </c>
      <c r="F17" s="3">
        <v>2.5099999999999998</v>
      </c>
      <c r="G17" s="3">
        <v>2.4900000000000002</v>
      </c>
      <c r="H17" s="3">
        <v>2.4700000000000002</v>
      </c>
      <c r="I17" s="3">
        <v>2.61</v>
      </c>
      <c r="K17" s="12">
        <v>37257</v>
      </c>
      <c r="L17" s="2">
        <v>5100</v>
      </c>
      <c r="M17" s="2"/>
      <c r="N17" s="2">
        <v>4000</v>
      </c>
      <c r="O17" s="2">
        <v>5000</v>
      </c>
      <c r="P17" s="2">
        <v>3000</v>
      </c>
      <c r="Q17" s="2">
        <v>3000</v>
      </c>
    </row>
    <row r="18" spans="1:17" x14ac:dyDescent="0.2">
      <c r="A18" s="12">
        <v>37288</v>
      </c>
      <c r="B18" s="3">
        <v>4.2300000000000004</v>
      </c>
      <c r="C18" s="3"/>
      <c r="D18" s="3">
        <v>2.5499999999999998</v>
      </c>
      <c r="E18" s="3">
        <v>1.94</v>
      </c>
      <c r="F18" s="3">
        <v>1.9</v>
      </c>
      <c r="G18" s="3">
        <v>1.93</v>
      </c>
      <c r="H18" s="3">
        <v>1.89</v>
      </c>
      <c r="I18" s="3">
        <v>2.0299999999999998</v>
      </c>
      <c r="K18" s="12">
        <v>37288</v>
      </c>
      <c r="L18" s="2">
        <v>5100</v>
      </c>
      <c r="M18" s="2"/>
      <c r="N18" s="2">
        <v>4000</v>
      </c>
      <c r="O18" s="2">
        <v>5000</v>
      </c>
      <c r="P18" s="2">
        <v>3000</v>
      </c>
      <c r="Q18" s="2">
        <v>3000</v>
      </c>
    </row>
    <row r="19" spans="1:17" x14ac:dyDescent="0.2">
      <c r="A19" s="12">
        <v>37316</v>
      </c>
      <c r="B19" s="3">
        <v>4.2300000000000004</v>
      </c>
      <c r="C19" s="3"/>
      <c r="D19" s="3">
        <v>2.5499999999999998</v>
      </c>
      <c r="E19" s="3">
        <v>2.33</v>
      </c>
      <c r="F19" s="3">
        <v>2.2999999999999998</v>
      </c>
      <c r="G19" s="3">
        <v>2.3199999999999998</v>
      </c>
      <c r="H19" s="3">
        <v>2.27</v>
      </c>
      <c r="I19" s="3">
        <v>2.39</v>
      </c>
      <c r="K19" s="12">
        <v>37316</v>
      </c>
      <c r="L19" s="2">
        <v>6800</v>
      </c>
      <c r="M19" s="2"/>
      <c r="N19" s="2">
        <v>4000</v>
      </c>
      <c r="O19" s="2">
        <v>5000</v>
      </c>
      <c r="P19" s="2">
        <v>3000</v>
      </c>
      <c r="Q19" s="2">
        <v>3000</v>
      </c>
    </row>
    <row r="20" spans="1:17" x14ac:dyDescent="0.2">
      <c r="A20" s="12">
        <v>37347</v>
      </c>
      <c r="B20" s="3">
        <v>4.2300000000000004</v>
      </c>
      <c r="C20" s="3"/>
      <c r="D20" s="3">
        <v>2.5499999999999998</v>
      </c>
      <c r="E20" s="3">
        <v>3.31</v>
      </c>
      <c r="F20" s="3">
        <v>3.29</v>
      </c>
      <c r="G20" s="3">
        <v>3.33</v>
      </c>
      <c r="H20" s="3">
        <v>3.28</v>
      </c>
      <c r="I20" s="3">
        <v>3.4</v>
      </c>
      <c r="K20" s="12">
        <v>37347</v>
      </c>
      <c r="L20" s="2">
        <v>6800</v>
      </c>
      <c r="M20" s="2"/>
      <c r="N20" s="2">
        <v>4000</v>
      </c>
      <c r="O20" s="2">
        <v>5000</v>
      </c>
      <c r="P20" s="2">
        <v>3000</v>
      </c>
      <c r="Q20" s="2">
        <v>3000</v>
      </c>
    </row>
    <row r="21" spans="1:17" x14ac:dyDescent="0.2">
      <c r="A21" s="12"/>
      <c r="B21" s="12"/>
      <c r="C21" s="12"/>
      <c r="D21" s="12"/>
      <c r="E21" s="3"/>
      <c r="F21" s="3"/>
      <c r="G21" s="3"/>
      <c r="H21" s="3"/>
      <c r="I21" s="3"/>
      <c r="L21" s="2"/>
      <c r="M21" s="2"/>
    </row>
    <row r="22" spans="1:17" x14ac:dyDescent="0.2">
      <c r="A22" s="12"/>
      <c r="B22" s="12"/>
      <c r="C22" s="12"/>
      <c r="D22" s="12"/>
      <c r="E22" s="3"/>
      <c r="F22" s="3"/>
      <c r="G22" s="3"/>
      <c r="H22" s="3"/>
      <c r="I22" s="3"/>
      <c r="L22" s="2"/>
      <c r="M22" s="2"/>
    </row>
    <row r="23" spans="1:17" x14ac:dyDescent="0.2">
      <c r="A23" s="12"/>
      <c r="B23" s="12"/>
      <c r="C23" s="12"/>
      <c r="D23" s="12"/>
      <c r="E23" s="3"/>
      <c r="F23" s="3"/>
      <c r="G23" s="3"/>
      <c r="H23" s="3"/>
      <c r="I23" s="3"/>
      <c r="L23" s="2"/>
      <c r="M23" s="2"/>
    </row>
    <row r="24" spans="1:17" x14ac:dyDescent="0.2">
      <c r="A24" s="12"/>
      <c r="B24" s="12"/>
      <c r="C24" s="12"/>
      <c r="D24" s="12"/>
      <c r="E24" s="3"/>
      <c r="F24" s="3"/>
      <c r="G24" s="3"/>
      <c r="H24" s="3"/>
      <c r="I24" s="3"/>
      <c r="L24" s="2"/>
      <c r="M24" s="2"/>
    </row>
    <row r="25" spans="1:17" x14ac:dyDescent="0.2">
      <c r="A25" s="12"/>
      <c r="B25" s="12"/>
      <c r="C25" s="12"/>
      <c r="D25" s="12"/>
      <c r="E25" s="3"/>
      <c r="F25" s="3"/>
      <c r="G25" s="3"/>
      <c r="H25" s="3"/>
      <c r="I25" s="3"/>
      <c r="L25" s="2"/>
      <c r="M25" s="2"/>
    </row>
    <row r="26" spans="1:17" x14ac:dyDescent="0.2">
      <c r="A26" s="12"/>
      <c r="B26" s="12"/>
      <c r="C26" s="12"/>
      <c r="D26" s="12"/>
      <c r="E26" s="3"/>
      <c r="F26" s="3"/>
      <c r="G26" s="3"/>
      <c r="H26" s="3"/>
      <c r="I26" s="3"/>
    </row>
    <row r="27" spans="1:17" x14ac:dyDescent="0.2">
      <c r="A27" s="12"/>
      <c r="B27" s="12"/>
      <c r="C27" s="12"/>
      <c r="D27" s="12"/>
      <c r="E27" s="3"/>
      <c r="F27" s="3"/>
      <c r="G27" s="3"/>
      <c r="H27" s="3"/>
      <c r="I27" s="3"/>
    </row>
    <row r="28" spans="1:17" x14ac:dyDescent="0.2">
      <c r="E28" s="3"/>
      <c r="F28" s="3"/>
      <c r="G28" s="3"/>
      <c r="H28" s="3"/>
      <c r="I28" s="3"/>
    </row>
    <row r="29" spans="1:17" x14ac:dyDescent="0.2">
      <c r="E29" s="3"/>
      <c r="F29" s="3"/>
      <c r="G29" s="3"/>
      <c r="H29" s="3"/>
      <c r="I29" s="3"/>
    </row>
    <row r="30" spans="1:17" x14ac:dyDescent="0.2">
      <c r="E30" s="3"/>
      <c r="F30" s="3"/>
      <c r="G30" s="3"/>
      <c r="H30" s="3"/>
      <c r="I30" s="3"/>
    </row>
    <row r="31" spans="1:17" x14ac:dyDescent="0.2">
      <c r="E31" s="3"/>
      <c r="F31" s="3"/>
      <c r="G31" s="3"/>
      <c r="H31" s="3"/>
      <c r="I31" s="3"/>
    </row>
    <row r="32" spans="1:17" x14ac:dyDescent="0.2">
      <c r="E32" s="3"/>
      <c r="F32" s="3"/>
      <c r="G32" s="3"/>
      <c r="H32" s="3"/>
      <c r="I32" s="3"/>
    </row>
    <row r="33" spans="5:9" x14ac:dyDescent="0.2">
      <c r="E33" s="3"/>
      <c r="F33" s="3"/>
      <c r="G33" s="3"/>
      <c r="H33" s="3"/>
      <c r="I33" s="3"/>
    </row>
    <row r="34" spans="5:9" x14ac:dyDescent="0.2">
      <c r="E34" s="3"/>
      <c r="F34" s="3"/>
      <c r="G34" s="3"/>
      <c r="H34" s="3"/>
      <c r="I34" s="3"/>
    </row>
    <row r="35" spans="5:9" x14ac:dyDescent="0.2">
      <c r="E35" s="3"/>
      <c r="F35" s="3"/>
      <c r="G35" s="3"/>
      <c r="H35" s="3"/>
      <c r="I35" s="3"/>
    </row>
    <row r="36" spans="5:9" x14ac:dyDescent="0.2">
      <c r="E36" s="3"/>
      <c r="F36" s="3"/>
      <c r="G36" s="3"/>
      <c r="H36" s="3"/>
      <c r="I36" s="3"/>
    </row>
    <row r="37" spans="5:9" x14ac:dyDescent="0.2">
      <c r="E37" s="3"/>
      <c r="F37" s="3"/>
      <c r="G37" s="3"/>
      <c r="H37" s="3"/>
      <c r="I37" s="3"/>
    </row>
    <row r="38" spans="5:9" x14ac:dyDescent="0.2">
      <c r="E38" s="3"/>
      <c r="F38" s="3"/>
      <c r="G38" s="3"/>
      <c r="H38" s="3"/>
      <c r="I38" s="3"/>
    </row>
    <row r="39" spans="5:9" x14ac:dyDescent="0.2">
      <c r="E39" s="3"/>
      <c r="F39" s="3"/>
      <c r="G39" s="3"/>
      <c r="H39" s="3"/>
      <c r="I39" s="3"/>
    </row>
    <row r="40" spans="5:9" x14ac:dyDescent="0.2">
      <c r="E40" s="3"/>
      <c r="F40" s="3"/>
      <c r="G40" s="3"/>
      <c r="H40" s="3"/>
      <c r="I40" s="3"/>
    </row>
    <row r="41" spans="5:9" x14ac:dyDescent="0.2">
      <c r="E41" s="3"/>
      <c r="F41" s="3"/>
      <c r="G41" s="3"/>
      <c r="H41" s="3"/>
      <c r="I41" s="3"/>
    </row>
    <row r="42" spans="5:9" x14ac:dyDescent="0.2">
      <c r="E42" s="3"/>
      <c r="F42" s="3"/>
      <c r="G42" s="3"/>
      <c r="H42" s="3"/>
      <c r="I42" s="3"/>
    </row>
    <row r="43" spans="5:9" x14ac:dyDescent="0.2">
      <c r="E43" s="3"/>
      <c r="F43" s="3"/>
      <c r="G43" s="3"/>
      <c r="H43" s="3"/>
      <c r="I43" s="3"/>
    </row>
    <row r="44" spans="5:9" x14ac:dyDescent="0.2">
      <c r="E44" s="3"/>
      <c r="F44" s="3"/>
      <c r="G44" s="3"/>
      <c r="H44" s="3"/>
      <c r="I44" s="3"/>
    </row>
    <row r="45" spans="5:9" x14ac:dyDescent="0.2">
      <c r="E45" s="3"/>
      <c r="F45" s="3"/>
      <c r="G45" s="3"/>
      <c r="H45" s="3"/>
      <c r="I45" s="3"/>
    </row>
    <row r="46" spans="5:9" x14ac:dyDescent="0.2">
      <c r="E46" s="3"/>
      <c r="F46" s="3"/>
      <c r="G46" s="3"/>
      <c r="H46" s="3"/>
      <c r="I46" s="3"/>
    </row>
    <row r="47" spans="5:9" x14ac:dyDescent="0.2">
      <c r="E47" s="3"/>
      <c r="F47" s="3"/>
      <c r="G47" s="3"/>
      <c r="H47" s="3"/>
      <c r="I47" s="3"/>
    </row>
    <row r="48" spans="5:9" x14ac:dyDescent="0.2">
      <c r="E48" s="3"/>
      <c r="F48" s="3"/>
      <c r="G48" s="3"/>
      <c r="H48" s="3"/>
      <c r="I48" s="3"/>
    </row>
    <row r="49" spans="5:9" x14ac:dyDescent="0.2">
      <c r="E49" s="3"/>
      <c r="F49" s="3"/>
      <c r="G49" s="3"/>
      <c r="H49" s="3"/>
      <c r="I49" s="3"/>
    </row>
    <row r="50" spans="5:9" x14ac:dyDescent="0.2">
      <c r="E50" s="3"/>
      <c r="F50" s="3"/>
      <c r="G50" s="3"/>
      <c r="H50" s="3"/>
      <c r="I50" s="3"/>
    </row>
    <row r="51" spans="5:9" x14ac:dyDescent="0.2">
      <c r="E51" s="3"/>
      <c r="F51" s="3"/>
      <c r="G51" s="3"/>
      <c r="H51" s="3"/>
      <c r="I51" s="3"/>
    </row>
    <row r="52" spans="5:9" x14ac:dyDescent="0.2">
      <c r="E52" s="3"/>
      <c r="F52" s="3"/>
      <c r="G52" s="3"/>
      <c r="H52" s="3"/>
      <c r="I52" s="3"/>
    </row>
    <row r="53" spans="5:9" x14ac:dyDescent="0.2">
      <c r="E53" s="3"/>
      <c r="F53" s="3"/>
      <c r="G53" s="3"/>
      <c r="H53" s="3"/>
      <c r="I53" s="3"/>
    </row>
    <row r="54" spans="5:9" x14ac:dyDescent="0.2">
      <c r="E54" s="3"/>
      <c r="F54" s="3"/>
      <c r="G54" s="3"/>
      <c r="H54" s="3"/>
      <c r="I54" s="3"/>
    </row>
    <row r="55" spans="5:9" x14ac:dyDescent="0.2">
      <c r="E55" s="3"/>
      <c r="F55" s="3"/>
      <c r="G55" s="3"/>
      <c r="H55" s="3"/>
      <c r="I55" s="3"/>
    </row>
    <row r="56" spans="5:9" x14ac:dyDescent="0.2">
      <c r="E56" s="3"/>
      <c r="F56" s="3"/>
      <c r="G56" s="3"/>
      <c r="H56" s="3"/>
      <c r="I56" s="3"/>
    </row>
    <row r="57" spans="5:9" x14ac:dyDescent="0.2">
      <c r="E57" s="3"/>
      <c r="F57" s="3"/>
      <c r="G57" s="3"/>
      <c r="H57" s="3"/>
      <c r="I57" s="3"/>
    </row>
    <row r="58" spans="5:9" x14ac:dyDescent="0.2">
      <c r="E58" s="3"/>
      <c r="F58" s="3"/>
      <c r="G58" s="3"/>
      <c r="H58" s="3"/>
      <c r="I58" s="3"/>
    </row>
    <row r="59" spans="5:9" x14ac:dyDescent="0.2">
      <c r="E59" s="3"/>
      <c r="F59" s="3"/>
      <c r="G59" s="3"/>
      <c r="H59" s="3"/>
      <c r="I59" s="3"/>
    </row>
    <row r="60" spans="5:9" x14ac:dyDescent="0.2">
      <c r="E60" s="3"/>
      <c r="F60" s="3"/>
      <c r="G60" s="3"/>
      <c r="H60" s="3"/>
      <c r="I60" s="3"/>
    </row>
    <row r="61" spans="5:9" x14ac:dyDescent="0.2">
      <c r="E61" s="3"/>
      <c r="F61" s="3"/>
      <c r="G61" s="3"/>
      <c r="H61" s="3"/>
      <c r="I61" s="3"/>
    </row>
    <row r="62" spans="5:9" x14ac:dyDescent="0.2">
      <c r="E62" s="3"/>
      <c r="F62" s="3"/>
      <c r="G62" s="3"/>
      <c r="H62" s="3"/>
      <c r="I62" s="3"/>
    </row>
    <row r="63" spans="5:9" x14ac:dyDescent="0.2">
      <c r="E63" s="3"/>
      <c r="F63" s="3"/>
      <c r="G63" s="3"/>
      <c r="H63" s="3"/>
      <c r="I63" s="3"/>
    </row>
    <row r="64" spans="5:9" x14ac:dyDescent="0.2">
      <c r="E64" s="3"/>
      <c r="F64" s="3"/>
      <c r="G64" s="3"/>
      <c r="H64" s="3"/>
      <c r="I64" s="3"/>
    </row>
    <row r="65" spans="5:9" x14ac:dyDescent="0.2">
      <c r="E65" s="3"/>
      <c r="F65" s="3"/>
      <c r="G65" s="3"/>
      <c r="H65" s="3"/>
      <c r="I65" s="3"/>
    </row>
    <row r="66" spans="5:9" x14ac:dyDescent="0.2">
      <c r="E66" s="3"/>
      <c r="F66" s="3"/>
      <c r="G66" s="3"/>
      <c r="H66" s="3"/>
      <c r="I66" s="3"/>
    </row>
    <row r="67" spans="5:9" x14ac:dyDescent="0.2">
      <c r="E67" s="3"/>
      <c r="F67" s="3"/>
      <c r="G67" s="3"/>
      <c r="H67" s="3"/>
      <c r="I67" s="3"/>
    </row>
    <row r="68" spans="5:9" x14ac:dyDescent="0.2">
      <c r="E68" s="3"/>
      <c r="F68" s="3"/>
      <c r="G68" s="3"/>
      <c r="H68" s="3"/>
      <c r="I68" s="3"/>
    </row>
    <row r="69" spans="5:9" x14ac:dyDescent="0.2">
      <c r="E69" s="3"/>
      <c r="F69" s="3"/>
      <c r="G69" s="3"/>
      <c r="H69" s="3"/>
      <c r="I69" s="3"/>
    </row>
    <row r="70" spans="5:9" x14ac:dyDescent="0.2">
      <c r="E70" s="3"/>
      <c r="F70" s="3"/>
      <c r="G70" s="3"/>
      <c r="H70" s="3"/>
      <c r="I70" s="3"/>
    </row>
    <row r="71" spans="5:9" x14ac:dyDescent="0.2">
      <c r="E71" s="3"/>
      <c r="F71" s="3"/>
      <c r="G71" s="3"/>
      <c r="H71" s="3"/>
      <c r="I71" s="3"/>
    </row>
    <row r="72" spans="5:9" x14ac:dyDescent="0.2">
      <c r="E72" s="3"/>
      <c r="F72" s="3"/>
      <c r="G72" s="3"/>
      <c r="H72" s="3"/>
      <c r="I72" s="3"/>
    </row>
    <row r="73" spans="5:9" x14ac:dyDescent="0.2">
      <c r="E73" s="3"/>
      <c r="F73" s="3"/>
      <c r="G73" s="3"/>
      <c r="H73" s="3"/>
      <c r="I73" s="3"/>
    </row>
    <row r="74" spans="5:9" x14ac:dyDescent="0.2">
      <c r="E74" s="3"/>
      <c r="F74" s="3"/>
      <c r="G74" s="3"/>
      <c r="H74" s="3"/>
      <c r="I74" s="3"/>
    </row>
    <row r="75" spans="5:9" x14ac:dyDescent="0.2">
      <c r="E75" s="3"/>
      <c r="F75" s="3"/>
      <c r="G75" s="3"/>
      <c r="H75" s="3"/>
      <c r="I75" s="3"/>
    </row>
    <row r="76" spans="5:9" x14ac:dyDescent="0.2">
      <c r="E76" s="3"/>
      <c r="F76" s="3"/>
      <c r="G76" s="3"/>
      <c r="H76" s="3"/>
      <c r="I76" s="3"/>
    </row>
    <row r="77" spans="5:9" x14ac:dyDescent="0.2">
      <c r="E77" s="3"/>
      <c r="F77" s="3"/>
      <c r="G77" s="3"/>
      <c r="H77" s="3"/>
      <c r="I77" s="3"/>
    </row>
    <row r="78" spans="5:9" x14ac:dyDescent="0.2">
      <c r="E78" s="3"/>
      <c r="F78" s="3"/>
      <c r="G78" s="3"/>
      <c r="H78" s="3"/>
      <c r="I78" s="3"/>
    </row>
    <row r="79" spans="5:9" x14ac:dyDescent="0.2">
      <c r="E79" s="3"/>
      <c r="F79" s="3"/>
      <c r="G79" s="3"/>
      <c r="H79" s="3"/>
      <c r="I79" s="3"/>
    </row>
    <row r="80" spans="5:9" x14ac:dyDescent="0.2">
      <c r="E80" s="3"/>
      <c r="F80" s="3"/>
      <c r="G80" s="3"/>
      <c r="H80" s="3"/>
      <c r="I80" s="3"/>
    </row>
    <row r="81" spans="5:9" x14ac:dyDescent="0.2">
      <c r="E81" s="3"/>
      <c r="F81" s="3"/>
      <c r="G81" s="3"/>
      <c r="H81" s="3"/>
      <c r="I81" s="3"/>
    </row>
    <row r="82" spans="5:9" x14ac:dyDescent="0.2">
      <c r="E82" s="3"/>
      <c r="F82" s="3"/>
      <c r="G82" s="3"/>
      <c r="H82" s="3"/>
      <c r="I82" s="3"/>
    </row>
    <row r="83" spans="5:9" x14ac:dyDescent="0.2">
      <c r="E83" s="3"/>
      <c r="F83" s="3"/>
      <c r="G83" s="3"/>
      <c r="H83" s="3"/>
      <c r="I83" s="3"/>
    </row>
    <row r="84" spans="5:9" x14ac:dyDescent="0.2">
      <c r="E84" s="3"/>
      <c r="F84" s="3"/>
      <c r="G84" s="3"/>
      <c r="H84" s="3"/>
      <c r="I84" s="3"/>
    </row>
    <row r="85" spans="5:9" x14ac:dyDescent="0.2">
      <c r="E85" s="3"/>
      <c r="F85" s="3"/>
      <c r="G85" s="3"/>
      <c r="H85" s="3"/>
      <c r="I85" s="3"/>
    </row>
    <row r="86" spans="5:9" x14ac:dyDescent="0.2">
      <c r="E86" s="3"/>
      <c r="F86" s="3"/>
      <c r="G86" s="3"/>
      <c r="H86" s="3"/>
      <c r="I86" s="3"/>
    </row>
    <row r="87" spans="5:9" x14ac:dyDescent="0.2">
      <c r="E87" s="3"/>
      <c r="F87" s="3"/>
      <c r="G87" s="3"/>
      <c r="H87" s="3"/>
      <c r="I87" s="3"/>
    </row>
    <row r="88" spans="5:9" x14ac:dyDescent="0.2">
      <c r="E88" s="3"/>
      <c r="F88" s="3"/>
      <c r="G88" s="3"/>
      <c r="H88" s="3"/>
      <c r="I88" s="3"/>
    </row>
    <row r="89" spans="5:9" x14ac:dyDescent="0.2">
      <c r="E89" s="3"/>
      <c r="F89" s="3"/>
      <c r="G89" s="3"/>
      <c r="H89" s="3"/>
      <c r="I89" s="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RowHeight="12.75" x14ac:dyDescent="0.2"/>
  <cols>
    <col min="2" max="2" width="5.7109375" customWidth="1"/>
    <col min="3" max="3" width="2.28515625" customWidth="1"/>
    <col min="4" max="4" width="9.42578125" bestFit="1" customWidth="1"/>
    <col min="5" max="5" width="9.28515625" customWidth="1"/>
    <col min="6" max="6" width="9.28515625" bestFit="1" customWidth="1"/>
    <col min="7" max="7" width="11.28515625" bestFit="1" customWidth="1"/>
    <col min="8" max="8" width="2.85546875" customWidth="1"/>
    <col min="9" max="9" width="8.140625" customWidth="1"/>
    <col min="10" max="10" width="9.28515625" bestFit="1" customWidth="1"/>
    <col min="11" max="11" width="2.42578125" customWidth="1"/>
    <col min="12" max="12" width="8.85546875" customWidth="1"/>
    <col min="13" max="13" width="9.28515625" bestFit="1" customWidth="1"/>
    <col min="14" max="14" width="7.42578125" customWidth="1"/>
    <col min="15" max="15" width="9" customWidth="1"/>
    <col min="16" max="16" width="2.7109375" customWidth="1"/>
    <col min="17" max="17" width="8.5703125" customWidth="1"/>
    <col min="18" max="18" width="9.28515625" bestFit="1" customWidth="1"/>
    <col min="19" max="19" width="7.42578125" customWidth="1"/>
    <col min="20" max="20" width="10.140625" bestFit="1" customWidth="1"/>
    <col min="21" max="21" width="2.5703125" customWidth="1"/>
    <col min="22" max="22" width="8.7109375" customWidth="1"/>
    <col min="23" max="23" width="8" customWidth="1"/>
    <col min="24" max="24" width="7.5703125" customWidth="1"/>
    <col min="25" max="25" width="10.140625" bestFit="1" customWidth="1"/>
    <col min="26" max="26" width="2.42578125" customWidth="1"/>
    <col min="27" max="27" width="8" customWidth="1"/>
    <col min="28" max="28" width="8.42578125" customWidth="1"/>
    <col min="29" max="29" width="7.7109375" customWidth="1"/>
    <col min="30" max="30" width="10.140625" bestFit="1" customWidth="1"/>
    <col min="31" max="31" width="2.5703125" customWidth="1"/>
    <col min="32" max="32" width="9.28515625" customWidth="1"/>
    <col min="33" max="33" width="10.7109375" customWidth="1"/>
    <col min="34" max="34" width="2.5703125" customWidth="1"/>
    <col min="35" max="35" width="11.85546875" customWidth="1"/>
    <col min="36" max="36" width="10.140625" bestFit="1" customWidth="1"/>
  </cols>
  <sheetData>
    <row r="1" spans="1:36" x14ac:dyDescent="0.2">
      <c r="D1" s="40" t="s">
        <v>2</v>
      </c>
      <c r="E1" s="40"/>
      <c r="F1" s="40"/>
      <c r="G1" s="40"/>
      <c r="I1" s="41" t="s">
        <v>2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6" x14ac:dyDescent="0.2">
      <c r="J2" s="1" t="s">
        <v>5</v>
      </c>
      <c r="L2" s="1" t="s">
        <v>3</v>
      </c>
      <c r="Q2" s="1" t="s">
        <v>10</v>
      </c>
      <c r="V2" s="1" t="s">
        <v>11</v>
      </c>
      <c r="AA2" s="1" t="s">
        <v>1</v>
      </c>
      <c r="AF2" s="1" t="s">
        <v>33</v>
      </c>
      <c r="AI2" s="1" t="s">
        <v>34</v>
      </c>
    </row>
    <row r="3" spans="1:36" s="16" customFormat="1" ht="25.5" x14ac:dyDescent="0.2">
      <c r="A3" s="16" t="s">
        <v>30</v>
      </c>
      <c r="B3" s="16" t="s">
        <v>31</v>
      </c>
      <c r="D3" s="16" t="s">
        <v>25</v>
      </c>
      <c r="E3" s="16" t="s">
        <v>25</v>
      </c>
      <c r="F3" s="16" t="s">
        <v>26</v>
      </c>
      <c r="G3" s="16" t="s">
        <v>32</v>
      </c>
      <c r="I3" s="16" t="s">
        <v>26</v>
      </c>
      <c r="J3" s="16" t="s">
        <v>27</v>
      </c>
      <c r="L3" s="16" t="s">
        <v>25</v>
      </c>
      <c r="M3" s="16" t="s">
        <v>6</v>
      </c>
      <c r="N3" s="16" t="s">
        <v>28</v>
      </c>
      <c r="O3" s="16" t="s">
        <v>32</v>
      </c>
      <c r="Q3" s="16" t="s">
        <v>25</v>
      </c>
      <c r="R3" s="16" t="s">
        <v>6</v>
      </c>
      <c r="S3" s="16" t="s">
        <v>28</v>
      </c>
      <c r="T3" s="16" t="s">
        <v>32</v>
      </c>
      <c r="V3" s="16" t="s">
        <v>25</v>
      </c>
      <c r="W3" s="16" t="s">
        <v>6</v>
      </c>
      <c r="X3" s="16" t="s">
        <v>28</v>
      </c>
      <c r="Y3" s="16" t="s">
        <v>32</v>
      </c>
      <c r="AA3" s="16" t="s">
        <v>25</v>
      </c>
      <c r="AB3" s="16" t="s">
        <v>6</v>
      </c>
      <c r="AC3" s="16" t="s">
        <v>28</v>
      </c>
      <c r="AD3" s="16" t="s">
        <v>32</v>
      </c>
      <c r="AF3" s="16" t="s">
        <v>25</v>
      </c>
      <c r="AG3" s="16" t="s">
        <v>29</v>
      </c>
      <c r="AI3" s="16" t="s">
        <v>25</v>
      </c>
      <c r="AJ3" s="16" t="s">
        <v>29</v>
      </c>
    </row>
    <row r="4" spans="1:36" x14ac:dyDescent="0.2">
      <c r="A4" s="12">
        <v>36892</v>
      </c>
      <c r="B4" s="14">
        <f>A5-A4</f>
        <v>31</v>
      </c>
      <c r="C4" s="14"/>
      <c r="D4" s="2">
        <f>VLOOKUP($A4,lookup_table,12)*$B4</f>
        <v>158100</v>
      </c>
      <c r="E4" s="2">
        <f>$B4*D4</f>
        <v>4901100</v>
      </c>
      <c r="F4" s="13">
        <f>VLOOKUP($A4,lookup_table,2)</f>
        <v>3.93</v>
      </c>
      <c r="G4" s="15">
        <f>D4*F4</f>
        <v>621333</v>
      </c>
      <c r="H4" s="13"/>
      <c r="I4" s="13">
        <f>VLOOKUP($A4,lookup_table,4)</f>
        <v>2.5499999999999998</v>
      </c>
      <c r="J4" s="13">
        <f>VLOOKUP($A4,lookup_table,9)</f>
        <v>9.91</v>
      </c>
      <c r="K4" s="12"/>
      <c r="L4" s="2">
        <f>VLOOKUP($A4,lookup_table,15)*$B4</f>
        <v>155000</v>
      </c>
      <c r="M4" s="13">
        <f>VLOOKUP($A4,lookup_table,6)</f>
        <v>9.92</v>
      </c>
      <c r="N4" s="13">
        <f>$I4-($J4-M4)</f>
        <v>2.5599999999999996</v>
      </c>
      <c r="O4" s="15">
        <f>L4*N4</f>
        <v>396799.99999999994</v>
      </c>
      <c r="Q4" s="2">
        <f>VLOOKUP($A4,lookup_table,14)*$B4</f>
        <v>124000</v>
      </c>
      <c r="R4" s="13">
        <f>VLOOKUP($A4,lookup_table,5)</f>
        <v>9.83</v>
      </c>
      <c r="S4" s="13">
        <f t="shared" ref="S4:S19" si="0">$I4-($J4-R4)</f>
        <v>2.4699999999999998</v>
      </c>
      <c r="T4" s="15">
        <f>Q4*S4</f>
        <v>306279.99999999994</v>
      </c>
      <c r="V4" s="2">
        <f>VLOOKUP($A4,lookup_table,16)*$B4</f>
        <v>93000</v>
      </c>
      <c r="W4" s="13">
        <f>VLOOKUP($A4,lookup_table,7)</f>
        <v>9.84</v>
      </c>
      <c r="X4" s="13">
        <f t="shared" ref="X4:X19" si="1">$I4-($J4-W4)</f>
        <v>2.4799999999999995</v>
      </c>
      <c r="Y4" s="15">
        <f>V4*X4</f>
        <v>230639.99999999997</v>
      </c>
      <c r="AA4" s="2">
        <f>VLOOKUP($A4,lookup_table,17)*$B4</f>
        <v>93000</v>
      </c>
      <c r="AB4" s="13">
        <f>VLOOKUP($A4,lookup_table,8)</f>
        <v>9.7200000000000006</v>
      </c>
      <c r="AC4" s="13">
        <f t="shared" ref="AC4:AC19" si="2">$I4-($J4-AB4)</f>
        <v>2.3600000000000003</v>
      </c>
      <c r="AD4" s="15">
        <f>AA4*AC4</f>
        <v>219480.00000000003</v>
      </c>
      <c r="AF4" s="2">
        <f>(L4+Q4+V4+AA4)</f>
        <v>465000</v>
      </c>
      <c r="AG4" s="15">
        <f t="shared" ref="AG4:AG19" si="3">O4+T4+Y4+AD4</f>
        <v>1153200</v>
      </c>
      <c r="AI4" s="2">
        <f>E4+AF4</f>
        <v>5366100</v>
      </c>
      <c r="AJ4" s="2">
        <f>G4+AG4</f>
        <v>1774533</v>
      </c>
    </row>
    <row r="5" spans="1:36" x14ac:dyDescent="0.2">
      <c r="A5" s="12">
        <v>36923</v>
      </c>
      <c r="B5" s="14">
        <f t="shared" ref="B5:B19" si="4">A6-A5</f>
        <v>28</v>
      </c>
      <c r="C5" s="14"/>
      <c r="D5" s="2">
        <f t="shared" ref="D5:D19" si="5">VLOOKUP($A5,lookup_table,12)*$B5</f>
        <v>142800</v>
      </c>
      <c r="E5" s="2">
        <f t="shared" ref="E5:E19" si="6">$B5*D5</f>
        <v>3998400</v>
      </c>
      <c r="F5" s="13">
        <f t="shared" ref="F5:F19" si="7">VLOOKUP($A5,lookup_table,2)</f>
        <v>3.93</v>
      </c>
      <c r="G5" s="15">
        <f t="shared" ref="G5:G19" si="8">D5*F5</f>
        <v>561204</v>
      </c>
      <c r="H5" s="13"/>
      <c r="I5" s="13">
        <f t="shared" ref="I5:I19" si="9">VLOOKUP($A5,lookup_table,4)</f>
        <v>2.5499999999999998</v>
      </c>
      <c r="J5" s="13">
        <f t="shared" ref="J5:J19" si="10">VLOOKUP($A5,lookup_table,9)</f>
        <v>6.22</v>
      </c>
      <c r="K5" s="12"/>
      <c r="L5" s="2">
        <f t="shared" ref="L5:L19" si="11">VLOOKUP($A5,lookup_table,15)*$B5</f>
        <v>140000</v>
      </c>
      <c r="M5" s="13">
        <f t="shared" ref="M5:M19" si="12">VLOOKUP($A5,lookup_table,6)</f>
        <v>6.22</v>
      </c>
      <c r="N5" s="13">
        <f t="shared" ref="N5:N19" si="13">$I5-($J5-M5)</f>
        <v>2.5499999999999998</v>
      </c>
      <c r="O5" s="15">
        <f t="shared" ref="O5:O19" si="14">L5*N5</f>
        <v>357000</v>
      </c>
      <c r="Q5" s="2">
        <f t="shared" ref="Q5:Q19" si="15">VLOOKUP($A5,lookup_table,14)*$B5</f>
        <v>112000</v>
      </c>
      <c r="R5" s="13">
        <f t="shared" ref="R5:R19" si="16">VLOOKUP($A5,lookup_table,5)</f>
        <v>6.12</v>
      </c>
      <c r="S5" s="13">
        <f t="shared" si="0"/>
        <v>2.4500000000000002</v>
      </c>
      <c r="T5" s="15">
        <f t="shared" ref="T5:T19" si="17">Q5*S5</f>
        <v>274400</v>
      </c>
      <c r="V5" s="2">
        <f t="shared" ref="V5:V19" si="18">VLOOKUP($A5,lookup_table,16)*$B5</f>
        <v>84000</v>
      </c>
      <c r="W5" s="13">
        <f t="shared" ref="W5:W19" si="19">VLOOKUP($A5,lookup_table,7)</f>
        <v>6.13</v>
      </c>
      <c r="X5" s="13">
        <f t="shared" si="1"/>
        <v>2.46</v>
      </c>
      <c r="Y5" s="15">
        <f t="shared" ref="Y5:Y19" si="20">V5*X5</f>
        <v>206640</v>
      </c>
      <c r="AA5" s="2">
        <f t="shared" ref="AA5:AA19" si="21">VLOOKUP($A5,lookup_table,17)*$B5</f>
        <v>84000</v>
      </c>
      <c r="AB5" s="13">
        <f t="shared" ref="AB5:AB19" si="22">VLOOKUP($A5,lookup_table,8)</f>
        <v>6.01</v>
      </c>
      <c r="AC5" s="13">
        <f t="shared" si="2"/>
        <v>2.34</v>
      </c>
      <c r="AD5" s="15">
        <f t="shared" ref="AD5:AD19" si="23">AA5*AC5</f>
        <v>196560</v>
      </c>
      <c r="AF5" s="2">
        <f t="shared" ref="AF5:AF19" si="24">(L5+Q5+V5+AA5)</f>
        <v>420000</v>
      </c>
      <c r="AG5" s="15">
        <f t="shared" si="3"/>
        <v>1034600</v>
      </c>
      <c r="AI5" s="2">
        <f t="shared" ref="AI5:AI19" si="25">E5+AF5</f>
        <v>4418400</v>
      </c>
      <c r="AJ5" s="2">
        <f t="shared" ref="AJ5:AJ19" si="26">G5+AG5</f>
        <v>1595804</v>
      </c>
    </row>
    <row r="6" spans="1:36" x14ac:dyDescent="0.2">
      <c r="A6" s="12">
        <v>36951</v>
      </c>
      <c r="B6" s="14">
        <f t="shared" si="4"/>
        <v>31</v>
      </c>
      <c r="C6" s="14"/>
      <c r="D6" s="2">
        <f t="shared" si="5"/>
        <v>210800</v>
      </c>
      <c r="E6" s="2">
        <f t="shared" si="6"/>
        <v>6534800</v>
      </c>
      <c r="F6" s="13">
        <f t="shared" si="7"/>
        <v>3.93</v>
      </c>
      <c r="G6" s="15">
        <f t="shared" si="8"/>
        <v>828444</v>
      </c>
      <c r="H6" s="13"/>
      <c r="I6" s="13">
        <f t="shared" si="9"/>
        <v>2.5499999999999998</v>
      </c>
      <c r="J6" s="13">
        <f t="shared" si="10"/>
        <v>5.03</v>
      </c>
      <c r="K6" s="12"/>
      <c r="L6" s="2">
        <f t="shared" si="11"/>
        <v>155000</v>
      </c>
      <c r="M6" s="13">
        <f t="shared" si="12"/>
        <v>5.01</v>
      </c>
      <c r="N6" s="13">
        <f t="shared" si="13"/>
        <v>2.5299999999999994</v>
      </c>
      <c r="O6" s="15">
        <f t="shared" si="14"/>
        <v>392149.99999999988</v>
      </c>
      <c r="Q6" s="2">
        <f t="shared" si="15"/>
        <v>124000</v>
      </c>
      <c r="R6" s="13">
        <f t="shared" si="16"/>
        <v>4.9000000000000004</v>
      </c>
      <c r="S6" s="13">
        <f t="shared" si="0"/>
        <v>2.42</v>
      </c>
      <c r="T6" s="15">
        <f t="shared" si="17"/>
        <v>300080</v>
      </c>
      <c r="V6" s="2">
        <f t="shared" si="18"/>
        <v>93000</v>
      </c>
      <c r="W6" s="13">
        <f t="shared" si="19"/>
        <v>4.8600000000000003</v>
      </c>
      <c r="X6" s="13">
        <f t="shared" si="1"/>
        <v>2.38</v>
      </c>
      <c r="Y6" s="15">
        <f t="shared" si="20"/>
        <v>221340</v>
      </c>
      <c r="AA6" s="2">
        <f t="shared" si="21"/>
        <v>93000</v>
      </c>
      <c r="AB6" s="13">
        <f t="shared" si="22"/>
        <v>4.76</v>
      </c>
      <c r="AC6" s="13">
        <f t="shared" si="2"/>
        <v>2.2799999999999994</v>
      </c>
      <c r="AD6" s="15">
        <f t="shared" si="23"/>
        <v>212039.99999999994</v>
      </c>
      <c r="AF6" s="2">
        <f t="shared" si="24"/>
        <v>465000</v>
      </c>
      <c r="AG6" s="15">
        <f t="shared" si="3"/>
        <v>1125609.9999999998</v>
      </c>
      <c r="AI6" s="2">
        <f t="shared" si="25"/>
        <v>6999800</v>
      </c>
      <c r="AJ6" s="2">
        <f t="shared" si="26"/>
        <v>1954053.9999999998</v>
      </c>
    </row>
    <row r="7" spans="1:36" x14ac:dyDescent="0.2">
      <c r="A7" s="12">
        <v>36982</v>
      </c>
      <c r="B7" s="14">
        <f t="shared" si="4"/>
        <v>30</v>
      </c>
      <c r="C7" s="14"/>
      <c r="D7" s="2">
        <f t="shared" si="5"/>
        <v>204000</v>
      </c>
      <c r="E7" s="2">
        <f t="shared" si="6"/>
        <v>6120000</v>
      </c>
      <c r="F7" s="13">
        <f t="shared" si="7"/>
        <v>3.93</v>
      </c>
      <c r="G7" s="15">
        <f t="shared" si="8"/>
        <v>801720</v>
      </c>
      <c r="H7" s="13"/>
      <c r="I7" s="13">
        <f t="shared" si="9"/>
        <v>2.5499999999999998</v>
      </c>
      <c r="J7" s="13">
        <f t="shared" si="10"/>
        <v>5.35</v>
      </c>
      <c r="K7" s="12"/>
      <c r="L7" s="2">
        <f t="shared" si="11"/>
        <v>150000</v>
      </c>
      <c r="M7" s="13">
        <f t="shared" si="12"/>
        <v>5.31</v>
      </c>
      <c r="N7" s="13">
        <f t="shared" si="13"/>
        <v>2.5099999999999998</v>
      </c>
      <c r="O7" s="15">
        <f t="shared" si="14"/>
        <v>376499.99999999994</v>
      </c>
      <c r="Q7" s="2">
        <f t="shared" si="15"/>
        <v>120000</v>
      </c>
      <c r="R7" s="13">
        <f t="shared" si="16"/>
        <v>5.29</v>
      </c>
      <c r="S7" s="13">
        <f t="shared" si="0"/>
        <v>2.4900000000000002</v>
      </c>
      <c r="T7" s="15">
        <f t="shared" si="17"/>
        <v>298800</v>
      </c>
      <c r="V7" s="2">
        <f t="shared" si="18"/>
        <v>90000</v>
      </c>
      <c r="W7" s="13">
        <f t="shared" si="19"/>
        <v>5.29</v>
      </c>
      <c r="X7" s="13">
        <f t="shared" si="1"/>
        <v>2.4900000000000002</v>
      </c>
      <c r="Y7" s="15">
        <f t="shared" si="20"/>
        <v>224100.00000000003</v>
      </c>
      <c r="AA7" s="2">
        <f t="shared" si="21"/>
        <v>90000</v>
      </c>
      <c r="AB7" s="13">
        <f t="shared" si="22"/>
        <v>5.19</v>
      </c>
      <c r="AC7" s="13">
        <f t="shared" si="2"/>
        <v>2.3900000000000006</v>
      </c>
      <c r="AD7" s="15">
        <f t="shared" si="23"/>
        <v>215100.00000000006</v>
      </c>
      <c r="AF7" s="2">
        <f t="shared" si="24"/>
        <v>450000</v>
      </c>
      <c r="AG7" s="15">
        <f t="shared" si="3"/>
        <v>1114500</v>
      </c>
      <c r="AI7" s="2">
        <f t="shared" si="25"/>
        <v>6570000</v>
      </c>
      <c r="AJ7" s="2">
        <f t="shared" si="26"/>
        <v>1916220</v>
      </c>
    </row>
    <row r="8" spans="1:36" x14ac:dyDescent="0.2">
      <c r="A8" s="12">
        <v>37012</v>
      </c>
      <c r="B8" s="14">
        <f t="shared" si="4"/>
        <v>31</v>
      </c>
      <c r="C8" s="14"/>
      <c r="D8" s="2">
        <f t="shared" si="5"/>
        <v>210800</v>
      </c>
      <c r="E8" s="2">
        <f t="shared" si="6"/>
        <v>6534800</v>
      </c>
      <c r="F8" s="13">
        <f t="shared" si="7"/>
        <v>3.93</v>
      </c>
      <c r="G8" s="15">
        <f t="shared" si="8"/>
        <v>828444</v>
      </c>
      <c r="H8" s="13"/>
      <c r="I8" s="13">
        <f t="shared" si="9"/>
        <v>2.5499999999999998</v>
      </c>
      <c r="J8" s="13">
        <f t="shared" si="10"/>
        <v>4.87</v>
      </c>
      <c r="K8" s="12"/>
      <c r="L8" s="2">
        <f t="shared" si="11"/>
        <v>155000</v>
      </c>
      <c r="M8" s="13">
        <f t="shared" si="12"/>
        <v>4.82</v>
      </c>
      <c r="N8" s="13">
        <f t="shared" si="13"/>
        <v>2.5</v>
      </c>
      <c r="O8" s="15">
        <f t="shared" si="14"/>
        <v>387500</v>
      </c>
      <c r="Q8" s="2">
        <f t="shared" si="15"/>
        <v>124000</v>
      </c>
      <c r="R8" s="13">
        <f t="shared" si="16"/>
        <v>4.7699999999999996</v>
      </c>
      <c r="S8" s="13">
        <f t="shared" si="0"/>
        <v>2.4499999999999993</v>
      </c>
      <c r="T8" s="15">
        <f t="shared" si="17"/>
        <v>303799.99999999988</v>
      </c>
      <c r="V8" s="2">
        <f t="shared" si="18"/>
        <v>93000</v>
      </c>
      <c r="W8" s="13">
        <f t="shared" si="19"/>
        <v>4.71</v>
      </c>
      <c r="X8" s="13">
        <f t="shared" si="1"/>
        <v>2.3899999999999997</v>
      </c>
      <c r="Y8" s="15">
        <f t="shared" si="20"/>
        <v>222269.99999999997</v>
      </c>
      <c r="AA8" s="2">
        <f t="shared" si="21"/>
        <v>93000</v>
      </c>
      <c r="AB8" s="13">
        <f t="shared" si="22"/>
        <v>4.74</v>
      </c>
      <c r="AC8" s="13">
        <f t="shared" si="2"/>
        <v>2.42</v>
      </c>
      <c r="AD8" s="15">
        <f t="shared" si="23"/>
        <v>225060</v>
      </c>
      <c r="AF8" s="2">
        <f t="shared" si="24"/>
        <v>465000</v>
      </c>
      <c r="AG8" s="15">
        <f t="shared" si="3"/>
        <v>1138630</v>
      </c>
      <c r="AI8" s="2">
        <f t="shared" si="25"/>
        <v>6999800</v>
      </c>
      <c r="AJ8" s="2">
        <f t="shared" si="26"/>
        <v>1967074</v>
      </c>
    </row>
    <row r="9" spans="1:36" x14ac:dyDescent="0.2">
      <c r="A9" s="12">
        <v>37043</v>
      </c>
      <c r="B9" s="14">
        <f t="shared" si="4"/>
        <v>30</v>
      </c>
      <c r="C9" s="14"/>
      <c r="D9" s="2">
        <f t="shared" si="5"/>
        <v>204000</v>
      </c>
      <c r="E9" s="2">
        <f t="shared" si="6"/>
        <v>6120000</v>
      </c>
      <c r="F9" s="13">
        <f t="shared" si="7"/>
        <v>3.93</v>
      </c>
      <c r="G9" s="15">
        <f t="shared" si="8"/>
        <v>801720</v>
      </c>
      <c r="H9" s="13"/>
      <c r="I9" s="13">
        <f t="shared" si="9"/>
        <v>2.5499999999999998</v>
      </c>
      <c r="J9" s="13">
        <f t="shared" si="10"/>
        <v>3.73</v>
      </c>
      <c r="K9" s="12"/>
      <c r="L9" s="2">
        <f t="shared" si="11"/>
        <v>150000</v>
      </c>
      <c r="M9" s="13">
        <f t="shared" si="12"/>
        <v>3.65</v>
      </c>
      <c r="N9" s="13">
        <f t="shared" si="13"/>
        <v>2.4699999999999998</v>
      </c>
      <c r="O9" s="15">
        <f t="shared" si="14"/>
        <v>370499.99999999994</v>
      </c>
      <c r="Q9" s="2">
        <f t="shared" si="15"/>
        <v>120000</v>
      </c>
      <c r="R9" s="13">
        <f t="shared" si="16"/>
        <v>3.64</v>
      </c>
      <c r="S9" s="13">
        <f t="shared" si="0"/>
        <v>2.46</v>
      </c>
      <c r="T9" s="15">
        <f t="shared" si="17"/>
        <v>295200</v>
      </c>
      <c r="V9" s="2">
        <f t="shared" si="18"/>
        <v>90000</v>
      </c>
      <c r="W9" s="13">
        <f t="shared" si="19"/>
        <v>3.57</v>
      </c>
      <c r="X9" s="13">
        <f t="shared" si="1"/>
        <v>2.3899999999999997</v>
      </c>
      <c r="Y9" s="15">
        <f t="shared" si="20"/>
        <v>215099.99999999997</v>
      </c>
      <c r="AA9" s="2">
        <f t="shared" si="21"/>
        <v>90000</v>
      </c>
      <c r="AB9" s="13">
        <f t="shared" si="22"/>
        <v>3.63</v>
      </c>
      <c r="AC9" s="13">
        <f t="shared" si="2"/>
        <v>2.4499999999999997</v>
      </c>
      <c r="AD9" s="15">
        <f t="shared" si="23"/>
        <v>220499.99999999997</v>
      </c>
      <c r="AF9" s="2">
        <f t="shared" si="24"/>
        <v>450000</v>
      </c>
      <c r="AG9" s="15">
        <f t="shared" si="3"/>
        <v>1101300</v>
      </c>
      <c r="AI9" s="2">
        <f t="shared" si="25"/>
        <v>6570000</v>
      </c>
      <c r="AJ9" s="2">
        <f t="shared" si="26"/>
        <v>1903020</v>
      </c>
    </row>
    <row r="10" spans="1:36" x14ac:dyDescent="0.2">
      <c r="A10" s="12">
        <v>37073</v>
      </c>
      <c r="B10" s="14">
        <f t="shared" si="4"/>
        <v>31</v>
      </c>
      <c r="C10" s="14"/>
      <c r="D10" s="2">
        <f t="shared" si="5"/>
        <v>210800</v>
      </c>
      <c r="E10" s="2">
        <f t="shared" si="6"/>
        <v>6534800</v>
      </c>
      <c r="F10" s="13">
        <f t="shared" si="7"/>
        <v>3.93</v>
      </c>
      <c r="G10" s="15">
        <f t="shared" si="8"/>
        <v>828444</v>
      </c>
      <c r="H10" s="13"/>
      <c r="I10" s="13">
        <f t="shared" si="9"/>
        <v>2.5499999999999998</v>
      </c>
      <c r="J10" s="13">
        <f t="shared" si="10"/>
        <v>3.16</v>
      </c>
      <c r="K10" s="12"/>
      <c r="L10" s="2">
        <f t="shared" si="11"/>
        <v>155000</v>
      </c>
      <c r="M10" s="13">
        <f t="shared" si="12"/>
        <v>3.05</v>
      </c>
      <c r="N10" s="13">
        <f t="shared" si="13"/>
        <v>2.4399999999999995</v>
      </c>
      <c r="O10" s="15">
        <f t="shared" si="14"/>
        <v>378199.99999999994</v>
      </c>
      <c r="Q10" s="2">
        <f t="shared" si="15"/>
        <v>124000</v>
      </c>
      <c r="R10" s="13">
        <f t="shared" si="16"/>
        <v>3.07</v>
      </c>
      <c r="S10" s="13">
        <f t="shared" si="0"/>
        <v>2.4599999999999995</v>
      </c>
      <c r="T10" s="15">
        <f t="shared" si="17"/>
        <v>305039.99999999994</v>
      </c>
      <c r="V10" s="2">
        <f t="shared" si="18"/>
        <v>93000</v>
      </c>
      <c r="W10" s="13">
        <f t="shared" si="19"/>
        <v>3.03</v>
      </c>
      <c r="X10" s="13">
        <f t="shared" si="1"/>
        <v>2.4199999999999995</v>
      </c>
      <c r="Y10" s="15">
        <f t="shared" si="20"/>
        <v>225059.99999999994</v>
      </c>
      <c r="AA10" s="2">
        <f t="shared" si="21"/>
        <v>93000</v>
      </c>
      <c r="AB10" s="13">
        <f t="shared" si="22"/>
        <v>3.1</v>
      </c>
      <c r="AC10" s="13">
        <f t="shared" si="2"/>
        <v>2.4899999999999998</v>
      </c>
      <c r="AD10" s="15">
        <f t="shared" si="23"/>
        <v>231569.99999999997</v>
      </c>
      <c r="AF10" s="2">
        <f t="shared" si="24"/>
        <v>465000</v>
      </c>
      <c r="AG10" s="15">
        <f t="shared" si="3"/>
        <v>1139869.9999999998</v>
      </c>
      <c r="AI10" s="2">
        <f t="shared" si="25"/>
        <v>6999800</v>
      </c>
      <c r="AJ10" s="2">
        <f t="shared" si="26"/>
        <v>1968313.9999999998</v>
      </c>
    </row>
    <row r="11" spans="1:36" x14ac:dyDescent="0.2">
      <c r="A11" s="12">
        <v>37104</v>
      </c>
      <c r="B11" s="14">
        <f t="shared" si="4"/>
        <v>31</v>
      </c>
      <c r="C11" s="14"/>
      <c r="D11" s="2">
        <f t="shared" si="5"/>
        <v>210800</v>
      </c>
      <c r="E11" s="2">
        <f t="shared" si="6"/>
        <v>6534800</v>
      </c>
      <c r="F11" s="13">
        <f t="shared" si="7"/>
        <v>3.93</v>
      </c>
      <c r="G11" s="15">
        <f t="shared" si="8"/>
        <v>828444</v>
      </c>
      <c r="H11" s="13"/>
      <c r="I11" s="13">
        <f t="shared" si="9"/>
        <v>2.5499999999999998</v>
      </c>
      <c r="J11" s="13">
        <f t="shared" si="10"/>
        <v>3.19</v>
      </c>
      <c r="K11" s="12"/>
      <c r="L11" s="2">
        <f t="shared" si="11"/>
        <v>155000</v>
      </c>
      <c r="M11" s="13">
        <f t="shared" si="12"/>
        <v>3.08</v>
      </c>
      <c r="N11" s="13">
        <f t="shared" si="13"/>
        <v>2.44</v>
      </c>
      <c r="O11" s="15">
        <f t="shared" si="14"/>
        <v>378200</v>
      </c>
      <c r="Q11" s="2">
        <f t="shared" si="15"/>
        <v>124000</v>
      </c>
      <c r="R11" s="13">
        <f t="shared" si="16"/>
        <v>3.07</v>
      </c>
      <c r="S11" s="13">
        <f t="shared" si="0"/>
        <v>2.4299999999999997</v>
      </c>
      <c r="T11" s="15">
        <f t="shared" si="17"/>
        <v>301319.99999999994</v>
      </c>
      <c r="V11" s="2">
        <f t="shared" si="18"/>
        <v>93000</v>
      </c>
      <c r="W11" s="13">
        <f t="shared" si="19"/>
        <v>3.09</v>
      </c>
      <c r="X11" s="13">
        <f t="shared" si="1"/>
        <v>2.4499999999999997</v>
      </c>
      <c r="Y11" s="15">
        <f t="shared" si="20"/>
        <v>227849.99999999997</v>
      </c>
      <c r="AA11" s="2">
        <f t="shared" si="21"/>
        <v>93000</v>
      </c>
      <c r="AB11" s="13">
        <f t="shared" si="22"/>
        <v>3.06</v>
      </c>
      <c r="AC11" s="13">
        <f t="shared" si="2"/>
        <v>2.42</v>
      </c>
      <c r="AD11" s="15">
        <f t="shared" si="23"/>
        <v>225060</v>
      </c>
      <c r="AF11" s="2">
        <f t="shared" si="24"/>
        <v>465000</v>
      </c>
      <c r="AG11" s="15">
        <f t="shared" si="3"/>
        <v>1132430</v>
      </c>
      <c r="AI11" s="2">
        <f t="shared" si="25"/>
        <v>6999800</v>
      </c>
      <c r="AJ11" s="2">
        <f t="shared" si="26"/>
        <v>1960874</v>
      </c>
    </row>
    <row r="12" spans="1:36" x14ac:dyDescent="0.2">
      <c r="A12" s="12">
        <v>37135</v>
      </c>
      <c r="B12" s="14">
        <f t="shared" si="4"/>
        <v>30</v>
      </c>
      <c r="C12" s="14"/>
      <c r="D12" s="2">
        <f t="shared" si="5"/>
        <v>204000</v>
      </c>
      <c r="E12" s="2">
        <f t="shared" si="6"/>
        <v>6120000</v>
      </c>
      <c r="F12" s="13">
        <f t="shared" si="7"/>
        <v>3.93</v>
      </c>
      <c r="G12" s="15">
        <f t="shared" si="8"/>
        <v>801720</v>
      </c>
      <c r="H12" s="13"/>
      <c r="I12" s="13">
        <f t="shared" si="9"/>
        <v>2.5499999999999998</v>
      </c>
      <c r="J12" s="13">
        <f t="shared" si="10"/>
        <v>2.34</v>
      </c>
      <c r="K12" s="12"/>
      <c r="L12" s="2">
        <f t="shared" si="11"/>
        <v>150000</v>
      </c>
      <c r="M12" s="13">
        <f t="shared" si="12"/>
        <v>2.2400000000000002</v>
      </c>
      <c r="N12" s="13">
        <f t="shared" si="13"/>
        <v>2.4500000000000002</v>
      </c>
      <c r="O12" s="15">
        <f t="shared" si="14"/>
        <v>367500</v>
      </c>
      <c r="Q12" s="2">
        <f t="shared" si="15"/>
        <v>120000</v>
      </c>
      <c r="R12" s="13">
        <f t="shared" si="16"/>
        <v>2.2200000000000002</v>
      </c>
      <c r="S12" s="13">
        <f t="shared" si="0"/>
        <v>2.4300000000000002</v>
      </c>
      <c r="T12" s="15">
        <f t="shared" si="17"/>
        <v>291600</v>
      </c>
      <c r="V12" s="2">
        <f t="shared" si="18"/>
        <v>90000</v>
      </c>
      <c r="W12" s="13">
        <f t="shared" si="19"/>
        <v>2.2400000000000002</v>
      </c>
      <c r="X12" s="13">
        <f t="shared" si="1"/>
        <v>2.4500000000000002</v>
      </c>
      <c r="Y12" s="15">
        <f t="shared" si="20"/>
        <v>220500.00000000003</v>
      </c>
      <c r="AA12" s="2">
        <f t="shared" si="21"/>
        <v>90000</v>
      </c>
      <c r="AB12" s="13">
        <f t="shared" si="22"/>
        <v>2.21</v>
      </c>
      <c r="AC12" s="13">
        <f t="shared" si="2"/>
        <v>2.42</v>
      </c>
      <c r="AD12" s="15">
        <f t="shared" si="23"/>
        <v>217800</v>
      </c>
      <c r="AF12" s="2">
        <f t="shared" si="24"/>
        <v>450000</v>
      </c>
      <c r="AG12" s="15">
        <f t="shared" si="3"/>
        <v>1097400</v>
      </c>
      <c r="AI12" s="2">
        <f t="shared" si="25"/>
        <v>6570000</v>
      </c>
      <c r="AJ12" s="2">
        <f t="shared" si="26"/>
        <v>1899120</v>
      </c>
    </row>
    <row r="13" spans="1:36" x14ac:dyDescent="0.2">
      <c r="A13" s="12">
        <v>37165</v>
      </c>
      <c r="B13" s="14">
        <f t="shared" si="4"/>
        <v>31</v>
      </c>
      <c r="C13" s="14"/>
      <c r="D13" s="2">
        <f t="shared" si="5"/>
        <v>210800</v>
      </c>
      <c r="E13" s="2">
        <f t="shared" si="6"/>
        <v>6534800</v>
      </c>
      <c r="F13" s="13">
        <f t="shared" si="7"/>
        <v>3.93</v>
      </c>
      <c r="G13" s="15">
        <f t="shared" si="8"/>
        <v>828444</v>
      </c>
      <c r="H13" s="13"/>
      <c r="I13" s="13">
        <f t="shared" si="9"/>
        <v>2.5499999999999998</v>
      </c>
      <c r="J13" s="13">
        <f t="shared" si="10"/>
        <v>1.86</v>
      </c>
      <c r="K13" s="12"/>
      <c r="L13" s="2">
        <f t="shared" si="11"/>
        <v>155000</v>
      </c>
      <c r="M13" s="13">
        <f t="shared" si="12"/>
        <v>1.75</v>
      </c>
      <c r="N13" s="13">
        <f t="shared" si="13"/>
        <v>2.4399999999999995</v>
      </c>
      <c r="O13" s="15">
        <f t="shared" si="14"/>
        <v>378199.99999999994</v>
      </c>
      <c r="Q13" s="2">
        <f t="shared" si="15"/>
        <v>124000</v>
      </c>
      <c r="R13" s="13">
        <f t="shared" si="16"/>
        <v>1.74</v>
      </c>
      <c r="S13" s="13">
        <f t="shared" si="0"/>
        <v>2.4299999999999997</v>
      </c>
      <c r="T13" s="15">
        <f t="shared" si="17"/>
        <v>301319.99999999994</v>
      </c>
      <c r="V13" s="2">
        <f t="shared" si="18"/>
        <v>93000</v>
      </c>
      <c r="W13" s="13">
        <f t="shared" si="19"/>
        <v>1.74</v>
      </c>
      <c r="X13" s="13">
        <f t="shared" si="1"/>
        <v>2.4299999999999997</v>
      </c>
      <c r="Y13" s="15">
        <f t="shared" si="20"/>
        <v>225989.99999999997</v>
      </c>
      <c r="AA13" s="2">
        <f t="shared" si="21"/>
        <v>93000</v>
      </c>
      <c r="AB13" s="13">
        <f t="shared" si="22"/>
        <v>1.73</v>
      </c>
      <c r="AC13" s="13">
        <f t="shared" si="2"/>
        <v>2.42</v>
      </c>
      <c r="AD13" s="15">
        <f t="shared" si="23"/>
        <v>225060</v>
      </c>
      <c r="AF13" s="2">
        <f t="shared" si="24"/>
        <v>465000</v>
      </c>
      <c r="AG13" s="15">
        <f t="shared" si="3"/>
        <v>1130570</v>
      </c>
      <c r="AI13" s="2">
        <f t="shared" si="25"/>
        <v>6999800</v>
      </c>
      <c r="AJ13" s="2">
        <f t="shared" si="26"/>
        <v>1959014</v>
      </c>
    </row>
    <row r="14" spans="1:36" x14ac:dyDescent="0.2">
      <c r="A14" s="12">
        <v>37196</v>
      </c>
      <c r="B14" s="14">
        <f t="shared" si="4"/>
        <v>30</v>
      </c>
      <c r="C14" s="14"/>
      <c r="D14" s="2">
        <f t="shared" si="5"/>
        <v>204000</v>
      </c>
      <c r="E14" s="2">
        <f t="shared" si="6"/>
        <v>6120000</v>
      </c>
      <c r="F14" s="13">
        <f t="shared" si="7"/>
        <v>3.93</v>
      </c>
      <c r="G14" s="15">
        <f t="shared" si="8"/>
        <v>801720</v>
      </c>
      <c r="H14" s="13"/>
      <c r="I14" s="13">
        <f t="shared" si="9"/>
        <v>2.5499999999999998</v>
      </c>
      <c r="J14" s="13">
        <f t="shared" si="10"/>
        <v>3.16</v>
      </c>
      <c r="K14" s="12"/>
      <c r="L14" s="2">
        <f t="shared" si="11"/>
        <v>150000</v>
      </c>
      <c r="M14" s="13">
        <f t="shared" si="12"/>
        <v>3.05</v>
      </c>
      <c r="N14" s="13">
        <f t="shared" si="13"/>
        <v>2.4399999999999995</v>
      </c>
      <c r="O14" s="15">
        <f t="shared" si="14"/>
        <v>365999.99999999994</v>
      </c>
      <c r="Q14" s="2">
        <f t="shared" si="15"/>
        <v>120000</v>
      </c>
      <c r="R14" s="13">
        <f t="shared" si="16"/>
        <v>3.07</v>
      </c>
      <c r="S14" s="13">
        <f t="shared" si="0"/>
        <v>2.4599999999999995</v>
      </c>
      <c r="T14" s="15">
        <f t="shared" si="17"/>
        <v>295199.99999999994</v>
      </c>
      <c r="V14" s="2">
        <f t="shared" si="18"/>
        <v>90000</v>
      </c>
      <c r="W14" s="13">
        <f t="shared" si="19"/>
        <v>3.08</v>
      </c>
      <c r="X14" s="13">
        <f t="shared" si="1"/>
        <v>2.4699999999999998</v>
      </c>
      <c r="Y14" s="15">
        <f t="shared" si="20"/>
        <v>222299.99999999997</v>
      </c>
      <c r="AA14" s="2">
        <f t="shared" si="21"/>
        <v>90000</v>
      </c>
      <c r="AB14" s="13">
        <f t="shared" si="22"/>
        <v>3.03</v>
      </c>
      <c r="AC14" s="13">
        <f t="shared" si="2"/>
        <v>2.4199999999999995</v>
      </c>
      <c r="AD14" s="15">
        <f t="shared" si="23"/>
        <v>217799.99999999994</v>
      </c>
      <c r="AF14" s="2">
        <f t="shared" si="24"/>
        <v>450000</v>
      </c>
      <c r="AG14" s="15">
        <f t="shared" si="3"/>
        <v>1101299.9999999998</v>
      </c>
      <c r="AI14" s="2">
        <f t="shared" si="25"/>
        <v>6570000</v>
      </c>
      <c r="AJ14" s="2">
        <f t="shared" si="26"/>
        <v>1903019.9999999998</v>
      </c>
    </row>
    <row r="15" spans="1:36" x14ac:dyDescent="0.2">
      <c r="A15" s="12">
        <v>37226</v>
      </c>
      <c r="B15" s="14">
        <f t="shared" si="4"/>
        <v>31</v>
      </c>
      <c r="C15" s="14"/>
      <c r="D15" s="2">
        <f t="shared" si="5"/>
        <v>158100</v>
      </c>
      <c r="E15" s="2">
        <f t="shared" si="6"/>
        <v>4901100</v>
      </c>
      <c r="F15" s="13">
        <f t="shared" si="7"/>
        <v>3.93</v>
      </c>
      <c r="G15" s="15">
        <f t="shared" si="8"/>
        <v>621333</v>
      </c>
      <c r="H15" s="13"/>
      <c r="I15" s="13">
        <f t="shared" si="9"/>
        <v>2.5499999999999998</v>
      </c>
      <c r="J15" s="13">
        <f t="shared" si="10"/>
        <v>2.2799999999999998</v>
      </c>
      <c r="K15" s="12"/>
      <c r="L15" s="2">
        <f t="shared" si="11"/>
        <v>155000</v>
      </c>
      <c r="M15" s="13">
        <f t="shared" si="12"/>
        <v>2.2400000000000002</v>
      </c>
      <c r="N15" s="13">
        <f t="shared" si="13"/>
        <v>2.5100000000000002</v>
      </c>
      <c r="O15" s="15">
        <f t="shared" si="14"/>
        <v>389050.00000000006</v>
      </c>
      <c r="Q15" s="2">
        <f t="shared" si="15"/>
        <v>124000</v>
      </c>
      <c r="R15" s="13">
        <f t="shared" si="16"/>
        <v>2.2200000000000002</v>
      </c>
      <c r="S15" s="13">
        <f t="shared" si="0"/>
        <v>2.4900000000000002</v>
      </c>
      <c r="T15" s="15">
        <f t="shared" si="17"/>
        <v>308760</v>
      </c>
      <c r="V15" s="2">
        <f t="shared" si="18"/>
        <v>93000</v>
      </c>
      <c r="W15" s="13">
        <f t="shared" si="19"/>
        <v>2.23</v>
      </c>
      <c r="X15" s="13">
        <f t="shared" si="1"/>
        <v>2.5</v>
      </c>
      <c r="Y15" s="15">
        <f t="shared" si="20"/>
        <v>232500</v>
      </c>
      <c r="AA15" s="2">
        <f t="shared" si="21"/>
        <v>93000</v>
      </c>
      <c r="AB15" s="13">
        <f t="shared" si="22"/>
        <v>2.2000000000000002</v>
      </c>
      <c r="AC15" s="13">
        <f t="shared" si="2"/>
        <v>2.4700000000000002</v>
      </c>
      <c r="AD15" s="15">
        <f t="shared" si="23"/>
        <v>229710.00000000003</v>
      </c>
      <c r="AF15" s="2">
        <f t="shared" si="24"/>
        <v>465000</v>
      </c>
      <c r="AG15" s="15">
        <f t="shared" si="3"/>
        <v>1160020</v>
      </c>
      <c r="AI15" s="2">
        <f t="shared" si="25"/>
        <v>5366100</v>
      </c>
      <c r="AJ15" s="2">
        <f t="shared" si="26"/>
        <v>1781353</v>
      </c>
    </row>
    <row r="16" spans="1:36" x14ac:dyDescent="0.2">
      <c r="A16" s="12">
        <v>37257</v>
      </c>
      <c r="B16" s="14">
        <f t="shared" si="4"/>
        <v>31</v>
      </c>
      <c r="C16" s="14"/>
      <c r="D16" s="2">
        <f t="shared" si="5"/>
        <v>158100</v>
      </c>
      <c r="E16" s="2">
        <f t="shared" si="6"/>
        <v>4901100</v>
      </c>
      <c r="F16" s="13">
        <f t="shared" si="7"/>
        <v>4.2300000000000004</v>
      </c>
      <c r="G16" s="15">
        <f t="shared" si="8"/>
        <v>668763.00000000012</v>
      </c>
      <c r="H16" s="13"/>
      <c r="I16" s="13">
        <f t="shared" si="9"/>
        <v>2.5499999999999998</v>
      </c>
      <c r="J16" s="13">
        <f t="shared" si="10"/>
        <v>2.61</v>
      </c>
      <c r="K16" s="12"/>
      <c r="L16" s="2">
        <f t="shared" si="11"/>
        <v>155000</v>
      </c>
      <c r="M16" s="13">
        <f t="shared" si="12"/>
        <v>2.5099999999999998</v>
      </c>
      <c r="N16" s="13">
        <f t="shared" si="13"/>
        <v>2.4499999999999997</v>
      </c>
      <c r="O16" s="15">
        <f t="shared" si="14"/>
        <v>379749.99999999994</v>
      </c>
      <c r="Q16" s="2">
        <f t="shared" si="15"/>
        <v>124000</v>
      </c>
      <c r="R16" s="13">
        <f t="shared" si="16"/>
        <v>2.5</v>
      </c>
      <c r="S16" s="13">
        <f t="shared" si="0"/>
        <v>2.44</v>
      </c>
      <c r="T16" s="15">
        <f t="shared" si="17"/>
        <v>302560</v>
      </c>
      <c r="V16" s="2">
        <f t="shared" si="18"/>
        <v>93000</v>
      </c>
      <c r="W16" s="13">
        <f t="shared" si="19"/>
        <v>2.4900000000000002</v>
      </c>
      <c r="X16" s="13">
        <f t="shared" si="1"/>
        <v>2.4300000000000002</v>
      </c>
      <c r="Y16" s="15">
        <f t="shared" si="20"/>
        <v>225990.00000000003</v>
      </c>
      <c r="AA16" s="2">
        <f t="shared" si="21"/>
        <v>93000</v>
      </c>
      <c r="AB16" s="13">
        <f t="shared" si="22"/>
        <v>2.4700000000000002</v>
      </c>
      <c r="AC16" s="13">
        <f t="shared" si="2"/>
        <v>2.41</v>
      </c>
      <c r="AD16" s="15">
        <f t="shared" si="23"/>
        <v>224130</v>
      </c>
      <c r="AF16" s="2">
        <f t="shared" si="24"/>
        <v>465000</v>
      </c>
      <c r="AG16" s="15">
        <f t="shared" si="3"/>
        <v>1132430</v>
      </c>
      <c r="AI16" s="2">
        <f t="shared" si="25"/>
        <v>5366100</v>
      </c>
      <c r="AJ16" s="2">
        <f t="shared" si="26"/>
        <v>1801193</v>
      </c>
    </row>
    <row r="17" spans="1:36" x14ac:dyDescent="0.2">
      <c r="A17" s="12">
        <v>37288</v>
      </c>
      <c r="B17" s="14">
        <f t="shared" si="4"/>
        <v>28</v>
      </c>
      <c r="C17" s="14"/>
      <c r="D17" s="2">
        <f t="shared" si="5"/>
        <v>142800</v>
      </c>
      <c r="E17" s="2">
        <f t="shared" si="6"/>
        <v>3998400</v>
      </c>
      <c r="F17" s="13">
        <f t="shared" si="7"/>
        <v>4.2300000000000004</v>
      </c>
      <c r="G17" s="15">
        <f t="shared" si="8"/>
        <v>604044.00000000012</v>
      </c>
      <c r="H17" s="13"/>
      <c r="I17" s="13">
        <f t="shared" si="9"/>
        <v>2.5499999999999998</v>
      </c>
      <c r="J17" s="13">
        <f t="shared" si="10"/>
        <v>2.0299999999999998</v>
      </c>
      <c r="K17" s="12"/>
      <c r="L17" s="2">
        <f t="shared" si="11"/>
        <v>140000</v>
      </c>
      <c r="M17" s="13">
        <f t="shared" si="12"/>
        <v>1.9</v>
      </c>
      <c r="N17" s="13">
        <f t="shared" si="13"/>
        <v>2.42</v>
      </c>
      <c r="O17" s="15">
        <f t="shared" si="14"/>
        <v>338800</v>
      </c>
      <c r="Q17" s="2">
        <f t="shared" si="15"/>
        <v>112000</v>
      </c>
      <c r="R17" s="13">
        <f t="shared" si="16"/>
        <v>1.94</v>
      </c>
      <c r="S17" s="13">
        <f t="shared" si="0"/>
        <v>2.46</v>
      </c>
      <c r="T17" s="15">
        <f t="shared" si="17"/>
        <v>275520</v>
      </c>
      <c r="V17" s="2">
        <f t="shared" si="18"/>
        <v>84000</v>
      </c>
      <c r="W17" s="13">
        <f t="shared" si="19"/>
        <v>1.93</v>
      </c>
      <c r="X17" s="13">
        <f t="shared" si="1"/>
        <v>2.4500000000000002</v>
      </c>
      <c r="Y17" s="15">
        <f t="shared" si="20"/>
        <v>205800.00000000003</v>
      </c>
      <c r="AA17" s="2">
        <f t="shared" si="21"/>
        <v>84000</v>
      </c>
      <c r="AB17" s="13">
        <f t="shared" si="22"/>
        <v>1.89</v>
      </c>
      <c r="AC17" s="13">
        <f t="shared" si="2"/>
        <v>2.41</v>
      </c>
      <c r="AD17" s="15">
        <f t="shared" si="23"/>
        <v>202440</v>
      </c>
      <c r="AF17" s="2">
        <f t="shared" si="24"/>
        <v>420000</v>
      </c>
      <c r="AG17" s="15">
        <f t="shared" si="3"/>
        <v>1022560</v>
      </c>
      <c r="AI17" s="2">
        <f t="shared" si="25"/>
        <v>4418400</v>
      </c>
      <c r="AJ17" s="2">
        <f t="shared" si="26"/>
        <v>1626604</v>
      </c>
    </row>
    <row r="18" spans="1:36" x14ac:dyDescent="0.2">
      <c r="A18" s="12">
        <v>37316</v>
      </c>
      <c r="B18" s="14">
        <f t="shared" si="4"/>
        <v>31</v>
      </c>
      <c r="C18" s="14"/>
      <c r="D18" s="2">
        <f t="shared" si="5"/>
        <v>210800</v>
      </c>
      <c r="E18" s="2">
        <f t="shared" si="6"/>
        <v>6534800</v>
      </c>
      <c r="F18" s="13">
        <f t="shared" si="7"/>
        <v>4.2300000000000004</v>
      </c>
      <c r="G18" s="15">
        <f t="shared" si="8"/>
        <v>891684.00000000012</v>
      </c>
      <c r="H18" s="13"/>
      <c r="I18" s="13">
        <f t="shared" si="9"/>
        <v>2.5499999999999998</v>
      </c>
      <c r="J18" s="13">
        <f t="shared" si="10"/>
        <v>2.39</v>
      </c>
      <c r="K18" s="12"/>
      <c r="L18" s="2">
        <f t="shared" si="11"/>
        <v>155000</v>
      </c>
      <c r="M18" s="13">
        <f t="shared" si="12"/>
        <v>2.2999999999999998</v>
      </c>
      <c r="N18" s="13">
        <f t="shared" si="13"/>
        <v>2.4599999999999995</v>
      </c>
      <c r="O18" s="15">
        <f t="shared" si="14"/>
        <v>381299.99999999994</v>
      </c>
      <c r="Q18" s="2">
        <f t="shared" si="15"/>
        <v>124000</v>
      </c>
      <c r="R18" s="13">
        <f t="shared" si="16"/>
        <v>2.33</v>
      </c>
      <c r="S18" s="13">
        <f t="shared" si="0"/>
        <v>2.4899999999999998</v>
      </c>
      <c r="T18" s="15">
        <f t="shared" si="17"/>
        <v>308760</v>
      </c>
      <c r="V18" s="2">
        <f t="shared" si="18"/>
        <v>93000</v>
      </c>
      <c r="W18" s="13">
        <f t="shared" si="19"/>
        <v>2.3199999999999998</v>
      </c>
      <c r="X18" s="13">
        <f t="shared" si="1"/>
        <v>2.4799999999999995</v>
      </c>
      <c r="Y18" s="15">
        <f t="shared" si="20"/>
        <v>230639.99999999997</v>
      </c>
      <c r="AA18" s="2">
        <f t="shared" si="21"/>
        <v>93000</v>
      </c>
      <c r="AB18" s="13">
        <f t="shared" si="22"/>
        <v>2.27</v>
      </c>
      <c r="AC18" s="13">
        <f t="shared" si="2"/>
        <v>2.4299999999999997</v>
      </c>
      <c r="AD18" s="15">
        <f t="shared" si="23"/>
        <v>225989.99999999997</v>
      </c>
      <c r="AF18" s="2">
        <f t="shared" si="24"/>
        <v>465000</v>
      </c>
      <c r="AG18" s="15">
        <f t="shared" si="3"/>
        <v>1146690</v>
      </c>
      <c r="AI18" s="2">
        <f t="shared" si="25"/>
        <v>6999800</v>
      </c>
      <c r="AJ18" s="2">
        <f t="shared" si="26"/>
        <v>2038374</v>
      </c>
    </row>
    <row r="19" spans="1:36" x14ac:dyDescent="0.2">
      <c r="A19" s="12">
        <v>37347</v>
      </c>
      <c r="B19" s="14">
        <f t="shared" si="4"/>
        <v>30</v>
      </c>
      <c r="C19" s="14"/>
      <c r="D19" s="2">
        <f t="shared" si="5"/>
        <v>204000</v>
      </c>
      <c r="E19" s="2">
        <f t="shared" si="6"/>
        <v>6120000</v>
      </c>
      <c r="F19" s="13">
        <f t="shared" si="7"/>
        <v>4.2300000000000004</v>
      </c>
      <c r="G19" s="15">
        <f t="shared" si="8"/>
        <v>862920.00000000012</v>
      </c>
      <c r="H19" s="13"/>
      <c r="I19" s="13">
        <f t="shared" si="9"/>
        <v>2.5499999999999998</v>
      </c>
      <c r="J19" s="13">
        <f t="shared" si="10"/>
        <v>3.4</v>
      </c>
      <c r="K19" s="12"/>
      <c r="L19" s="2">
        <f t="shared" si="11"/>
        <v>150000</v>
      </c>
      <c r="M19" s="13">
        <f t="shared" si="12"/>
        <v>3.29</v>
      </c>
      <c r="N19" s="13">
        <f t="shared" si="13"/>
        <v>2.44</v>
      </c>
      <c r="O19" s="15">
        <f t="shared" si="14"/>
        <v>366000</v>
      </c>
      <c r="Q19" s="2">
        <f t="shared" si="15"/>
        <v>120000</v>
      </c>
      <c r="R19" s="13">
        <f t="shared" si="16"/>
        <v>3.31</v>
      </c>
      <c r="S19" s="13">
        <f t="shared" si="0"/>
        <v>2.46</v>
      </c>
      <c r="T19" s="15">
        <f t="shared" si="17"/>
        <v>295200</v>
      </c>
      <c r="V19" s="2">
        <f t="shared" si="18"/>
        <v>90000</v>
      </c>
      <c r="W19" s="13">
        <f t="shared" si="19"/>
        <v>3.33</v>
      </c>
      <c r="X19" s="13">
        <f t="shared" si="1"/>
        <v>2.48</v>
      </c>
      <c r="Y19" s="15">
        <f t="shared" si="20"/>
        <v>223200</v>
      </c>
      <c r="AA19" s="2">
        <f t="shared" si="21"/>
        <v>90000</v>
      </c>
      <c r="AB19" s="13">
        <f t="shared" si="22"/>
        <v>3.28</v>
      </c>
      <c r="AC19" s="13">
        <f t="shared" si="2"/>
        <v>2.4299999999999997</v>
      </c>
      <c r="AD19" s="15">
        <f t="shared" si="23"/>
        <v>218699.99999999997</v>
      </c>
      <c r="AF19" s="2">
        <f t="shared" si="24"/>
        <v>450000</v>
      </c>
      <c r="AG19" s="15">
        <f t="shared" si="3"/>
        <v>1103100</v>
      </c>
      <c r="AI19" s="2">
        <f t="shared" si="25"/>
        <v>6570000</v>
      </c>
      <c r="AJ19" s="2">
        <f t="shared" si="26"/>
        <v>1966020</v>
      </c>
    </row>
    <row r="20" spans="1:36" x14ac:dyDescent="0.2">
      <c r="A20" s="12">
        <v>37377</v>
      </c>
    </row>
  </sheetData>
  <mergeCells count="2">
    <mergeCell ref="D1:G1"/>
    <mergeCell ref="I1:AG1"/>
  </mergeCells>
  <phoneticPr fontId="0" type="noConversion"/>
  <pageMargins left="0.75" right="0.75" top="1" bottom="1" header="0.5" footer="0.5"/>
  <pageSetup paperSize="5" scale="5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/>
  </sheetViews>
  <sheetFormatPr defaultRowHeight="12.75" x14ac:dyDescent="0.2"/>
  <cols>
    <col min="2" max="4" width="13.28515625" bestFit="1" customWidth="1"/>
    <col min="5" max="5" width="3.5703125" customWidth="1"/>
    <col min="6" max="6" width="9.85546875" bestFit="1" customWidth="1"/>
    <col min="7" max="7" width="9.85546875" customWidth="1"/>
    <col min="8" max="8" width="12.7109375" bestFit="1" customWidth="1"/>
    <col min="9" max="9" width="9.85546875" customWidth="1"/>
    <col min="10" max="10" width="12.85546875" bestFit="1" customWidth="1"/>
    <col min="11" max="13" width="12.85546875" customWidth="1"/>
    <col min="14" max="14" width="13.28515625" bestFit="1" customWidth="1"/>
    <col min="15" max="15" width="12.85546875" bestFit="1" customWidth="1"/>
    <col min="16" max="16" width="12.7109375" bestFit="1" customWidth="1"/>
    <col min="20" max="20" width="12.85546875" bestFit="1" customWidth="1"/>
    <col min="22" max="22" width="14.42578125" bestFit="1" customWidth="1"/>
  </cols>
  <sheetData>
    <row r="1" spans="1:22" x14ac:dyDescent="0.2">
      <c r="B1" s="1" t="s">
        <v>0</v>
      </c>
      <c r="F1" s="1" t="s">
        <v>2</v>
      </c>
    </row>
    <row r="2" spans="1:22" x14ac:dyDescent="0.2">
      <c r="B2" t="s">
        <v>35</v>
      </c>
      <c r="C2" t="s">
        <v>36</v>
      </c>
      <c r="D2" t="s">
        <v>37</v>
      </c>
      <c r="F2" t="s">
        <v>35</v>
      </c>
      <c r="G2" t="s">
        <v>36</v>
      </c>
      <c r="H2" t="s">
        <v>37</v>
      </c>
      <c r="J2" t="s">
        <v>35</v>
      </c>
      <c r="K2" t="s">
        <v>36</v>
      </c>
      <c r="L2" t="s">
        <v>37</v>
      </c>
      <c r="N2" t="s">
        <v>35</v>
      </c>
      <c r="O2" t="s">
        <v>36</v>
      </c>
      <c r="P2" t="s">
        <v>37</v>
      </c>
      <c r="R2" t="s">
        <v>35</v>
      </c>
      <c r="S2" t="s">
        <v>36</v>
      </c>
      <c r="T2" t="s">
        <v>37</v>
      </c>
      <c r="V2" t="s">
        <v>38</v>
      </c>
    </row>
    <row r="3" spans="1:22" x14ac:dyDescent="0.2">
      <c r="B3" t="s">
        <v>11</v>
      </c>
      <c r="C3" t="s">
        <v>11</v>
      </c>
      <c r="D3" t="s">
        <v>11</v>
      </c>
      <c r="F3" t="s">
        <v>10</v>
      </c>
      <c r="G3" t="s">
        <v>10</v>
      </c>
      <c r="H3" t="s">
        <v>10</v>
      </c>
      <c r="J3" t="s">
        <v>3</v>
      </c>
      <c r="K3" t="s">
        <v>3</v>
      </c>
      <c r="L3" t="s">
        <v>3</v>
      </c>
      <c r="N3" t="s">
        <v>11</v>
      </c>
      <c r="O3" t="s">
        <v>11</v>
      </c>
      <c r="P3" t="s">
        <v>11</v>
      </c>
      <c r="R3" t="s">
        <v>1</v>
      </c>
      <c r="S3" t="s">
        <v>1</v>
      </c>
      <c r="T3" t="s">
        <v>1</v>
      </c>
    </row>
    <row r="4" spans="1:22" x14ac:dyDescent="0.2">
      <c r="A4" s="12">
        <v>36892</v>
      </c>
      <c r="B4" s="17"/>
      <c r="C4" s="18"/>
      <c r="D4" s="18"/>
      <c r="E4" s="17"/>
      <c r="F4" s="17"/>
      <c r="G4" s="18"/>
      <c r="H4" s="18"/>
      <c r="I4" s="17"/>
      <c r="J4" s="17"/>
      <c r="K4" s="18"/>
      <c r="L4" s="18"/>
      <c r="M4" s="17"/>
      <c r="N4" s="17"/>
      <c r="O4" s="18"/>
      <c r="P4" s="18"/>
      <c r="R4" s="17"/>
      <c r="S4" s="18"/>
      <c r="T4" s="18"/>
      <c r="U4" s="18"/>
    </row>
    <row r="5" spans="1:22" x14ac:dyDescent="0.2">
      <c r="A5" s="12">
        <v>36923</v>
      </c>
      <c r="B5" s="17"/>
      <c r="C5" s="18"/>
      <c r="D5" s="18"/>
      <c r="E5" s="17"/>
      <c r="F5" s="17"/>
      <c r="G5" s="18"/>
      <c r="H5" s="18"/>
      <c r="I5" s="17"/>
      <c r="J5" s="17"/>
      <c r="K5" s="18"/>
      <c r="L5" s="18"/>
      <c r="M5" s="17"/>
      <c r="N5" s="17"/>
      <c r="O5" s="18"/>
      <c r="P5" s="18"/>
      <c r="R5" s="17"/>
      <c r="S5" s="18"/>
      <c r="T5" s="18"/>
      <c r="U5" s="18"/>
    </row>
    <row r="6" spans="1:22" x14ac:dyDescent="0.2">
      <c r="A6" s="12">
        <v>36951</v>
      </c>
      <c r="B6" s="17"/>
      <c r="C6" s="18"/>
      <c r="D6" s="18"/>
      <c r="E6" s="17"/>
      <c r="F6" s="17"/>
      <c r="G6" s="18"/>
      <c r="H6" s="18"/>
      <c r="I6" s="17"/>
      <c r="J6" s="17"/>
      <c r="K6" s="18"/>
      <c r="L6" s="18"/>
      <c r="M6" s="17"/>
      <c r="N6" s="17"/>
      <c r="O6" s="18"/>
      <c r="P6" s="18"/>
      <c r="R6" s="17"/>
      <c r="S6" s="18"/>
      <c r="T6" s="18"/>
      <c r="U6" s="18"/>
    </row>
    <row r="7" spans="1:22" x14ac:dyDescent="0.2">
      <c r="A7" s="12">
        <v>36982</v>
      </c>
      <c r="B7" s="17"/>
      <c r="C7" s="18"/>
      <c r="D7" s="18"/>
      <c r="E7" s="17"/>
      <c r="F7" s="17"/>
      <c r="G7" s="18"/>
      <c r="H7" s="18"/>
      <c r="I7" s="17"/>
      <c r="J7" s="17"/>
      <c r="K7" s="18"/>
      <c r="L7" s="18"/>
      <c r="M7" s="17"/>
      <c r="N7" s="17"/>
      <c r="O7" s="18"/>
      <c r="P7" s="18"/>
      <c r="R7" s="17"/>
      <c r="S7" s="18"/>
      <c r="T7" s="18"/>
      <c r="U7" s="18"/>
    </row>
    <row r="8" spans="1:22" x14ac:dyDescent="0.2">
      <c r="A8" s="12">
        <v>37012</v>
      </c>
      <c r="B8" s="17"/>
      <c r="C8" s="18"/>
      <c r="D8" s="18"/>
      <c r="E8" s="17"/>
      <c r="F8" s="17">
        <v>124000</v>
      </c>
      <c r="G8" s="18">
        <v>4.883</v>
      </c>
      <c r="H8" s="18">
        <f>F8*G8</f>
        <v>605492</v>
      </c>
      <c r="I8" s="17"/>
      <c r="J8" s="17">
        <v>155000</v>
      </c>
      <c r="K8" s="18">
        <v>4.9329999999999998</v>
      </c>
      <c r="L8" s="18">
        <f>J8*K8</f>
        <v>764615</v>
      </c>
      <c r="M8" s="17"/>
      <c r="N8" s="17">
        <v>93000</v>
      </c>
      <c r="O8" s="18">
        <v>4.843</v>
      </c>
      <c r="P8" s="19">
        <f>N8*O8</f>
        <v>450399</v>
      </c>
      <c r="R8" s="17">
        <v>93000</v>
      </c>
      <c r="S8" s="18">
        <v>4.843</v>
      </c>
      <c r="T8" s="19">
        <f>R8*S8</f>
        <v>450399</v>
      </c>
      <c r="U8" s="18"/>
      <c r="V8" s="19">
        <f>H8+L8+P8+T8</f>
        <v>2270905</v>
      </c>
    </row>
    <row r="9" spans="1:22" x14ac:dyDescent="0.2">
      <c r="A9" s="12"/>
      <c r="B9" s="17"/>
      <c r="C9" s="18"/>
      <c r="D9" s="18"/>
      <c r="E9" s="17"/>
      <c r="F9" s="17">
        <v>80501</v>
      </c>
      <c r="G9" s="18">
        <v>3.8317000000000001</v>
      </c>
      <c r="H9" s="18">
        <f>F9*G9</f>
        <v>308455.68170000002</v>
      </c>
      <c r="I9" s="17"/>
      <c r="J9" s="17"/>
      <c r="K9" s="18"/>
      <c r="L9" s="18"/>
      <c r="M9" s="17"/>
      <c r="N9" s="17"/>
      <c r="O9" s="18"/>
      <c r="P9" s="19"/>
      <c r="R9" s="17"/>
      <c r="S9" s="18"/>
      <c r="T9" s="19"/>
      <c r="U9" s="18"/>
      <c r="V9" s="19"/>
    </row>
    <row r="10" spans="1:22" x14ac:dyDescent="0.2">
      <c r="A10" s="12">
        <v>37043</v>
      </c>
      <c r="B10" s="17"/>
      <c r="C10" s="18"/>
      <c r="D10" s="18"/>
      <c r="E10" s="17"/>
      <c r="F10" s="17">
        <v>120000</v>
      </c>
      <c r="G10" s="18">
        <v>3.8317000000000001</v>
      </c>
      <c r="H10" s="18">
        <f>F10*G10</f>
        <v>459804</v>
      </c>
      <c r="I10" s="17"/>
      <c r="J10" s="17"/>
      <c r="K10" s="18"/>
      <c r="L10" s="18"/>
      <c r="M10" s="17"/>
      <c r="N10" s="17"/>
      <c r="O10" s="18"/>
      <c r="P10" s="18"/>
      <c r="R10" s="17"/>
      <c r="S10" s="18"/>
      <c r="T10" s="18"/>
      <c r="U10" s="18"/>
    </row>
    <row r="11" spans="1:22" x14ac:dyDescent="0.2">
      <c r="A11" s="12">
        <v>37073</v>
      </c>
      <c r="B11" s="17"/>
      <c r="C11" s="18"/>
      <c r="D11" s="18"/>
      <c r="E11" s="17"/>
      <c r="F11" s="17">
        <v>124000</v>
      </c>
      <c r="G11" s="18">
        <f>3.2517-0.79167</f>
        <v>2.4600300000000002</v>
      </c>
      <c r="H11" s="18">
        <f>F11*G11</f>
        <v>305043.72000000003</v>
      </c>
      <c r="I11" s="17"/>
      <c r="J11" s="17">
        <v>155000</v>
      </c>
      <c r="K11" s="18">
        <f>3.2317-0.79167</f>
        <v>2.4400300000000001</v>
      </c>
      <c r="L11" s="18">
        <f>J11*K11</f>
        <v>378204.65</v>
      </c>
      <c r="M11" s="17"/>
      <c r="N11" s="17">
        <v>93000</v>
      </c>
      <c r="O11" s="18">
        <f>3.2517-0.79167</f>
        <v>2.4600300000000002</v>
      </c>
      <c r="P11" s="19">
        <f>N11*O11</f>
        <v>228782.79</v>
      </c>
      <c r="R11" s="17">
        <v>93000</v>
      </c>
      <c r="S11" s="18">
        <f>3.2517-0.79167</f>
        <v>2.4600300000000002</v>
      </c>
      <c r="T11" s="19">
        <f>R11*S11</f>
        <v>228782.79</v>
      </c>
      <c r="U11" s="18"/>
      <c r="V11" s="19">
        <f>H11+L11+P11+T11</f>
        <v>1140813.9500000002</v>
      </c>
    </row>
    <row r="12" spans="1:22" x14ac:dyDescent="0.2">
      <c r="A12" s="12">
        <v>37104</v>
      </c>
      <c r="B12" s="17">
        <v>210800</v>
      </c>
      <c r="C12" s="18">
        <v>3.93</v>
      </c>
      <c r="D12" s="19">
        <f>B12*C12</f>
        <v>828444</v>
      </c>
      <c r="E12" s="17"/>
      <c r="F12" s="17"/>
      <c r="G12" s="18"/>
      <c r="H12" s="18"/>
      <c r="I12" s="17"/>
      <c r="J12" s="17"/>
      <c r="K12" s="18"/>
      <c r="L12" s="18"/>
      <c r="M12" s="17"/>
      <c r="N12" s="17"/>
      <c r="O12" s="18"/>
      <c r="P12" s="18"/>
      <c r="R12" s="17"/>
      <c r="S12" s="18"/>
      <c r="T12" s="18"/>
      <c r="U12" s="18"/>
    </row>
    <row r="13" spans="1:22" x14ac:dyDescent="0.2">
      <c r="A13" s="12">
        <v>37135</v>
      </c>
      <c r="B13" s="17">
        <v>204000</v>
      </c>
      <c r="C13" s="18">
        <v>3.93</v>
      </c>
      <c r="D13" s="19">
        <f>B13*C13</f>
        <v>801720</v>
      </c>
      <c r="E13" s="17"/>
      <c r="F13" s="17"/>
      <c r="G13" s="18"/>
      <c r="H13" s="18"/>
      <c r="I13" s="17"/>
      <c r="J13" s="17"/>
      <c r="K13" s="18"/>
      <c r="L13" s="18"/>
      <c r="M13" s="17"/>
      <c r="N13" s="17"/>
      <c r="O13" s="18"/>
      <c r="P13" s="18"/>
      <c r="R13" s="17"/>
      <c r="S13" s="18"/>
      <c r="T13" s="18"/>
      <c r="U13" s="18"/>
    </row>
    <row r="14" spans="1:22" x14ac:dyDescent="0.2">
      <c r="A14" s="12">
        <v>37165</v>
      </c>
      <c r="B14" s="17"/>
      <c r="C14" s="18"/>
      <c r="D14" s="18"/>
      <c r="E14" s="17"/>
      <c r="F14" s="17"/>
      <c r="G14" s="18"/>
      <c r="H14" s="18"/>
      <c r="I14" s="17"/>
      <c r="J14" s="17"/>
      <c r="K14" s="18"/>
      <c r="L14" s="18"/>
      <c r="M14" s="17"/>
      <c r="N14" s="17"/>
      <c r="O14" s="18"/>
      <c r="P14" s="18"/>
      <c r="R14" s="17"/>
      <c r="S14" s="18"/>
      <c r="T14" s="18"/>
      <c r="U14" s="18"/>
    </row>
    <row r="15" spans="1:22" x14ac:dyDescent="0.2">
      <c r="A15" s="12">
        <v>37196</v>
      </c>
      <c r="B15" s="17">
        <v>204000</v>
      </c>
      <c r="C15" s="18">
        <v>3.93</v>
      </c>
      <c r="D15" s="19">
        <f>B15*C15</f>
        <v>801720</v>
      </c>
      <c r="E15" s="17"/>
      <c r="F15" s="17"/>
      <c r="G15" s="18"/>
      <c r="H15" s="18"/>
      <c r="I15" s="17"/>
      <c r="J15" s="17"/>
      <c r="K15" s="18"/>
      <c r="L15" s="18"/>
      <c r="M15" s="17"/>
      <c r="N15" s="17"/>
      <c r="O15" s="18"/>
      <c r="P15" s="18"/>
      <c r="R15" s="17"/>
      <c r="S15" s="18"/>
      <c r="T15" s="18"/>
      <c r="U15" s="18"/>
    </row>
    <row r="16" spans="1:22" x14ac:dyDescent="0.2">
      <c r="A16" s="12">
        <v>37226</v>
      </c>
      <c r="B16" s="17">
        <v>56100</v>
      </c>
      <c r="C16" s="18">
        <v>3.93</v>
      </c>
      <c r="D16" s="19">
        <f>B16*C16</f>
        <v>220473</v>
      </c>
      <c r="E16" s="17"/>
      <c r="F16" s="17">
        <v>38904</v>
      </c>
      <c r="G16" s="18">
        <f>2.2483+0.01067</f>
        <v>2.2589700000000001</v>
      </c>
      <c r="H16" s="18">
        <f>F16*G16</f>
        <v>87882.96888</v>
      </c>
      <c r="I16" s="17"/>
      <c r="J16" s="17"/>
      <c r="K16" s="18"/>
      <c r="L16" s="18"/>
      <c r="M16" s="17"/>
      <c r="N16" s="17"/>
      <c r="O16" s="18"/>
      <c r="P16" s="18"/>
      <c r="R16" s="17">
        <f>4850+330+20900</f>
        <v>26080</v>
      </c>
      <c r="S16" s="18">
        <v>2.298</v>
      </c>
      <c r="T16" s="18">
        <f>R16*S16</f>
        <v>59931.840000000004</v>
      </c>
      <c r="U16" s="18"/>
    </row>
    <row r="17" spans="1:21" x14ac:dyDescent="0.2">
      <c r="A17" s="12">
        <v>37257</v>
      </c>
      <c r="B17" s="17"/>
      <c r="C17" s="18"/>
      <c r="D17" s="18"/>
      <c r="E17" s="17"/>
      <c r="F17" s="17">
        <v>60000</v>
      </c>
      <c r="G17" s="18">
        <f>2.5283+0.01067</f>
        <v>2.5389700000000004</v>
      </c>
      <c r="H17" s="18">
        <f>F17*G17</f>
        <v>152338.20000000001</v>
      </c>
      <c r="I17" s="17"/>
      <c r="J17" s="17">
        <f>485+67725+6790</f>
        <v>75000</v>
      </c>
      <c r="K17" s="18">
        <f>2.5383+0.01067</f>
        <v>2.5489700000000002</v>
      </c>
      <c r="L17" s="18">
        <f>J17*K17</f>
        <v>191172.75</v>
      </c>
      <c r="M17" s="17"/>
      <c r="N17" s="17">
        <f>3000+42000</f>
        <v>45000</v>
      </c>
      <c r="O17" s="18">
        <f>2.5183+0.01067</f>
        <v>2.5289700000000002</v>
      </c>
      <c r="P17" s="18">
        <f>N17*O17</f>
        <v>113803.65000000001</v>
      </c>
      <c r="R17" s="17"/>
      <c r="S17" s="18"/>
      <c r="T17" s="18"/>
      <c r="U17" s="18"/>
    </row>
    <row r="18" spans="1:21" x14ac:dyDescent="0.2">
      <c r="A18" s="12">
        <v>37288</v>
      </c>
      <c r="B18" s="17"/>
      <c r="C18" s="18"/>
      <c r="D18" s="18"/>
      <c r="E18" s="17"/>
      <c r="F18" s="17">
        <v>112000</v>
      </c>
      <c r="G18" s="18">
        <f>1.9683+0.56633</f>
        <v>2.5346299999999999</v>
      </c>
      <c r="H18" s="18">
        <f>F18*G18</f>
        <v>283878.56</v>
      </c>
      <c r="I18" s="17"/>
      <c r="J18" s="17">
        <f>129757+10243</f>
        <v>140000</v>
      </c>
      <c r="K18" s="18">
        <f>1.9283+0.56633</f>
        <v>2.4946299999999999</v>
      </c>
      <c r="L18" s="18">
        <f>J18*K18</f>
        <v>349248.2</v>
      </c>
      <c r="M18" s="17"/>
      <c r="N18" s="17"/>
      <c r="O18" s="18"/>
      <c r="P18" s="18"/>
      <c r="R18" s="17">
        <v>168000</v>
      </c>
      <c r="S18" s="18">
        <v>1.988</v>
      </c>
      <c r="T18" s="18">
        <f>R18*S18</f>
        <v>333984</v>
      </c>
      <c r="U18" s="18"/>
    </row>
    <row r="19" spans="1:21" x14ac:dyDescent="0.2">
      <c r="A19" s="12">
        <v>37316</v>
      </c>
      <c r="B19" s="17"/>
      <c r="C19" s="18"/>
      <c r="D19" s="18"/>
      <c r="E19" s="17"/>
      <c r="F19" s="17">
        <v>124000</v>
      </c>
      <c r="G19" s="18">
        <f>2.3583+0.16867</f>
        <v>2.5269699999999999</v>
      </c>
      <c r="H19" s="18">
        <f>F19*G19</f>
        <v>313344.27999999997</v>
      </c>
      <c r="I19" s="17"/>
      <c r="J19" s="17"/>
      <c r="K19" s="18"/>
      <c r="L19" s="18"/>
      <c r="M19" s="17"/>
      <c r="N19" s="17">
        <v>93000</v>
      </c>
      <c r="O19" s="18">
        <f>2.3483+0.16867</f>
        <v>2.5169700000000002</v>
      </c>
      <c r="P19" s="18">
        <f>N19*O19</f>
        <v>234078.21000000002</v>
      </c>
      <c r="R19" s="17">
        <v>93000</v>
      </c>
      <c r="S19" s="18">
        <f>2.368+0.16867</f>
        <v>2.53667</v>
      </c>
      <c r="T19" s="18">
        <f>R19*S19</f>
        <v>235910.31</v>
      </c>
      <c r="U19" s="18"/>
    </row>
    <row r="20" spans="1:21" x14ac:dyDescent="0.2">
      <c r="A20" s="12">
        <v>37347</v>
      </c>
      <c r="B20" s="17"/>
      <c r="C20" s="18"/>
      <c r="D20" s="18"/>
      <c r="E20" s="17"/>
      <c r="F20" s="17"/>
      <c r="G20" s="18"/>
      <c r="H20" s="18"/>
      <c r="I20" s="17"/>
      <c r="J20" s="17"/>
      <c r="K20" s="18"/>
      <c r="L20" s="18"/>
      <c r="M20" s="17"/>
      <c r="N20" s="17"/>
      <c r="O20" s="17"/>
      <c r="P20" s="17"/>
      <c r="R20" s="17"/>
      <c r="S20" s="18"/>
      <c r="T20" s="18"/>
      <c r="U20" s="18"/>
    </row>
    <row r="21" spans="1:21" x14ac:dyDescent="0.2">
      <c r="B21" s="17"/>
      <c r="C21" s="18"/>
      <c r="D21" s="18"/>
      <c r="E21" s="17"/>
      <c r="F21" s="17"/>
      <c r="G21" s="18"/>
      <c r="H21" s="18"/>
      <c r="I21" s="17"/>
      <c r="J21" s="17"/>
      <c r="K21" s="18"/>
      <c r="L21" s="18"/>
      <c r="M21" s="17"/>
      <c r="N21" s="17"/>
      <c r="O21" s="17"/>
      <c r="P21" s="17"/>
      <c r="R21" s="17"/>
      <c r="S21" s="18"/>
      <c r="T21" s="18"/>
      <c r="U21" s="18"/>
    </row>
    <row r="22" spans="1:21" x14ac:dyDescent="0.2">
      <c r="B22" s="17"/>
      <c r="C22" s="18"/>
      <c r="D22" s="18"/>
      <c r="G22" s="18"/>
      <c r="H22" s="18"/>
      <c r="K22" s="18"/>
      <c r="L22" s="18"/>
      <c r="R22" s="17"/>
      <c r="S22" s="18"/>
      <c r="T22" s="18"/>
      <c r="U22" s="18"/>
    </row>
    <row r="23" spans="1:21" x14ac:dyDescent="0.2">
      <c r="G23" s="18"/>
      <c r="H23" s="18"/>
      <c r="K23" s="18"/>
      <c r="L23" s="18"/>
      <c r="R23" s="17"/>
    </row>
    <row r="24" spans="1:21" x14ac:dyDescent="0.2">
      <c r="K24" s="18"/>
      <c r="L24" s="18"/>
    </row>
    <row r="25" spans="1:21" x14ac:dyDescent="0.2">
      <c r="K25" s="18"/>
      <c r="L25" s="18"/>
    </row>
    <row r="26" spans="1:21" x14ac:dyDescent="0.2">
      <c r="K26" s="18"/>
      <c r="L26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Table of Contents</vt:lpstr>
      <vt:lpstr>Invoice Rec</vt:lpstr>
      <vt:lpstr>Invoice Rec2</vt:lpstr>
      <vt:lpstr>April Deficiency</vt:lpstr>
      <vt:lpstr>Assumptions</vt:lpstr>
      <vt:lpstr>Historical Calcs</vt:lpstr>
      <vt:lpstr>Invoice Analysis</vt:lpstr>
      <vt:lpstr>lookup_table</vt:lpstr>
      <vt:lpstr>names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Felienne</cp:lastModifiedBy>
  <cp:lastPrinted>2002-05-01T18:37:34Z</cp:lastPrinted>
  <dcterms:created xsi:type="dcterms:W3CDTF">2002-04-29T16:30:03Z</dcterms:created>
  <dcterms:modified xsi:type="dcterms:W3CDTF">2014-09-03T12:24:53Z</dcterms:modified>
</cp:coreProperties>
</file>