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075" yWindow="525" windowWidth="11595" windowHeight="7665" tabRatio="465" firstSheet="3" activeTab="5"/>
  </bookViews>
  <sheets>
    <sheet name="IT &amp; Pooling" sheetId="10" r:id="rId1"/>
    <sheet name="CES IT" sheetId="18" r:id="rId2"/>
    <sheet name="East Capacity" sheetId="17" r:id="rId3"/>
    <sheet name="Mrkt East Capacity" sheetId="19" r:id="rId4"/>
    <sheet name="Feb Matrix" sheetId="12" r:id="rId5"/>
    <sheet name="Rates" sheetId="20" r:id="rId6"/>
    <sheet name="Notes" sheetId="5" r:id="rId7"/>
    <sheet name="Offseason Rate" sheetId="16" r:id="rId8"/>
    <sheet name="Special Rates" sheetId="11" r:id="rId9"/>
    <sheet name="Basis" sheetId="1" r:id="rId10"/>
  </sheets>
  <definedNames>
    <definedName name="_xlnm.Print_Area" localSheetId="9">Basis!$A$33:$I$42</definedName>
    <definedName name="_xlnm.Print_Area" localSheetId="4">'Feb Matrix'!$A$3:$L$74</definedName>
    <definedName name="_xlnm.Print_Area" localSheetId="3">'Mrkt East Capacity'!$11:$12</definedName>
    <definedName name="_xlnm.Print_Area" localSheetId="5">Rates!$S$1:$X$72</definedName>
  </definedNames>
  <calcPr calcId="152511" fullCalcOnLoad="1"/>
</workbook>
</file>

<file path=xl/calcChain.xml><?xml version="1.0" encoding="utf-8"?>
<calcChain xmlns="http://schemas.openxmlformats.org/spreadsheetml/2006/main">
  <c r="D13" i="1" l="1"/>
  <c r="H13" i="1" s="1"/>
  <c r="D15" i="1"/>
  <c r="C17" i="1"/>
  <c r="D25" i="1"/>
  <c r="E25" i="1"/>
  <c r="E26" i="1"/>
  <c r="E27" i="1"/>
  <c r="D28" i="1"/>
  <c r="H28" i="1" s="1"/>
  <c r="F28" i="1"/>
  <c r="I28" i="1" s="1"/>
  <c r="D29" i="1"/>
  <c r="E29" i="1"/>
  <c r="C30" i="1"/>
  <c r="D38" i="1"/>
  <c r="H38" i="1" s="1"/>
  <c r="C39" i="1"/>
  <c r="D37" i="1" s="1"/>
  <c r="C45" i="1"/>
  <c r="D45" i="1"/>
  <c r="E45" i="1" s="1"/>
  <c r="I45" i="1" s="1"/>
  <c r="C46" i="1"/>
  <c r="D46" i="1"/>
  <c r="E46" i="1" s="1"/>
  <c r="I46" i="1" s="1"/>
  <c r="C50" i="1"/>
  <c r="I50" i="1"/>
  <c r="C51" i="1"/>
  <c r="I51" i="1" s="1"/>
  <c r="C55" i="1"/>
  <c r="I55" i="1"/>
  <c r="C56" i="1"/>
  <c r="I56" i="1"/>
  <c r="C57" i="1"/>
  <c r="I57" i="1"/>
  <c r="D74" i="1"/>
  <c r="F74" i="1" s="1"/>
  <c r="I74" i="1" s="1"/>
  <c r="E74" i="1"/>
  <c r="H74" i="1"/>
  <c r="D78" i="1"/>
  <c r="H78" i="1" s="1"/>
  <c r="E78" i="1"/>
  <c r="E102" i="1"/>
  <c r="G102" i="1"/>
  <c r="H102" i="1"/>
  <c r="L102" i="1"/>
  <c r="D103" i="1"/>
  <c r="H103" i="1" s="1"/>
  <c r="E103" i="1"/>
  <c r="L103" i="1"/>
  <c r="M103" i="1" s="1"/>
  <c r="N103" i="1" s="1"/>
  <c r="O103" i="1"/>
  <c r="D104" i="1"/>
  <c r="C105" i="1"/>
  <c r="D102" i="1" s="1"/>
  <c r="C106" i="1"/>
  <c r="C108" i="1" s="1"/>
  <c r="C107" i="1"/>
  <c r="D108" i="1"/>
  <c r="D110" i="1"/>
  <c r="L110" i="1"/>
  <c r="D111" i="1"/>
  <c r="H111" i="1" s="1"/>
  <c r="L111" i="1"/>
  <c r="D112" i="1"/>
  <c r="C113" i="1"/>
  <c r="D132" i="1"/>
  <c r="E132" i="1"/>
  <c r="M132" i="1" s="1"/>
  <c r="N132" i="1" s="1"/>
  <c r="O132" i="1" s="1"/>
  <c r="O134" i="1" s="1"/>
  <c r="L132" i="1"/>
  <c r="D133" i="1"/>
  <c r="G133" i="1" s="1"/>
  <c r="E133" i="1"/>
  <c r="M133" i="1" s="1"/>
  <c r="N133" i="1" s="1"/>
  <c r="O133" i="1" s="1"/>
  <c r="L133" i="1"/>
  <c r="D134" i="1"/>
  <c r="C135" i="1"/>
  <c r="C136" i="1"/>
  <c r="C137" i="1"/>
  <c r="C138" i="1"/>
  <c r="D138" i="1" s="1"/>
  <c r="D140" i="1"/>
  <c r="L140" i="1"/>
  <c r="D141" i="1"/>
  <c r="L141" i="1"/>
  <c r="D142" i="1"/>
  <c r="C143" i="1"/>
  <c r="D152" i="1"/>
  <c r="E152" i="1"/>
  <c r="M152" i="1" s="1"/>
  <c r="N152" i="1" s="1"/>
  <c r="O152" i="1" s="1"/>
  <c r="O154" i="1" s="1"/>
  <c r="L152" i="1"/>
  <c r="D153" i="1"/>
  <c r="E153" i="1"/>
  <c r="L153" i="1"/>
  <c r="M153" i="1"/>
  <c r="N153" i="1"/>
  <c r="O153" i="1" s="1"/>
  <c r="D154" i="1"/>
  <c r="C155" i="1"/>
  <c r="C156" i="1"/>
  <c r="C157" i="1"/>
  <c r="C158" i="1"/>
  <c r="D158" i="1"/>
  <c r="L160" i="1"/>
  <c r="D161" i="1"/>
  <c r="L161" i="1"/>
  <c r="D162" i="1"/>
  <c r="C163" i="1"/>
  <c r="D160" i="1" s="1"/>
  <c r="I12" i="18"/>
  <c r="S12" i="18" s="1"/>
  <c r="S13" i="18" s="1"/>
  <c r="O12" i="18"/>
  <c r="Q13" i="18"/>
  <c r="T13" i="18"/>
  <c r="V14" i="18"/>
  <c r="O15" i="18"/>
  <c r="S15" i="18"/>
  <c r="O16" i="18"/>
  <c r="S16" i="18"/>
  <c r="O17" i="18"/>
  <c r="S17" i="18"/>
  <c r="O18" i="18"/>
  <c r="S18" i="18"/>
  <c r="O21" i="18"/>
  <c r="S21" i="18"/>
  <c r="S22" i="18" s="1"/>
  <c r="Q22" i="18"/>
  <c r="T22" i="18"/>
  <c r="O24" i="18"/>
  <c r="S24" i="18"/>
  <c r="Q25" i="18"/>
  <c r="S25" i="18"/>
  <c r="T25" i="18"/>
  <c r="I13" i="17"/>
  <c r="I14" i="17"/>
  <c r="O14" i="17"/>
  <c r="S14" i="17"/>
  <c r="I15" i="17"/>
  <c r="O15" i="17" s="1"/>
  <c r="S15" i="17"/>
  <c r="I16" i="17"/>
  <c r="O16" i="17" s="1"/>
  <c r="S16" i="17"/>
  <c r="I17" i="17"/>
  <c r="O18" i="17"/>
  <c r="S18" i="17"/>
  <c r="I19" i="17"/>
  <c r="O19" i="17" s="1"/>
  <c r="S19" i="17"/>
  <c r="O21" i="17"/>
  <c r="S21" i="17"/>
  <c r="I23" i="17"/>
  <c r="O23" i="17" s="1"/>
  <c r="S23" i="17"/>
  <c r="I24" i="17"/>
  <c r="O24" i="17" s="1"/>
  <c r="S24" i="17"/>
  <c r="I25" i="17"/>
  <c r="O25" i="17"/>
  <c r="S25" i="17"/>
  <c r="I26" i="17"/>
  <c r="S26" i="17"/>
  <c r="I27" i="17"/>
  <c r="S27" i="17" s="1"/>
  <c r="I28" i="17"/>
  <c r="S28" i="17"/>
  <c r="I29" i="17"/>
  <c r="Q31" i="17"/>
  <c r="O36" i="17"/>
  <c r="S36" i="17"/>
  <c r="O37" i="17"/>
  <c r="S37" i="17"/>
  <c r="O38" i="17"/>
  <c r="S38" i="17"/>
  <c r="O39" i="17"/>
  <c r="S39" i="17"/>
  <c r="O40" i="17"/>
  <c r="S40" i="17"/>
  <c r="O41" i="17"/>
  <c r="S41" i="17"/>
  <c r="O42" i="17"/>
  <c r="S42" i="17"/>
  <c r="O43" i="17"/>
  <c r="S43" i="17"/>
  <c r="O44" i="17"/>
  <c r="S44" i="17"/>
  <c r="O45" i="17"/>
  <c r="S45" i="17"/>
  <c r="O46" i="17"/>
  <c r="S46" i="17"/>
  <c r="Q48" i="17"/>
  <c r="S48" i="17"/>
  <c r="I53" i="17"/>
  <c r="O53" i="17"/>
  <c r="S53" i="17"/>
  <c r="I54" i="17"/>
  <c r="O54" i="17" s="1"/>
  <c r="Q56" i="17"/>
  <c r="O61" i="17"/>
  <c r="Q64" i="17"/>
  <c r="S64" i="17"/>
  <c r="S65" i="17"/>
  <c r="Q73" i="17"/>
  <c r="S73" i="17"/>
  <c r="S74" i="17"/>
  <c r="S75" i="17"/>
  <c r="O78" i="17"/>
  <c r="S78" i="17"/>
  <c r="S81" i="17" s="1"/>
  <c r="S83" i="17" s="1"/>
  <c r="Q81" i="17"/>
  <c r="I86" i="17"/>
  <c r="S86" i="17"/>
  <c r="I87" i="17"/>
  <c r="S87" i="17"/>
  <c r="Q89" i="17"/>
  <c r="S89" i="17"/>
  <c r="S91" i="17" s="1"/>
  <c r="I94" i="17"/>
  <c r="S94" i="17"/>
  <c r="I95" i="17"/>
  <c r="S95" i="17" s="1"/>
  <c r="S106" i="17" s="1"/>
  <c r="S96" i="17"/>
  <c r="I97" i="17"/>
  <c r="S97" i="17"/>
  <c r="S98" i="17"/>
  <c r="I99" i="17"/>
  <c r="S99" i="17"/>
  <c r="I100" i="17"/>
  <c r="S100" i="17" s="1"/>
  <c r="I101" i="17"/>
  <c r="O101" i="17" s="1"/>
  <c r="S101" i="17"/>
  <c r="S102" i="17"/>
  <c r="Q106" i="17"/>
  <c r="I111" i="17"/>
  <c r="S111" i="17" s="1"/>
  <c r="I112" i="17"/>
  <c r="S112" i="17" s="1"/>
  <c r="I113" i="17"/>
  <c r="S113" i="17"/>
  <c r="I114" i="17"/>
  <c r="S114" i="17"/>
  <c r="I115" i="17"/>
  <c r="S115" i="17" s="1"/>
  <c r="S116" i="17"/>
  <c r="Q118" i="17"/>
  <c r="S123" i="17"/>
  <c r="S124" i="17"/>
  <c r="S125" i="17"/>
  <c r="Q127" i="17"/>
  <c r="S127" i="17"/>
  <c r="S129" i="17" s="1"/>
  <c r="S132" i="17"/>
  <c r="I133" i="17"/>
  <c r="S133" i="17"/>
  <c r="S136" i="17" s="1"/>
  <c r="Q136" i="17"/>
  <c r="K4" i="12"/>
  <c r="B5" i="12"/>
  <c r="G10" i="12"/>
  <c r="B35" i="12"/>
  <c r="K41" i="12"/>
  <c r="C42" i="12"/>
  <c r="H60" i="12"/>
  <c r="F62" i="12"/>
  <c r="B63" i="12"/>
  <c r="E63" i="12"/>
  <c r="F63" i="12"/>
  <c r="B64" i="12"/>
  <c r="F64" i="12"/>
  <c r="B65" i="12"/>
  <c r="E65" i="12"/>
  <c r="B66" i="12"/>
  <c r="E66" i="12"/>
  <c r="B67" i="12"/>
  <c r="E67" i="12"/>
  <c r="B68" i="12"/>
  <c r="E68" i="12"/>
  <c r="K7" i="12" s="1"/>
  <c r="B69" i="12"/>
  <c r="E69" i="12"/>
  <c r="B70" i="12"/>
  <c r="E70" i="12"/>
  <c r="B71" i="12"/>
  <c r="B72" i="12"/>
  <c r="E72" i="12"/>
  <c r="O58" i="10"/>
  <c r="T58" i="10"/>
  <c r="O12" i="19"/>
  <c r="Q14" i="19"/>
  <c r="S14" i="19"/>
  <c r="S16" i="19" s="1"/>
  <c r="T14" i="19"/>
  <c r="I19" i="19"/>
  <c r="S19" i="19"/>
  <c r="O20" i="19"/>
  <c r="S20" i="19"/>
  <c r="T21" i="19"/>
  <c r="Q22" i="19"/>
  <c r="S27" i="19"/>
  <c r="T27" i="19"/>
  <c r="I28" i="19"/>
  <c r="S28" i="19" s="1"/>
  <c r="I29" i="19"/>
  <c r="O29" i="19"/>
  <c r="S29" i="19"/>
  <c r="I30" i="19"/>
  <c r="O30" i="19"/>
  <c r="S30" i="19"/>
  <c r="I31" i="19"/>
  <c r="I32" i="19"/>
  <c r="I33" i="19"/>
  <c r="O33" i="19"/>
  <c r="S33" i="19"/>
  <c r="I34" i="19"/>
  <c r="O34" i="19" s="1"/>
  <c r="S34" i="19"/>
  <c r="I35" i="19"/>
  <c r="O35" i="19" s="1"/>
  <c r="I36" i="19"/>
  <c r="O36" i="19"/>
  <c r="S36" i="19"/>
  <c r="I37" i="19"/>
  <c r="O37" i="19"/>
  <c r="S37" i="19"/>
  <c r="I38" i="19"/>
  <c r="S38" i="19"/>
  <c r="O39" i="19"/>
  <c r="S39" i="19"/>
  <c r="Q41" i="19"/>
  <c r="O47" i="19"/>
  <c r="S47" i="19"/>
  <c r="Q49" i="19"/>
  <c r="S49" i="19"/>
  <c r="S51" i="19" s="1"/>
  <c r="I54" i="19"/>
  <c r="I55" i="19"/>
  <c r="O55" i="19" s="1"/>
  <c r="Q57" i="19"/>
  <c r="I62" i="19"/>
  <c r="I63" i="19"/>
  <c r="O63" i="19"/>
  <c r="S63" i="19"/>
  <c r="S66" i="19" s="1"/>
  <c r="T64" i="19"/>
  <c r="Q65" i="19"/>
  <c r="I70" i="19"/>
  <c r="O70" i="19"/>
  <c r="S70" i="19"/>
  <c r="I71" i="19"/>
  <c r="O72" i="19"/>
  <c r="T73" i="19"/>
  <c r="C74" i="19"/>
  <c r="Q74" i="19"/>
  <c r="S75" i="19"/>
  <c r="S79" i="19"/>
  <c r="S82" i="19" s="1"/>
  <c r="Q82" i="19"/>
  <c r="H3" i="16"/>
  <c r="H4" i="16"/>
  <c r="H5" i="16"/>
  <c r="H21" i="16" s="1"/>
  <c r="H6" i="16"/>
  <c r="H7" i="16"/>
  <c r="K14" i="16"/>
  <c r="B15" i="16"/>
  <c r="B17" i="16" s="1"/>
  <c r="E15" i="16"/>
  <c r="H15" i="16"/>
  <c r="K15" i="16"/>
  <c r="N15" i="16"/>
  <c r="B16" i="16"/>
  <c r="E16" i="16"/>
  <c r="H16" i="16"/>
  <c r="H17" i="16" s="1"/>
  <c r="K16" i="16"/>
  <c r="N16" i="16"/>
  <c r="E17" i="16"/>
  <c r="B20" i="16"/>
  <c r="E20" i="16"/>
  <c r="H20" i="16"/>
  <c r="H22" i="16" s="1"/>
  <c r="K20" i="16"/>
  <c r="B21" i="16"/>
  <c r="E21" i="16"/>
  <c r="K21" i="16"/>
  <c r="N21" i="16"/>
  <c r="N23" i="16" s="1"/>
  <c r="B22" i="16"/>
  <c r="E22" i="16"/>
  <c r="K22" i="16"/>
  <c r="N22" i="16"/>
  <c r="B25" i="16"/>
  <c r="B27" i="16" s="1"/>
  <c r="E25" i="16"/>
  <c r="H25" i="16"/>
  <c r="B26" i="16"/>
  <c r="E26" i="16"/>
  <c r="E27" i="16" s="1"/>
  <c r="K26" i="16"/>
  <c r="K27" i="16"/>
  <c r="K28" i="16"/>
  <c r="K29" i="16"/>
  <c r="B30" i="16"/>
  <c r="B32" i="16" s="1"/>
  <c r="E30" i="16"/>
  <c r="H30" i="16"/>
  <c r="B31" i="16"/>
  <c r="E31" i="16"/>
  <c r="E32" i="16" s="1"/>
  <c r="K32" i="16"/>
  <c r="K33" i="16"/>
  <c r="K34" i="16"/>
  <c r="K35" i="16" s="1"/>
  <c r="B35" i="16"/>
  <c r="E35" i="16"/>
  <c r="E37" i="16" s="1"/>
  <c r="H35" i="16"/>
  <c r="B36" i="16"/>
  <c r="E36" i="16"/>
  <c r="H36" i="16"/>
  <c r="B37" i="16"/>
  <c r="H37" i="16"/>
  <c r="K38" i="16"/>
  <c r="K39" i="16"/>
  <c r="K41" i="16" s="1"/>
  <c r="B40" i="16"/>
  <c r="E40" i="16"/>
  <c r="H40" i="16"/>
  <c r="B41" i="16"/>
  <c r="B42" i="16" s="1"/>
  <c r="E41" i="16"/>
  <c r="E42" i="16" s="1"/>
  <c r="E12" i="1" s="1"/>
  <c r="H41" i="16"/>
  <c r="B45" i="16"/>
  <c r="E45" i="16"/>
  <c r="E47" i="16" s="1"/>
  <c r="H45" i="16"/>
  <c r="H47" i="16" s="1"/>
  <c r="B46" i="16"/>
  <c r="B47" i="16" s="1"/>
  <c r="E46" i="16"/>
  <c r="H46" i="16"/>
  <c r="B50" i="16"/>
  <c r="B52" i="16" s="1"/>
  <c r="E50" i="16"/>
  <c r="H50" i="16"/>
  <c r="B51" i="16"/>
  <c r="E51" i="16"/>
  <c r="H51" i="16"/>
  <c r="H52" i="16"/>
  <c r="B55" i="16"/>
  <c r="E55" i="16"/>
  <c r="H55" i="16"/>
  <c r="B56" i="16"/>
  <c r="E56" i="16"/>
  <c r="H56" i="16"/>
  <c r="E57" i="16"/>
  <c r="H57" i="16"/>
  <c r="B60" i="16"/>
  <c r="E60" i="16"/>
  <c r="H60" i="16"/>
  <c r="H62" i="16" s="1"/>
  <c r="B61" i="16"/>
  <c r="E61" i="16"/>
  <c r="H61" i="16"/>
  <c r="B62" i="16"/>
  <c r="E62" i="16"/>
  <c r="B65" i="16"/>
  <c r="E65" i="16"/>
  <c r="B66" i="16"/>
  <c r="B67" i="16" s="1"/>
  <c r="E66" i="16"/>
  <c r="E67" i="16"/>
  <c r="E13" i="1" s="1"/>
  <c r="B70" i="16"/>
  <c r="B72" i="16" s="1"/>
  <c r="E70" i="16"/>
  <c r="E72" i="16" s="1"/>
  <c r="B71" i="16"/>
  <c r="E71" i="16"/>
  <c r="B75" i="16"/>
  <c r="B77" i="16" s="1"/>
  <c r="E75" i="16"/>
  <c r="B76" i="16"/>
  <c r="E76" i="16"/>
  <c r="E77" i="16"/>
  <c r="B80" i="16"/>
  <c r="E80" i="16"/>
  <c r="B81" i="16"/>
  <c r="E81" i="16"/>
  <c r="E82" i="16" s="1"/>
  <c r="B82" i="16"/>
  <c r="B85" i="16"/>
  <c r="E85" i="16"/>
  <c r="B86" i="16"/>
  <c r="B87" i="16" s="1"/>
  <c r="E86" i="16"/>
  <c r="E87" i="16"/>
  <c r="B89" i="16"/>
  <c r="B90" i="16"/>
  <c r="E90" i="16"/>
  <c r="B91" i="16"/>
  <c r="E91" i="16"/>
  <c r="E92" i="16" s="1"/>
  <c r="B95" i="16"/>
  <c r="B97" i="16" s="1"/>
  <c r="E95" i="16"/>
  <c r="E97" i="16" s="1"/>
  <c r="B96" i="16"/>
  <c r="E96" i="16"/>
  <c r="B100" i="16"/>
  <c r="E100" i="16"/>
  <c r="B101" i="16"/>
  <c r="B102" i="16" s="1"/>
  <c r="P102" i="20" s="1"/>
  <c r="Q102" i="20" s="1"/>
  <c r="Q108" i="20" s="1"/>
  <c r="E101" i="16"/>
  <c r="B105" i="16"/>
  <c r="B107" i="16" s="1"/>
  <c r="E105" i="16"/>
  <c r="B106" i="16"/>
  <c r="E106" i="16"/>
  <c r="E107" i="16"/>
  <c r="B110" i="16"/>
  <c r="B112" i="16" s="1"/>
  <c r="E110" i="16"/>
  <c r="B111" i="16"/>
  <c r="E111" i="16"/>
  <c r="E112" i="16" s="1"/>
  <c r="B115" i="16"/>
  <c r="E115" i="16"/>
  <c r="E117" i="16" s="1"/>
  <c r="B116" i="16"/>
  <c r="E116" i="16"/>
  <c r="B117" i="16"/>
  <c r="B120" i="16"/>
  <c r="E120" i="16"/>
  <c r="E122" i="16" s="1"/>
  <c r="E15" i="1" s="1"/>
  <c r="B121" i="16"/>
  <c r="B122" i="16" s="1"/>
  <c r="E121" i="16"/>
  <c r="E125" i="16"/>
  <c r="E127" i="16" s="1"/>
  <c r="B126" i="16"/>
  <c r="B127" i="16" s="1"/>
  <c r="E126" i="16"/>
  <c r="B130" i="16"/>
  <c r="B132" i="16" s="1"/>
  <c r="E130" i="16"/>
  <c r="E132" i="16" s="1"/>
  <c r="B131" i="16"/>
  <c r="E131" i="16"/>
  <c r="B134" i="16"/>
  <c r="B135" i="16"/>
  <c r="B137" i="16" s="1"/>
  <c r="E135" i="16"/>
  <c r="E137" i="16" s="1"/>
  <c r="B136" i="16"/>
  <c r="E136" i="16"/>
  <c r="B139" i="16"/>
  <c r="B140" i="16"/>
  <c r="B141" i="16"/>
  <c r="B142" i="16"/>
  <c r="B144" i="16"/>
  <c r="B147" i="16" s="1"/>
  <c r="B145" i="16"/>
  <c r="B146" i="16"/>
  <c r="B150" i="16"/>
  <c r="B151" i="16"/>
  <c r="B152" i="16"/>
  <c r="B153" i="16"/>
  <c r="E3" i="20"/>
  <c r="E76" i="20" s="1"/>
  <c r="E77" i="20" s="1"/>
  <c r="N3" i="20"/>
  <c r="AC3" i="20"/>
  <c r="AL3" i="20"/>
  <c r="AO3" i="20"/>
  <c r="E4" i="20"/>
  <c r="N4" i="20"/>
  <c r="W4" i="20"/>
  <c r="E5" i="20"/>
  <c r="N5" i="20"/>
  <c r="E6" i="20"/>
  <c r="N6" i="20"/>
  <c r="E7" i="20"/>
  <c r="N7" i="20"/>
  <c r="N106" i="20" s="1"/>
  <c r="AF14" i="20"/>
  <c r="B15" i="20"/>
  <c r="E15" i="20"/>
  <c r="H15" i="20"/>
  <c r="K15" i="20"/>
  <c r="N15" i="20"/>
  <c r="Q15" i="20"/>
  <c r="Q17" i="20" s="1"/>
  <c r="B51" i="12" s="1"/>
  <c r="W15" i="20"/>
  <c r="AC15" i="20"/>
  <c r="AC17" i="20" s="1"/>
  <c r="AF15" i="20"/>
  <c r="AI15" i="20"/>
  <c r="AL15" i="20"/>
  <c r="AR15" i="20"/>
  <c r="B16" i="20"/>
  <c r="E16" i="20"/>
  <c r="E17" i="20" s="1"/>
  <c r="H16" i="20"/>
  <c r="K16" i="20"/>
  <c r="Q16" i="20"/>
  <c r="T16" i="20"/>
  <c r="T17" i="20" s="1"/>
  <c r="W16" i="20"/>
  <c r="W17" i="20" s="1"/>
  <c r="K3" i="12" s="1"/>
  <c r="Z16" i="20"/>
  <c r="AC16" i="20"/>
  <c r="AF16" i="20"/>
  <c r="AI16" i="20"/>
  <c r="AI17" i="20" s="1"/>
  <c r="AL16" i="20"/>
  <c r="AO16" i="20"/>
  <c r="AR16" i="20"/>
  <c r="B17" i="20"/>
  <c r="H17" i="20"/>
  <c r="Z17" i="20"/>
  <c r="K6" i="12" s="1"/>
  <c r="AF17" i="20"/>
  <c r="G51" i="12" s="1"/>
  <c r="H51" i="12" s="1"/>
  <c r="AL17" i="20"/>
  <c r="AO17" i="20"/>
  <c r="AU18" i="20"/>
  <c r="AU19" i="20"/>
  <c r="B20" i="20"/>
  <c r="B22" i="20" s="1"/>
  <c r="C5" i="12" s="1"/>
  <c r="E20" i="20"/>
  <c r="E22" i="20" s="1"/>
  <c r="H20" i="20"/>
  <c r="K20" i="20"/>
  <c r="K22" i="20" s="1"/>
  <c r="D41" i="12" s="1"/>
  <c r="N20" i="20"/>
  <c r="Q20" i="20"/>
  <c r="W20" i="20"/>
  <c r="AF20" i="20"/>
  <c r="AR20" i="20"/>
  <c r="AR14" i="20" s="1"/>
  <c r="AR17" i="20" s="1"/>
  <c r="K54" i="12" s="1"/>
  <c r="B21" i="20"/>
  <c r="E21" i="20"/>
  <c r="H21" i="20"/>
  <c r="K21" i="20"/>
  <c r="Q21" i="20"/>
  <c r="T21" i="20"/>
  <c r="T22" i="20" s="1"/>
  <c r="W21" i="20"/>
  <c r="W22" i="20" s="1"/>
  <c r="Z21" i="20"/>
  <c r="Z22" i="20" s="1"/>
  <c r="AC21" i="20"/>
  <c r="AF21" i="20"/>
  <c r="AF23" i="20" s="1"/>
  <c r="J51" i="12" s="1"/>
  <c r="AI21" i="20"/>
  <c r="AL21" i="20"/>
  <c r="AR21" i="20"/>
  <c r="H22" i="20"/>
  <c r="Q22" i="20"/>
  <c r="C51" i="12" s="1"/>
  <c r="AC22" i="20"/>
  <c r="AF22" i="20"/>
  <c r="AI22" i="20"/>
  <c r="AL22" i="20"/>
  <c r="AL23" i="20" s="1"/>
  <c r="AR22" i="20"/>
  <c r="AI23" i="20"/>
  <c r="B25" i="20"/>
  <c r="E25" i="20"/>
  <c r="H25" i="20"/>
  <c r="K25" i="20"/>
  <c r="N25" i="20"/>
  <c r="Q25" i="20"/>
  <c r="W25" i="20"/>
  <c r="B26" i="20"/>
  <c r="E26" i="20"/>
  <c r="H26" i="20"/>
  <c r="K26" i="20"/>
  <c r="K27" i="20" s="1"/>
  <c r="C41" i="12" s="1"/>
  <c r="Q26" i="20"/>
  <c r="W26" i="20"/>
  <c r="E27" i="20"/>
  <c r="H27" i="20"/>
  <c r="G27" i="12" s="1"/>
  <c r="W27" i="20"/>
  <c r="Z27" i="20"/>
  <c r="Z28" i="20" s="1"/>
  <c r="AF27" i="20"/>
  <c r="AI27" i="20"/>
  <c r="AR27" i="20"/>
  <c r="AF28" i="20"/>
  <c r="AI28" i="20"/>
  <c r="AR28" i="20"/>
  <c r="AF29" i="20"/>
  <c r="J52" i="12" s="1"/>
  <c r="AI29" i="20"/>
  <c r="B30" i="20"/>
  <c r="E30" i="20"/>
  <c r="H30" i="20"/>
  <c r="K30" i="20"/>
  <c r="K32" i="20" s="1"/>
  <c r="E41" i="12" s="1"/>
  <c r="N30" i="20"/>
  <c r="N32" i="20" s="1"/>
  <c r="J41" i="12" s="1"/>
  <c r="Q30" i="20"/>
  <c r="Q32" i="20" s="1"/>
  <c r="E51" i="12" s="1"/>
  <c r="B31" i="20"/>
  <c r="E31" i="20"/>
  <c r="H31" i="20"/>
  <c r="K31" i="20"/>
  <c r="N31" i="20"/>
  <c r="Q31" i="20"/>
  <c r="T31" i="20"/>
  <c r="T32" i="20" s="1"/>
  <c r="B56" i="12" s="1"/>
  <c r="W31" i="20"/>
  <c r="B32" i="20"/>
  <c r="E32" i="20"/>
  <c r="H32" i="20"/>
  <c r="W32" i="20"/>
  <c r="AC32" i="20"/>
  <c r="AC33" i="20"/>
  <c r="AF33" i="20"/>
  <c r="AI33" i="20"/>
  <c r="AR33" i="20"/>
  <c r="AF34" i="20"/>
  <c r="AI34" i="20"/>
  <c r="AR34" i="20"/>
  <c r="B35" i="20"/>
  <c r="H35" i="20"/>
  <c r="H37" i="20" s="1"/>
  <c r="I27" i="12" s="1"/>
  <c r="I36" i="12" s="1"/>
  <c r="K35" i="20"/>
  <c r="N35" i="20"/>
  <c r="W35" i="20"/>
  <c r="AF35" i="20"/>
  <c r="I51" i="12" s="1"/>
  <c r="AI35" i="20"/>
  <c r="AR35" i="20"/>
  <c r="B36" i="20"/>
  <c r="E36" i="20"/>
  <c r="H36" i="20"/>
  <c r="K36" i="20"/>
  <c r="N36" i="20"/>
  <c r="T36" i="20"/>
  <c r="T37" i="20" s="1"/>
  <c r="T4" i="20" s="1"/>
  <c r="W36" i="20"/>
  <c r="W37" i="20" s="1"/>
  <c r="AI36" i="20"/>
  <c r="B37" i="20"/>
  <c r="G5" i="12" s="1"/>
  <c r="E37" i="20"/>
  <c r="C17" i="12" s="1"/>
  <c r="K37" i="20"/>
  <c r="F41" i="12" s="1"/>
  <c r="N37" i="20"/>
  <c r="AC38" i="20"/>
  <c r="AI38" i="20"/>
  <c r="AI41" i="20" s="1"/>
  <c r="AC39" i="20"/>
  <c r="AF39" i="20"/>
  <c r="B40" i="20"/>
  <c r="E40" i="20"/>
  <c r="H40" i="20"/>
  <c r="K40" i="20"/>
  <c r="N40" i="20"/>
  <c r="N42" i="20" s="1"/>
  <c r="AC40" i="20"/>
  <c r="AF40" i="20"/>
  <c r="AI40" i="20"/>
  <c r="B41" i="20"/>
  <c r="E41" i="20"/>
  <c r="D17" i="12" s="1"/>
  <c r="H41" i="20"/>
  <c r="K41" i="20"/>
  <c r="N41" i="20"/>
  <c r="AF41" i="20"/>
  <c r="B42" i="20"/>
  <c r="E42" i="20"/>
  <c r="H42" i="20"/>
  <c r="J27" i="12" s="1"/>
  <c r="K42" i="20"/>
  <c r="G41" i="12" s="1"/>
  <c r="AI42" i="20"/>
  <c r="B45" i="20"/>
  <c r="E45" i="20"/>
  <c r="E47" i="20" s="1"/>
  <c r="E17" i="12" s="1"/>
  <c r="H45" i="20"/>
  <c r="K45" i="20"/>
  <c r="N45" i="20"/>
  <c r="B46" i="20"/>
  <c r="B47" i="20" s="1"/>
  <c r="E46" i="20"/>
  <c r="H46" i="20"/>
  <c r="H47" i="20" s="1"/>
  <c r="K27" i="12" s="1"/>
  <c r="K46" i="20"/>
  <c r="N46" i="20"/>
  <c r="K47" i="20"/>
  <c r="N47" i="20"/>
  <c r="T47" i="20"/>
  <c r="T48" i="20" s="1"/>
  <c r="E50" i="20"/>
  <c r="E52" i="20" s="1"/>
  <c r="H50" i="20"/>
  <c r="K50" i="20"/>
  <c r="N50" i="20"/>
  <c r="B51" i="20"/>
  <c r="B52" i="20" s="1"/>
  <c r="D6" i="12" s="1"/>
  <c r="E51" i="20"/>
  <c r="D18" i="12" s="1"/>
  <c r="H51" i="20"/>
  <c r="H52" i="20" s="1"/>
  <c r="C28" i="12" s="1"/>
  <c r="F28" i="12" s="1"/>
  <c r="K51" i="20"/>
  <c r="N51" i="20"/>
  <c r="K52" i="20"/>
  <c r="C43" i="12" s="1"/>
  <c r="N52" i="20"/>
  <c r="J43" i="12" s="1"/>
  <c r="B55" i="20"/>
  <c r="B57" i="20" s="1"/>
  <c r="E55" i="20"/>
  <c r="H55" i="20"/>
  <c r="K55" i="20"/>
  <c r="N55" i="20"/>
  <c r="N57" i="20" s="1"/>
  <c r="K43" i="12" s="1"/>
  <c r="B56" i="20"/>
  <c r="E56" i="20"/>
  <c r="H56" i="20"/>
  <c r="H57" i="20" s="1"/>
  <c r="K56" i="20"/>
  <c r="N56" i="20"/>
  <c r="E57" i="20"/>
  <c r="E18" i="12" s="1"/>
  <c r="K57" i="20"/>
  <c r="E43" i="12" s="1"/>
  <c r="B60" i="20"/>
  <c r="E60" i="20"/>
  <c r="H60" i="20"/>
  <c r="K60" i="20"/>
  <c r="N60" i="20"/>
  <c r="B61" i="20"/>
  <c r="E61" i="20"/>
  <c r="E62" i="20" s="1"/>
  <c r="H61" i="20"/>
  <c r="K61" i="20"/>
  <c r="K62" i="20" s="1"/>
  <c r="F43" i="12" s="1"/>
  <c r="N61" i="20"/>
  <c r="H62" i="20"/>
  <c r="G29" i="12" s="1"/>
  <c r="N62" i="20"/>
  <c r="B65" i="20"/>
  <c r="E65" i="20"/>
  <c r="H65" i="20"/>
  <c r="K65" i="20"/>
  <c r="N65" i="20"/>
  <c r="B66" i="20"/>
  <c r="B67" i="20" s="1"/>
  <c r="H66" i="20"/>
  <c r="K66" i="20"/>
  <c r="N66" i="20"/>
  <c r="K67" i="20"/>
  <c r="G43" i="12" s="1"/>
  <c r="N67" i="20"/>
  <c r="B70" i="20"/>
  <c r="B72" i="20" s="1"/>
  <c r="D7" i="12" s="1"/>
  <c r="E70" i="20"/>
  <c r="H70" i="20"/>
  <c r="K70" i="20"/>
  <c r="N70" i="20"/>
  <c r="B71" i="20"/>
  <c r="B14" i="12" s="1"/>
  <c r="E14" i="12" s="1"/>
  <c r="H71" i="20"/>
  <c r="K71" i="20"/>
  <c r="K72" i="20" s="1"/>
  <c r="N71" i="20"/>
  <c r="N72" i="20"/>
  <c r="B75" i="20"/>
  <c r="H75" i="20"/>
  <c r="K75" i="20"/>
  <c r="N75" i="20"/>
  <c r="B76" i="20"/>
  <c r="H76" i="20"/>
  <c r="K76" i="20"/>
  <c r="K77" i="20" s="1"/>
  <c r="D44" i="12" s="1"/>
  <c r="D42" i="12" s="1"/>
  <c r="N76" i="20"/>
  <c r="B77" i="20"/>
  <c r="E7" i="12" s="1"/>
  <c r="H77" i="20"/>
  <c r="J29" i="12" s="1"/>
  <c r="B80" i="20"/>
  <c r="E80" i="20"/>
  <c r="H80" i="20"/>
  <c r="H82" i="20" s="1"/>
  <c r="K29" i="12" s="1"/>
  <c r="K80" i="20"/>
  <c r="K82" i="20" s="1"/>
  <c r="N80" i="20"/>
  <c r="B81" i="20"/>
  <c r="B82" i="20" s="1"/>
  <c r="G7" i="12" s="1"/>
  <c r="E81" i="20"/>
  <c r="H81" i="20"/>
  <c r="K81" i="20"/>
  <c r="N81" i="20"/>
  <c r="N82" i="20" s="1"/>
  <c r="E82" i="20"/>
  <c r="B85" i="20"/>
  <c r="E85" i="20"/>
  <c r="H85" i="20"/>
  <c r="K85" i="20"/>
  <c r="K87" i="20" s="1"/>
  <c r="C44" i="12" s="1"/>
  <c r="N85" i="20"/>
  <c r="N87" i="20" s="1"/>
  <c r="J45" i="12" s="1"/>
  <c r="B86" i="20"/>
  <c r="E86" i="20"/>
  <c r="E87" i="20" s="1"/>
  <c r="H86" i="20"/>
  <c r="K86" i="20"/>
  <c r="N86" i="20"/>
  <c r="B87" i="20"/>
  <c r="H87" i="20"/>
  <c r="J30" i="12" s="1"/>
  <c r="H89" i="20"/>
  <c r="B90" i="20"/>
  <c r="E90" i="20"/>
  <c r="H90" i="20"/>
  <c r="H92" i="20" s="1"/>
  <c r="K90" i="20"/>
  <c r="K92" i="20" s="1"/>
  <c r="N90" i="20"/>
  <c r="B91" i="20"/>
  <c r="E91" i="20"/>
  <c r="H91" i="20"/>
  <c r="K91" i="20"/>
  <c r="N91" i="20"/>
  <c r="B92" i="20"/>
  <c r="E8" i="12" s="1"/>
  <c r="E92" i="20"/>
  <c r="N92" i="20"/>
  <c r="K45" i="12" s="1"/>
  <c r="B95" i="20"/>
  <c r="E95" i="20"/>
  <c r="H95" i="20"/>
  <c r="K95" i="20"/>
  <c r="N95" i="20"/>
  <c r="N97" i="20" s="1"/>
  <c r="B96" i="20"/>
  <c r="B97" i="20" s="1"/>
  <c r="E96" i="20"/>
  <c r="H96" i="20"/>
  <c r="K96" i="20"/>
  <c r="N96" i="20"/>
  <c r="E97" i="20"/>
  <c r="H97" i="20"/>
  <c r="K31" i="12" s="1"/>
  <c r="K97" i="20"/>
  <c r="B100" i="20"/>
  <c r="B102" i="20" s="1"/>
  <c r="H8" i="12" s="1"/>
  <c r="E100" i="20"/>
  <c r="H100" i="20"/>
  <c r="K100" i="20"/>
  <c r="N100" i="20"/>
  <c r="B101" i="20"/>
  <c r="E101" i="20"/>
  <c r="E102" i="20" s="1"/>
  <c r="H20" i="12" s="1"/>
  <c r="H101" i="20"/>
  <c r="K101" i="20"/>
  <c r="K102" i="20" s="1"/>
  <c r="N101" i="20"/>
  <c r="H102" i="20"/>
  <c r="J32" i="12" s="1"/>
  <c r="N102" i="20"/>
  <c r="K46" i="12" s="1"/>
  <c r="H105" i="20"/>
  <c r="K105" i="20"/>
  <c r="K107" i="20" s="1"/>
  <c r="N105" i="20"/>
  <c r="B106" i="20"/>
  <c r="B107" i="20" s="1"/>
  <c r="F9" i="12" s="1"/>
  <c r="H106" i="20"/>
  <c r="K106" i="20"/>
  <c r="H107" i="20"/>
  <c r="N107" i="20"/>
  <c r="K47" i="12" s="1"/>
  <c r="P107" i="20"/>
  <c r="Q107" i="20" s="1"/>
  <c r="S107" i="20"/>
  <c r="T107" i="20" s="1"/>
  <c r="B110" i="20"/>
  <c r="B112" i="20" s="1"/>
  <c r="H110" i="20"/>
  <c r="H112" i="20" s="1"/>
  <c r="K32" i="12" s="1"/>
  <c r="K110" i="20"/>
  <c r="B111" i="20"/>
  <c r="H111" i="20"/>
  <c r="K111" i="20"/>
  <c r="K112" i="20"/>
  <c r="E44" i="12" s="1"/>
  <c r="E42" i="12" s="1"/>
  <c r="B115" i="20"/>
  <c r="B117" i="20" s="1"/>
  <c r="H115" i="20"/>
  <c r="K115" i="20"/>
  <c r="B116" i="20"/>
  <c r="H116" i="20"/>
  <c r="K116" i="20"/>
  <c r="H117" i="20"/>
  <c r="K117" i="20"/>
  <c r="F44" i="12" s="1"/>
  <c r="F42" i="12" s="1"/>
  <c r="B120" i="20"/>
  <c r="H120" i="20"/>
  <c r="K120" i="20"/>
  <c r="K122" i="20" s="1"/>
  <c r="G44" i="12" s="1"/>
  <c r="G42" i="12" s="1"/>
  <c r="B121" i="20"/>
  <c r="H121" i="20"/>
  <c r="K121" i="20"/>
  <c r="B122" i="20"/>
  <c r="H11" i="12" s="1"/>
  <c r="H122" i="20"/>
  <c r="B125" i="20"/>
  <c r="H125" i="20"/>
  <c r="H127" i="20" s="1"/>
  <c r="K33" i="12" s="1"/>
  <c r="K125" i="20"/>
  <c r="B126" i="20"/>
  <c r="H126" i="20"/>
  <c r="K126" i="20"/>
  <c r="B127" i="20"/>
  <c r="B130" i="20"/>
  <c r="B132" i="20" s="1"/>
  <c r="K130" i="20"/>
  <c r="B131" i="20"/>
  <c r="K131" i="20"/>
  <c r="B135" i="20"/>
  <c r="B137" i="20" s="1"/>
  <c r="H135" i="20"/>
  <c r="H137" i="20" s="1"/>
  <c r="I32" i="12" s="1"/>
  <c r="K135" i="20"/>
  <c r="B136" i="20"/>
  <c r="H136" i="20"/>
  <c r="K136" i="20"/>
  <c r="K137" i="20"/>
  <c r="G45" i="12" s="1"/>
  <c r="H139" i="20"/>
  <c r="B140" i="20"/>
  <c r="H140" i="20"/>
  <c r="K140" i="20"/>
  <c r="K142" i="20" s="1"/>
  <c r="F46" i="12" s="1"/>
  <c r="B141" i="20"/>
  <c r="H141" i="20"/>
  <c r="K141" i="20"/>
  <c r="B142" i="20"/>
  <c r="H144" i="20"/>
  <c r="H145" i="20"/>
  <c r="K145" i="20"/>
  <c r="K147" i="20" s="1"/>
  <c r="G46" i="12" s="1"/>
  <c r="H146" i="20"/>
  <c r="K146" i="20"/>
  <c r="H147" i="20"/>
  <c r="H150" i="20"/>
  <c r="K150" i="20"/>
  <c r="K152" i="20" s="1"/>
  <c r="G47" i="12" s="1"/>
  <c r="H151" i="20"/>
  <c r="H152" i="20" s="1"/>
  <c r="K151" i="20"/>
  <c r="H155" i="20"/>
  <c r="H157" i="20" s="1"/>
  <c r="H156" i="20"/>
  <c r="H160" i="20"/>
  <c r="H161" i="20"/>
  <c r="H162" i="20"/>
  <c r="H164" i="20"/>
  <c r="H167" i="20" s="1"/>
  <c r="H165" i="20"/>
  <c r="H166" i="20"/>
  <c r="H170" i="20"/>
  <c r="H171" i="20"/>
  <c r="H172" i="20"/>
  <c r="H175" i="20"/>
  <c r="H176" i="20"/>
  <c r="H180" i="20"/>
  <c r="H182" i="20" s="1"/>
  <c r="H181" i="20"/>
  <c r="H185" i="20"/>
  <c r="H186" i="20"/>
  <c r="H187" i="20" s="1"/>
  <c r="H190" i="20"/>
  <c r="H191" i="20"/>
  <c r="H192" i="20"/>
  <c r="H195" i="20"/>
  <c r="H196" i="20"/>
  <c r="H197" i="20"/>
  <c r="H200" i="20"/>
  <c r="H201" i="20"/>
  <c r="H202" i="20"/>
  <c r="H204" i="20"/>
  <c r="H205" i="20"/>
  <c r="H207" i="20" s="1"/>
  <c r="H206" i="20"/>
  <c r="H210" i="20"/>
  <c r="H211" i="20"/>
  <c r="H212" i="20"/>
  <c r="H215" i="20"/>
  <c r="H217" i="20" s="1"/>
  <c r="H216" i="20"/>
  <c r="H220" i="20"/>
  <c r="H221" i="20"/>
  <c r="H222" i="20"/>
  <c r="H225" i="20"/>
  <c r="H227" i="20" s="1"/>
  <c r="H226" i="20"/>
  <c r="H230" i="20"/>
  <c r="H231" i="20"/>
  <c r="H232" i="20" s="1"/>
  <c r="H237" i="20"/>
  <c r="H238" i="20"/>
  <c r="H243" i="20"/>
  <c r="J243" i="20"/>
  <c r="H244" i="20"/>
  <c r="J60" i="12" s="1"/>
  <c r="H249" i="20"/>
  <c r="H250" i="20"/>
  <c r="K60" i="12" s="1"/>
  <c r="H255" i="20"/>
  <c r="J255" i="20"/>
  <c r="H256" i="20"/>
  <c r="L60" i="12" s="1"/>
  <c r="J256" i="20"/>
  <c r="H261" i="20"/>
  <c r="H262" i="20"/>
  <c r="I61" i="12" s="1"/>
  <c r="H267" i="20"/>
  <c r="H268" i="20"/>
  <c r="J62" i="12" s="1"/>
  <c r="H273" i="20"/>
  <c r="H274" i="20"/>
  <c r="K62" i="12" s="1"/>
  <c r="H279" i="20"/>
  <c r="H280" i="20"/>
  <c r="L62" i="12" s="1"/>
  <c r="F11" i="11"/>
  <c r="F12" i="11" s="1"/>
  <c r="F18" i="11"/>
  <c r="F19" i="11" s="1"/>
  <c r="F28" i="11"/>
  <c r="F29" i="11"/>
  <c r="F35" i="11"/>
  <c r="F36" i="11"/>
  <c r="F45" i="11"/>
  <c r="F46" i="11" s="1"/>
  <c r="F52" i="11"/>
  <c r="F53" i="11" s="1"/>
  <c r="F62" i="11"/>
  <c r="F63" i="11"/>
  <c r="F70" i="11"/>
  <c r="F71" i="11" s="1"/>
  <c r="F78" i="11"/>
  <c r="F81" i="11" s="1"/>
  <c r="F80" i="11"/>
  <c r="F102" i="11"/>
  <c r="F105" i="11"/>
  <c r="F106" i="11"/>
  <c r="F113" i="11"/>
  <c r="F114" i="11" s="1"/>
  <c r="F130" i="11"/>
  <c r="F131" i="11" s="1"/>
  <c r="F139" i="11"/>
  <c r="F140" i="11" s="1"/>
  <c r="F148" i="11"/>
  <c r="F149" i="11"/>
  <c r="F157" i="11"/>
  <c r="F158" i="11" s="1"/>
  <c r="E64" i="12" l="1"/>
  <c r="T41" i="20"/>
  <c r="T42" i="20" s="1"/>
  <c r="T53" i="20"/>
  <c r="T54" i="20" s="1"/>
  <c r="T55" i="20" s="1"/>
  <c r="T26" i="20"/>
  <c r="T27" i="20" s="1"/>
  <c r="B36" i="12"/>
  <c r="B27" i="12" s="1"/>
  <c r="D29" i="12"/>
  <c r="E29" i="12" s="1"/>
  <c r="B29" i="12"/>
  <c r="H6" i="12"/>
  <c r="E37" i="1"/>
  <c r="F37" i="1" s="1"/>
  <c r="I37" i="1" s="1"/>
  <c r="H5" i="12"/>
  <c r="E36" i="1"/>
  <c r="N27" i="20"/>
  <c r="O32" i="19"/>
  <c r="S32" i="19"/>
  <c r="S138" i="17"/>
  <c r="K127" i="20"/>
  <c r="E45" i="12" s="1"/>
  <c r="K37" i="12"/>
  <c r="C62" i="1"/>
  <c r="I62" i="1" s="1"/>
  <c r="H27" i="12"/>
  <c r="H42" i="16"/>
  <c r="S31" i="19"/>
  <c r="S41" i="19" s="1"/>
  <c r="O31" i="19"/>
  <c r="S107" i="17"/>
  <c r="S144" i="17" s="1"/>
  <c r="D105" i="1"/>
  <c r="K102" i="1"/>
  <c r="O71" i="19"/>
  <c r="S71" i="19"/>
  <c r="S74" i="19" s="1"/>
  <c r="S76" i="19" s="1"/>
  <c r="D113" i="1"/>
  <c r="H110" i="1"/>
  <c r="B62" i="20"/>
  <c r="G6" i="12" s="1"/>
  <c r="K36" i="12"/>
  <c r="O54" i="19"/>
  <c r="S54" i="19"/>
  <c r="S57" i="19" s="1"/>
  <c r="S59" i="19" s="1"/>
  <c r="J280" i="20"/>
  <c r="H142" i="20"/>
  <c r="E71" i="20"/>
  <c r="E72" i="20" s="1"/>
  <c r="E19" i="12" s="1"/>
  <c r="H67" i="20"/>
  <c r="K12" i="12"/>
  <c r="K14" i="12" s="1"/>
  <c r="H131" i="20"/>
  <c r="H132" i="20" s="1"/>
  <c r="K13" i="12" s="1"/>
  <c r="H26" i="16"/>
  <c r="H27" i="16" s="1"/>
  <c r="H31" i="16"/>
  <c r="H32" i="16" s="1"/>
  <c r="O17" i="17"/>
  <c r="S17" i="17"/>
  <c r="O13" i="17"/>
  <c r="S13" i="17"/>
  <c r="S31" i="17" s="1"/>
  <c r="S33" i="17" s="1"/>
  <c r="F25" i="1"/>
  <c r="H25" i="1"/>
  <c r="D30" i="1"/>
  <c r="AR23" i="20"/>
  <c r="H15" i="1"/>
  <c r="F15" i="1"/>
  <c r="K132" i="20"/>
  <c r="F45" i="12" s="1"/>
  <c r="K44" i="12"/>
  <c r="K42" i="12"/>
  <c r="N77" i="20"/>
  <c r="C57" i="12"/>
  <c r="C56" i="12" s="1"/>
  <c r="D57" i="12"/>
  <c r="H7" i="12"/>
  <c r="E38" i="1"/>
  <c r="F38" i="1" s="1"/>
  <c r="I38" i="1" s="1"/>
  <c r="J37" i="12"/>
  <c r="N14" i="12"/>
  <c r="N22" i="12"/>
  <c r="B27" i="20"/>
  <c r="D5" i="12" s="1"/>
  <c r="AC23" i="20"/>
  <c r="E110" i="1"/>
  <c r="M110" i="1" s="1"/>
  <c r="S84" i="19"/>
  <c r="O62" i="19"/>
  <c r="S62" i="19"/>
  <c r="S65" i="19" s="1"/>
  <c r="S67" i="19" s="1"/>
  <c r="S50" i="17"/>
  <c r="H37" i="1"/>
  <c r="H177" i="20"/>
  <c r="H72" i="20"/>
  <c r="E66" i="20"/>
  <c r="E67" i="20" s="1"/>
  <c r="D14" i="12"/>
  <c r="D43" i="12"/>
  <c r="AC34" i="20"/>
  <c r="G56" i="12" s="1"/>
  <c r="AR29" i="20"/>
  <c r="Q27" i="20"/>
  <c r="D51" i="12" s="1"/>
  <c r="C27" i="12"/>
  <c r="D27" i="12" s="1"/>
  <c r="E14" i="1"/>
  <c r="E16" i="1"/>
  <c r="E161" i="1"/>
  <c r="M161" i="1" s="1"/>
  <c r="N161" i="1" s="1"/>
  <c r="O161" i="1" s="1"/>
  <c r="H160" i="1"/>
  <c r="D163" i="1"/>
  <c r="G152" i="1"/>
  <c r="E140" i="1"/>
  <c r="M140" i="1" s="1"/>
  <c r="F78" i="1"/>
  <c r="I78" i="1" s="1"/>
  <c r="D27" i="1"/>
  <c r="D26" i="1"/>
  <c r="D12" i="1"/>
  <c r="D14" i="1"/>
  <c r="D16" i="1"/>
  <c r="J36" i="12"/>
  <c r="K17" i="20"/>
  <c r="B41" i="12" s="1"/>
  <c r="K17" i="16"/>
  <c r="S54" i="17"/>
  <c r="S56" i="17" s="1"/>
  <c r="G153" i="1"/>
  <c r="G103" i="1"/>
  <c r="K103" i="1" s="1"/>
  <c r="C64" i="1"/>
  <c r="I64" i="1" s="1"/>
  <c r="F13" i="1"/>
  <c r="I13" i="1" s="1"/>
  <c r="E102" i="16"/>
  <c r="S102" i="20" s="1"/>
  <c r="T102" i="20" s="1"/>
  <c r="T108" i="20" s="1"/>
  <c r="B92" i="16"/>
  <c r="E52" i="16"/>
  <c r="K23" i="16"/>
  <c r="S49" i="17"/>
  <c r="S118" i="17"/>
  <c r="S120" i="17" s="1"/>
  <c r="S57" i="17"/>
  <c r="F29" i="1"/>
  <c r="H29" i="1"/>
  <c r="C14" i="12"/>
  <c r="N16" i="20"/>
  <c r="N17" i="20" s="1"/>
  <c r="N21" i="20"/>
  <c r="N22" i="20" s="1"/>
  <c r="N26" i="20"/>
  <c r="B57" i="16"/>
  <c r="N17" i="16"/>
  <c r="S22" i="19"/>
  <c r="S24" i="19" s="1"/>
  <c r="S66" i="17"/>
  <c r="E160" i="1"/>
  <c r="M160" i="1" s="1"/>
  <c r="G132" i="1"/>
  <c r="M102" i="1"/>
  <c r="N102" i="1" s="1"/>
  <c r="O102" i="1" s="1"/>
  <c r="O104" i="1" s="1"/>
  <c r="S55" i="19"/>
  <c r="S58" i="19" s="1"/>
  <c r="S89" i="19" s="1"/>
  <c r="S35" i="19"/>
  <c r="H161" i="1"/>
  <c r="D155" i="1"/>
  <c r="H153" i="1"/>
  <c r="H152" i="1"/>
  <c r="D143" i="1"/>
  <c r="H141" i="1"/>
  <c r="H140" i="1"/>
  <c r="D135" i="1"/>
  <c r="H133" i="1"/>
  <c r="H132" i="1"/>
  <c r="D36" i="1"/>
  <c r="S58" i="17" l="1"/>
  <c r="S143" i="17"/>
  <c r="S145" i="17" s="1"/>
  <c r="S44" i="19"/>
  <c r="S90" i="19" s="1"/>
  <c r="S88" i="19"/>
  <c r="F16" i="1"/>
  <c r="H16" i="1"/>
  <c r="N110" i="1"/>
  <c r="O110" i="1" s="1"/>
  <c r="G110" i="1"/>
  <c r="K110" i="1" s="1"/>
  <c r="G140" i="1"/>
  <c r="F14" i="1"/>
  <c r="I14" i="1" s="1"/>
  <c r="H14" i="1"/>
  <c r="M163" i="1"/>
  <c r="M166" i="1" s="1"/>
  <c r="N160" i="1"/>
  <c r="O160" i="1" s="1"/>
  <c r="O162" i="1" s="1"/>
  <c r="O164" i="1" s="1"/>
  <c r="O165" i="1" s="1"/>
  <c r="F12" i="1"/>
  <c r="D17" i="1"/>
  <c r="H12" i="1"/>
  <c r="G160" i="1"/>
  <c r="D39" i="1"/>
  <c r="H36" i="1"/>
  <c r="H39" i="1" s="1"/>
  <c r="F36" i="1"/>
  <c r="F26" i="1"/>
  <c r="I26" i="1" s="1"/>
  <c r="H26" i="1"/>
  <c r="J44" i="12"/>
  <c r="J42" i="12"/>
  <c r="D56" i="12"/>
  <c r="D58" i="12"/>
  <c r="N28" i="12"/>
  <c r="N27" i="12"/>
  <c r="I29" i="1"/>
  <c r="F27" i="1"/>
  <c r="I27" i="1" s="1"/>
  <c r="H27" i="1"/>
  <c r="N25" i="12"/>
  <c r="N24" i="12"/>
  <c r="F30" i="1"/>
  <c r="I25" i="1"/>
  <c r="I30" i="1" s="1"/>
  <c r="I32" i="1" s="1"/>
  <c r="N140" i="1"/>
  <c r="O140" i="1" s="1"/>
  <c r="E27" i="12"/>
  <c r="F27" i="12"/>
  <c r="C65" i="1"/>
  <c r="I65" i="1" s="1"/>
  <c r="E141" i="1"/>
  <c r="I29" i="12"/>
  <c r="I37" i="12" s="1"/>
  <c r="E111" i="1"/>
  <c r="C63" i="1"/>
  <c r="I63" i="1" s="1"/>
  <c r="H29" i="12"/>
  <c r="G161" i="1"/>
  <c r="S108" i="17"/>
  <c r="I15" i="1"/>
  <c r="T5" i="20"/>
  <c r="T6" i="20" s="1"/>
  <c r="F17" i="1" l="1"/>
  <c r="I12" i="1"/>
  <c r="G111" i="1"/>
  <c r="K111" i="1" s="1"/>
  <c r="M111" i="1"/>
  <c r="I16" i="1"/>
  <c r="M141" i="1"/>
  <c r="G141" i="1"/>
  <c r="F39" i="1"/>
  <c r="I36" i="1"/>
  <c r="I39" i="1" s="1"/>
  <c r="I41" i="1" s="1"/>
  <c r="N111" i="1" l="1"/>
  <c r="O111" i="1" s="1"/>
  <c r="O112" i="1" s="1"/>
  <c r="O114" i="1" s="1"/>
  <c r="O115" i="1" s="1"/>
  <c r="M113" i="1"/>
  <c r="M116" i="1" s="1"/>
  <c r="I17" i="1"/>
  <c r="I19" i="1" s="1"/>
  <c r="N141" i="1"/>
  <c r="O141" i="1" s="1"/>
  <c r="O142" i="1" s="1"/>
  <c r="O144" i="1" s="1"/>
  <c r="O145" i="1" s="1"/>
  <c r="M143" i="1"/>
  <c r="M146" i="1" s="1"/>
</calcChain>
</file>

<file path=xl/comments1.xml><?xml version="1.0" encoding="utf-8"?>
<comments xmlns="http://schemas.openxmlformats.org/spreadsheetml/2006/main">
  <authors>
    <author>Steve Gillespie</author>
    <author>cgerman</author>
  </authors>
  <commentList>
    <comment ref="Q12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GSR Volumetric Surcharge:
$0.0004 per dth to zn 1,2,&amp;3
$0.0002 per dth to production area
</t>
        </r>
      </text>
    </comment>
    <comment ref="R12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Storage Cost Reconciliation Mechanism:
$0.004 per Dth transported
</t>
        </r>
      </text>
    </comment>
    <comment ref="E83" authorId="1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Leidy meter 6161 to Emporia Zone 5, Meter 941
Fuel includes forward hauls in Zone 5 &amp; Zone 6
</t>
        </r>
      </text>
    </comment>
    <comment ref="E88" authorId="1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Leidy meter 6161 to Doyle meter 3162</t>
        </r>
      </text>
    </comment>
    <comment ref="E93" authorId="1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Leidy meter 6161 to Doyle meter 3162</t>
        </r>
      </text>
    </comment>
    <comment ref="E98" authorId="1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FT St 210 meter 9170 to Doyle meter 3162</t>
        </r>
      </text>
    </comment>
    <comment ref="B128" authorId="1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Backhaul from Z6 to Z4, forward haul in Z4 to Doyle meter 3162</t>
        </r>
      </text>
    </comment>
    <comment ref="B133" authorId="1" shapeId="0">
      <text>
        <r>
          <rPr>
            <b/>
            <sz val="8"/>
            <color indexed="81"/>
            <rFont val="Tahoma"/>
          </rPr>
          <t>cgerman</t>
        </r>
        <r>
          <rPr>
            <sz val="8"/>
            <color indexed="81"/>
            <rFont val="Tahoma"/>
          </rPr>
          <t>l 
Forward haul Z6-Z6, Backhaul Z6-Z4, forward haul in Z4 to Doyle meter 3162</t>
        </r>
      </text>
    </comment>
  </commentList>
</comments>
</file>

<file path=xl/sharedStrings.xml><?xml version="1.0" encoding="utf-8"?>
<sst xmlns="http://schemas.openxmlformats.org/spreadsheetml/2006/main" count="3232" uniqueCount="845">
  <si>
    <t>Texas Eastern</t>
  </si>
  <si>
    <t>PRO-RATED</t>
  </si>
  <si>
    <t>REGION</t>
  </si>
  <si>
    <t>CAPACITY</t>
  </si>
  <si>
    <t>% TOTAL</t>
  </si>
  <si>
    <t>RATE</t>
  </si>
  <si>
    <t xml:space="preserve"> RATE</t>
  </si>
  <si>
    <t>BASIS</t>
  </si>
  <si>
    <t>TOTAL</t>
  </si>
  <si>
    <t>STX - M3</t>
  </si>
  <si>
    <t>WLA- M3</t>
  </si>
  <si>
    <t>ELA - M3</t>
  </si>
  <si>
    <t>m1 - M3</t>
  </si>
  <si>
    <t>ETX - M3</t>
  </si>
  <si>
    <t>M3 Bid</t>
  </si>
  <si>
    <t>Demand</t>
  </si>
  <si>
    <t>STX - M2</t>
  </si>
  <si>
    <t>WLA - M2</t>
  </si>
  <si>
    <t>ELA - M2</t>
  </si>
  <si>
    <t>m1 - M2</t>
  </si>
  <si>
    <t>ETX - M2</t>
  </si>
  <si>
    <t>M2 Bid (CNG)</t>
  </si>
  <si>
    <t>Transco</t>
  </si>
  <si>
    <t>Sta 30 - Z6</t>
  </si>
  <si>
    <t>Sta 45 - Z6</t>
  </si>
  <si>
    <t>Sta 65 - Z6</t>
  </si>
  <si>
    <t>Basis</t>
  </si>
  <si>
    <t>CGLF</t>
  </si>
  <si>
    <t>Onshore</t>
  </si>
  <si>
    <t>M/L</t>
  </si>
  <si>
    <t>Total</t>
  </si>
  <si>
    <t>Other</t>
  </si>
  <si>
    <t>On Offer</t>
  </si>
  <si>
    <t>TCO Bid</t>
  </si>
  <si>
    <t>FT/FT</t>
  </si>
  <si>
    <t>IT/FT</t>
  </si>
  <si>
    <t>Tenn</t>
  </si>
  <si>
    <t>Rate</t>
  </si>
  <si>
    <t>Prod Basis</t>
  </si>
  <si>
    <t>Tco Bid</t>
  </si>
  <si>
    <t>Z0 to Z3</t>
  </si>
  <si>
    <t>Z1 to Z3</t>
  </si>
  <si>
    <t>Z0 to Z4</t>
  </si>
  <si>
    <t>Z1 to Z4</t>
  </si>
  <si>
    <t>Special</t>
  </si>
  <si>
    <t>STX - ELA</t>
  </si>
  <si>
    <t>ELA BID</t>
  </si>
  <si>
    <t xml:space="preserve"> </t>
  </si>
  <si>
    <t xml:space="preserve">  </t>
  </si>
  <si>
    <t>buy/sell</t>
  </si>
  <si>
    <t>pipe</t>
  </si>
  <si>
    <t>customer</t>
  </si>
  <si>
    <t>dates</t>
  </si>
  <si>
    <t>rec</t>
  </si>
  <si>
    <t>del</t>
  </si>
  <si>
    <t>recall</t>
  </si>
  <si>
    <t>dem</t>
  </si>
  <si>
    <t>com</t>
  </si>
  <si>
    <t>aca</t>
  </si>
  <si>
    <t>gri</t>
  </si>
  <si>
    <t>s/c</t>
  </si>
  <si>
    <t>fuel $</t>
  </si>
  <si>
    <t>fuel %</t>
  </si>
  <si>
    <t>total</t>
  </si>
  <si>
    <t>K#</t>
  </si>
  <si>
    <t>vol</t>
  </si>
  <si>
    <t>comment</t>
  </si>
  <si>
    <t>buy</t>
  </si>
  <si>
    <t>n</t>
  </si>
  <si>
    <t>F01978</t>
  </si>
  <si>
    <t>y</t>
  </si>
  <si>
    <t>Days</t>
  </si>
  <si>
    <t>Boston Gas</t>
  </si>
  <si>
    <t>tennessee</t>
  </si>
  <si>
    <t>Z5 - Wright</t>
  </si>
  <si>
    <t>Z6 - Various</t>
  </si>
  <si>
    <t>Niagara</t>
  </si>
  <si>
    <t>ela</t>
  </si>
  <si>
    <t>wla</t>
  </si>
  <si>
    <t>iroq</t>
  </si>
  <si>
    <t>r-1250-05</t>
  </si>
  <si>
    <t xml:space="preserve">  waddington </t>
  </si>
  <si>
    <t>wright</t>
  </si>
  <si>
    <t>cr-1250-08</t>
  </si>
  <si>
    <t>ECT</t>
  </si>
  <si>
    <t>FT-1</t>
  </si>
  <si>
    <t>Ela</t>
  </si>
  <si>
    <t>Stx</t>
  </si>
  <si>
    <t>Wla</t>
  </si>
  <si>
    <t>CDS</t>
  </si>
  <si>
    <t xml:space="preserve">Gas Daily </t>
  </si>
  <si>
    <t>formulas</t>
  </si>
  <si>
    <t>st 85</t>
  </si>
  <si>
    <t>zn 0</t>
  </si>
  <si>
    <t>On Price</t>
  </si>
  <si>
    <t>M3</t>
  </si>
  <si>
    <t>st 65</t>
  </si>
  <si>
    <t>zn 1 800</t>
  </si>
  <si>
    <t>st 45</t>
  </si>
  <si>
    <t>stx</t>
  </si>
  <si>
    <t>st 30</t>
  </si>
  <si>
    <t>m1</t>
  </si>
  <si>
    <t>Rates No 37.02</t>
  </si>
  <si>
    <t>Rates No 23A</t>
  </si>
  <si>
    <t>Rates No 4</t>
  </si>
  <si>
    <t>Fuel No 44</t>
  </si>
  <si>
    <t>Fuel changes each month</t>
  </si>
  <si>
    <t>(1-1)</t>
  </si>
  <si>
    <t>(1-1) it</t>
  </si>
  <si>
    <t>TETCO</t>
  </si>
  <si>
    <t>(stx-stx)</t>
  </si>
  <si>
    <t>Gulf</t>
  </si>
  <si>
    <t>TCO</t>
  </si>
  <si>
    <t>(fts)</t>
  </si>
  <si>
    <t>CNG</t>
  </si>
  <si>
    <t>tgt sl-sl</t>
  </si>
  <si>
    <t>IROQ</t>
  </si>
  <si>
    <t>FT 1-1</t>
  </si>
  <si>
    <t>Algo</t>
  </si>
  <si>
    <t>AFT-1</t>
  </si>
  <si>
    <t>comm</t>
  </si>
  <si>
    <t>(1-2)</t>
  </si>
  <si>
    <t>(1-2) it</t>
  </si>
  <si>
    <t>(stx-wla)</t>
  </si>
  <si>
    <t>(on-on)fts2</t>
  </si>
  <si>
    <t>(summer)it</t>
  </si>
  <si>
    <t>FT 1-2</t>
  </si>
  <si>
    <t>AFT-13</t>
  </si>
  <si>
    <t>tgt sl-4</t>
  </si>
  <si>
    <t>(1-3)</t>
  </si>
  <si>
    <t>(1-3)IT</t>
  </si>
  <si>
    <t>(stx-ela)</t>
  </si>
  <si>
    <t>(winter)it</t>
  </si>
  <si>
    <t>(1-5)</t>
  </si>
  <si>
    <t>(2-2) it</t>
  </si>
  <si>
    <t>(stx-m1)</t>
  </si>
  <si>
    <t>(off-off)its2</t>
  </si>
  <si>
    <t>(gath)it</t>
  </si>
  <si>
    <t>tgt 1-4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</si>
  <si>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</si>
  <si>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(1-6)</t>
  </si>
  <si>
    <t>(2-3)IT</t>
  </si>
  <si>
    <t>(stx-m2)</t>
  </si>
  <si>
    <t>(on-on)its2</t>
  </si>
  <si>
    <t>tgt SL-1</t>
  </si>
  <si>
    <t>(2-2)</t>
  </si>
  <si>
    <t>(2-4) it</t>
  </si>
  <si>
    <t>(stx-m3)</t>
  </si>
  <si>
    <t>(2-3)</t>
  </si>
  <si>
    <t>(3-3)IT</t>
  </si>
  <si>
    <t>(wla-wla)</t>
  </si>
  <si>
    <t>(2-5)</t>
  </si>
  <si>
    <t>(3-4) it</t>
  </si>
  <si>
    <t>(wla-ela)</t>
  </si>
  <si>
    <t>(on-on)DISC</t>
  </si>
  <si>
    <t>(2-6)</t>
  </si>
  <si>
    <t>(wla-m1)</t>
  </si>
  <si>
    <t>(rn-lch)Disc</t>
  </si>
  <si>
    <t>(3-3)</t>
  </si>
  <si>
    <t>(4-4) it</t>
  </si>
  <si>
    <t>(wla-m2)</t>
  </si>
  <si>
    <t xml:space="preserve">(3-4) </t>
  </si>
  <si>
    <t xml:space="preserve">Transco  </t>
  </si>
  <si>
    <t>(4a-4a) it</t>
  </si>
  <si>
    <t>(wla-m3)</t>
  </si>
  <si>
    <t>(3-5)</t>
  </si>
  <si>
    <t>(1-4)</t>
  </si>
  <si>
    <t>(etx-etx)</t>
  </si>
  <si>
    <t>Transco it</t>
  </si>
  <si>
    <t>(6-6) it</t>
  </si>
  <si>
    <t>(3-6)</t>
  </si>
  <si>
    <t>(etx-ela )</t>
  </si>
  <si>
    <t xml:space="preserve">(4-4) </t>
  </si>
  <si>
    <t>fuel(0.0)</t>
  </si>
  <si>
    <t>(ela-ela)</t>
  </si>
  <si>
    <t xml:space="preserve">(4-6) </t>
  </si>
  <si>
    <t>(ela-m1)</t>
  </si>
  <si>
    <t>fuel(1.01)</t>
  </si>
  <si>
    <t>(4a-4a)</t>
  </si>
  <si>
    <t>(ela-m2)</t>
  </si>
  <si>
    <t>fuel(1.92)</t>
  </si>
  <si>
    <t>(5-5)</t>
  </si>
  <si>
    <t>(ela-m3)</t>
  </si>
  <si>
    <t>(6-6)</t>
  </si>
  <si>
    <t>(m1-m1)</t>
  </si>
  <si>
    <t>.</t>
  </si>
  <si>
    <t>(5-4) FT</t>
  </si>
  <si>
    <t>(m1-m2)</t>
  </si>
  <si>
    <t>(L-L)  IT</t>
  </si>
  <si>
    <t>(m1-m3)</t>
  </si>
  <si>
    <t>(0-l)  IT</t>
  </si>
  <si>
    <t>(m2-m2)</t>
  </si>
  <si>
    <t>(l-2)  IT</t>
  </si>
  <si>
    <t>(m2-m3)</t>
  </si>
  <si>
    <t>(m3-m3)</t>
  </si>
  <si>
    <t>(5-5) IT</t>
  </si>
  <si>
    <t>Price</t>
  </si>
  <si>
    <t>Tennessee</t>
  </si>
  <si>
    <t>(etx-wla)</t>
  </si>
  <si>
    <t>(etx-stx)</t>
  </si>
  <si>
    <t>Fuel</t>
  </si>
  <si>
    <t>Iroq Fuel</t>
  </si>
  <si>
    <t>Z1 - Z1</t>
  </si>
  <si>
    <t>Z1 -Z2</t>
  </si>
  <si>
    <t>Z2 - Z2</t>
  </si>
  <si>
    <t>Volume</t>
  </si>
  <si>
    <t>LRC</t>
  </si>
  <si>
    <t>4A</t>
  </si>
  <si>
    <t>0</t>
  </si>
  <si>
    <t>L</t>
  </si>
  <si>
    <t>1</t>
  </si>
  <si>
    <t>4</t>
  </si>
  <si>
    <t>STX</t>
  </si>
  <si>
    <t>WLA</t>
  </si>
  <si>
    <t>ELA</t>
  </si>
  <si>
    <t>M1</t>
  </si>
  <si>
    <t>M2</t>
  </si>
  <si>
    <t>ETX</t>
  </si>
  <si>
    <t>Off</t>
  </si>
  <si>
    <t>On</t>
  </si>
  <si>
    <t>ML</t>
  </si>
  <si>
    <t>SL</t>
  </si>
  <si>
    <t>Toca/Patt</t>
  </si>
  <si>
    <t>Kinder</t>
  </si>
  <si>
    <t>Hiedelburg</t>
  </si>
  <si>
    <t>Chicago</t>
  </si>
  <si>
    <t>Carnes</t>
  </si>
  <si>
    <t>Rosehill</t>
  </si>
  <si>
    <t>Pugh</t>
  </si>
  <si>
    <t>Varibus</t>
  </si>
  <si>
    <t xml:space="preserve">Zone 2 </t>
  </si>
  <si>
    <t>Zone 3</t>
  </si>
  <si>
    <t>Zone 4</t>
  </si>
  <si>
    <t>Zone 5</t>
  </si>
  <si>
    <t>Zone 6</t>
  </si>
  <si>
    <t>Ragley</t>
  </si>
  <si>
    <t>M-1</t>
  </si>
  <si>
    <t>M-2</t>
  </si>
  <si>
    <t>M-3</t>
  </si>
  <si>
    <t>Leach</t>
  </si>
  <si>
    <t xml:space="preserve">MGT Rate </t>
  </si>
  <si>
    <t>Rates No 5</t>
  </si>
  <si>
    <t>Fuel No. 10</t>
  </si>
  <si>
    <t>EQTR</t>
  </si>
  <si>
    <t>ITS</t>
  </si>
  <si>
    <t>Nat Fuel</t>
  </si>
  <si>
    <t>Trco/Leidy</t>
  </si>
  <si>
    <t xml:space="preserve">Demand charge billed on receipt volume of 117 DT's.  </t>
  </si>
  <si>
    <t>14,957 mcf; $18.25 - winter; $14.6183 - summer; eff 8/31/98 tarrif rate is below negotiated rate - use tariff rate; eff 11/1/98 MDQ = 2017. Demand = $14.1678</t>
  </si>
  <si>
    <t>BGC K#42001;$8.3862</t>
  </si>
  <si>
    <t>Rates No  26 &amp; 31</t>
  </si>
  <si>
    <t>(3-6) it</t>
  </si>
  <si>
    <t>Comm</t>
  </si>
  <si>
    <t>IT 1-2</t>
  </si>
  <si>
    <t>Rates 25 &amp; 28</t>
  </si>
  <si>
    <t>Z2-Z6 include GRI of $0.0075</t>
  </si>
  <si>
    <t>SL-Inter</t>
  </si>
  <si>
    <t>SL-Intra</t>
  </si>
  <si>
    <t>Rates 32</t>
  </si>
  <si>
    <t>ft</t>
  </si>
  <si>
    <t>it</t>
  </si>
  <si>
    <t>Disc 1-2</t>
  </si>
  <si>
    <t>apr-nov fuel</t>
  </si>
  <si>
    <t>Rates 11A</t>
  </si>
  <si>
    <t>Fuel 14</t>
  </si>
  <si>
    <t>Wadd</t>
  </si>
  <si>
    <t>Summer Fuel</t>
  </si>
  <si>
    <t>TGT</t>
  </si>
  <si>
    <t>Summer</t>
  </si>
  <si>
    <t>Winter</t>
  </si>
  <si>
    <t>Apr 1 - Oct 31</t>
  </si>
  <si>
    <t>Fuel No 127,128, &amp; 129</t>
  </si>
  <si>
    <t>Fuel No 29</t>
  </si>
  <si>
    <t>fuel(0.84)</t>
  </si>
  <si>
    <t>fuel(2.44)</t>
  </si>
  <si>
    <t>fuel(4.43)</t>
  </si>
  <si>
    <t>fuel(5.04)</t>
  </si>
  <si>
    <t>fuel(5.8)</t>
  </si>
  <si>
    <t>fuel(6.72)</t>
  </si>
  <si>
    <t>fuel(7.42)</t>
  </si>
  <si>
    <t>fuel(.95)</t>
  </si>
  <si>
    <t>fuel(1.70)</t>
  </si>
  <si>
    <t>fuel(3.69)</t>
  </si>
  <si>
    <t>fuel(4.29)</t>
  </si>
  <si>
    <t>fuel(5.06)</t>
  </si>
  <si>
    <t>fuel(5.97)</t>
  </si>
  <si>
    <t>fuel(6.67)</t>
  </si>
  <si>
    <t>fuel(1.17)</t>
  </si>
  <si>
    <t>fuel(1.86)</t>
  </si>
  <si>
    <t>fuel(1.07)</t>
  </si>
  <si>
    <t>Injection</t>
  </si>
  <si>
    <t>Withdrawal</t>
  </si>
  <si>
    <t>(off-off)fts2</t>
  </si>
  <si>
    <t>(ml-ml)fts1</t>
  </si>
  <si>
    <t>(ml-ml)its1</t>
  </si>
  <si>
    <t>fuel(3.58)</t>
  </si>
  <si>
    <t>fuel(.35)</t>
  </si>
  <si>
    <t>fuel(4.72)</t>
  </si>
  <si>
    <t>fuel (.45)</t>
  </si>
  <si>
    <t>EFFECTIVE 4/1/99</t>
  </si>
  <si>
    <t>PENDING NEW FUELS</t>
  </si>
  <si>
    <t>PENDING Rates &amp; Fuel</t>
  </si>
  <si>
    <t>Eff 4/1/99</t>
  </si>
  <si>
    <t>Gulf Onshore IT-Mainline FT</t>
  </si>
  <si>
    <t>Disc 1-1</t>
  </si>
  <si>
    <t>East Desk IT and Pooling Contracts</t>
  </si>
  <si>
    <t>Pipeline</t>
  </si>
  <si>
    <t xml:space="preserve">Transco </t>
  </si>
  <si>
    <t>Contract #</t>
  </si>
  <si>
    <t>Receipt Points</t>
  </si>
  <si>
    <t>Delivery Points</t>
  </si>
  <si>
    <t>All</t>
  </si>
  <si>
    <t>??</t>
  </si>
  <si>
    <t>Comment</t>
  </si>
  <si>
    <t>Primary use is to nominate supply into the pools</t>
  </si>
  <si>
    <t>Primary use is to nomiante gas to the interconnects.</t>
  </si>
  <si>
    <t>Rate Schedule</t>
  </si>
  <si>
    <t>IT</t>
  </si>
  <si>
    <t>Algonquin</t>
  </si>
  <si>
    <t>AIT</t>
  </si>
  <si>
    <t>ITS-2</t>
  </si>
  <si>
    <t>Used for onshore and offshore receipts and deliveries.</t>
  </si>
  <si>
    <t>CGAS</t>
  </si>
  <si>
    <t>Z0-Niagara difference:</t>
  </si>
  <si>
    <t>Z1-Niagara difference:</t>
  </si>
  <si>
    <t>Storage GSS Sheet 27</t>
  </si>
  <si>
    <t>Index</t>
  </si>
  <si>
    <t>Z6</t>
  </si>
  <si>
    <t>Inj Fuel</t>
  </si>
  <si>
    <t>Fuel Cost</t>
  </si>
  <si>
    <t>Total Cost</t>
  </si>
  <si>
    <t>W/D Fuel</t>
  </si>
  <si>
    <t>Storage LSS Sheet 28A</t>
  </si>
  <si>
    <t xml:space="preserve">  note:  Fuel is 100% third party fuel</t>
  </si>
  <si>
    <t>B10851</t>
  </si>
  <si>
    <t>(5-6)</t>
  </si>
  <si>
    <t>fuel(0.45)</t>
  </si>
  <si>
    <t>TGP</t>
  </si>
  <si>
    <t>Storage GSS &amp; GSS-TE</t>
  </si>
  <si>
    <t>CNG South</t>
  </si>
  <si>
    <t>GSS-TE Surcharge</t>
  </si>
  <si>
    <t xml:space="preserve">Only variable cost difference between GSS and GSSTE is the </t>
  </si>
  <si>
    <t>GSS-TE surcharge on withdrawals</t>
  </si>
  <si>
    <t>Generic</t>
  </si>
  <si>
    <t>ACA</t>
  </si>
  <si>
    <t>GRI</t>
  </si>
  <si>
    <t>Fuel %</t>
  </si>
  <si>
    <t>Fuel $</t>
  </si>
  <si>
    <t>Variable</t>
  </si>
  <si>
    <t>Delivered</t>
  </si>
  <si>
    <t>Tenn Z0</t>
  </si>
  <si>
    <t>UTOS</t>
  </si>
  <si>
    <t>Formula</t>
  </si>
  <si>
    <t>(1-4) it</t>
  </si>
  <si>
    <t>Transco FT Commodity</t>
  </si>
  <si>
    <t>Tenn FT Commodity</t>
  </si>
  <si>
    <t>tgt 1-SL (Backhaul)</t>
  </si>
  <si>
    <t>CGAS FT</t>
  </si>
  <si>
    <t>CNG FT</t>
  </si>
  <si>
    <t>pro basis</t>
  </si>
  <si>
    <t>pro rate</t>
  </si>
  <si>
    <t>z1 to z3</t>
  </si>
  <si>
    <t>summerrates</t>
  </si>
  <si>
    <t>basis</t>
  </si>
  <si>
    <t>basis diff</t>
  </si>
  <si>
    <t>bas diff -</t>
  </si>
  <si>
    <t>rate</t>
  </si>
  <si>
    <t xml:space="preserve">value * 5 </t>
  </si>
  <si>
    <t>months</t>
  </si>
  <si>
    <t>cng s bid</t>
  </si>
  <si>
    <t>z1 to z4</t>
  </si>
  <si>
    <t>Z0 to Z5</t>
  </si>
  <si>
    <t>Z1 to Z5</t>
  </si>
  <si>
    <t>cng n bid</t>
  </si>
  <si>
    <t>z1 to z5</t>
  </si>
  <si>
    <t>IT-BH</t>
  </si>
  <si>
    <t>Backhaul IT contract</t>
  </si>
  <si>
    <t>Buy</t>
  </si>
  <si>
    <t>Offshore and Onshore are IT rates</t>
  </si>
  <si>
    <t>Equitrans</t>
  </si>
  <si>
    <t>Storage SS-3</t>
  </si>
  <si>
    <t>Commodity</t>
  </si>
  <si>
    <t>Storage Transport Service STS-1</t>
  </si>
  <si>
    <t>Transport Leidy to Bug Contract 2.2173  Sheet No 37E  FTA-R</t>
  </si>
  <si>
    <t>ACA + GRI</t>
  </si>
  <si>
    <t>No Great Plains Surcharge</t>
  </si>
  <si>
    <t>Z6 NY</t>
  </si>
  <si>
    <t>FT-R</t>
  </si>
  <si>
    <t>Master Firm contract - use to nominate firm capacity on rate schedule FT</t>
  </si>
  <si>
    <t>Sitara</t>
  </si>
  <si>
    <t xml:space="preserve">  note:  Fuel is the sum of 3.10% from Transco and 1.64% from CNG.</t>
  </si>
  <si>
    <t>Storage SS1 Sheet 28B</t>
  </si>
  <si>
    <t>Transco Injection Cost</t>
  </si>
  <si>
    <t>Transport</t>
  </si>
  <si>
    <t>CNG Transport Cost from Leidy to Tioga</t>
  </si>
  <si>
    <t>CNG Transport Cost from Tioga to Leidy</t>
  </si>
  <si>
    <t>Transco Withdrawal Cost</t>
  </si>
  <si>
    <t>IT-1</t>
  </si>
  <si>
    <t>Forward Haul IT contract</t>
  </si>
  <si>
    <t>TABS-1</t>
  </si>
  <si>
    <t>Pooling contract.  No transport rates.</t>
  </si>
  <si>
    <t>PBS</t>
  </si>
  <si>
    <t>Use to park and borrow gas.  Remember to update the "DEAL FEES" on the front screen of the deal.</t>
  </si>
  <si>
    <t>Storage WSS Sheet 27A</t>
  </si>
  <si>
    <t>MCS105</t>
  </si>
  <si>
    <t>MCS</t>
  </si>
  <si>
    <t>Use for parking and loaning.</t>
  </si>
  <si>
    <t>National Fuel Gas Supply</t>
  </si>
  <si>
    <t>V02241</t>
  </si>
  <si>
    <t>FMS</t>
  </si>
  <si>
    <t>NFGUPS</t>
  </si>
  <si>
    <t>Use when purchasing gas from National Fuel Gas Supply</t>
  </si>
  <si>
    <t>ITS-1</t>
  </si>
  <si>
    <t>Used for mainline receipts and deliveries.</t>
  </si>
  <si>
    <t>IPP</t>
  </si>
  <si>
    <t>Pooling Contract</t>
  </si>
  <si>
    <t>ICTS</t>
  </si>
  <si>
    <t>Interconnect Transfer Service Agreement.</t>
  </si>
  <si>
    <t>Agency</t>
  </si>
  <si>
    <t>Fuel Rev 8/1/99</t>
  </si>
  <si>
    <t xml:space="preserve">                                                                                                                                               </t>
  </si>
  <si>
    <t>Trco Z1</t>
  </si>
  <si>
    <t>Trco Z2</t>
  </si>
  <si>
    <t>Trco Z3</t>
  </si>
  <si>
    <t>Trco Z4</t>
  </si>
  <si>
    <t>TGT Sl</t>
  </si>
  <si>
    <t>CNG SP</t>
  </si>
  <si>
    <t>Trco Z6</t>
  </si>
  <si>
    <t>CGLF On</t>
  </si>
  <si>
    <t>Tenn 800</t>
  </si>
  <si>
    <t>Bridgeline Gas Distribution Co. LLC</t>
  </si>
  <si>
    <t>1-70-185</t>
  </si>
  <si>
    <t>Set up in Sitara</t>
  </si>
  <si>
    <t>FGT, Trco, &amp; Lig</t>
  </si>
  <si>
    <t>Transport expense using Prices shown below</t>
  </si>
  <si>
    <t>Items have been checked</t>
  </si>
  <si>
    <t>Need to verify</t>
  </si>
  <si>
    <t>Reliant - Entex</t>
  </si>
  <si>
    <t>FS-MA</t>
  </si>
  <si>
    <t>Winter Fuel Dec-Mar</t>
  </si>
  <si>
    <t>Spring Fuel Apr - Oct</t>
  </si>
  <si>
    <t>I00454</t>
  </si>
  <si>
    <t>fuel(.22)</t>
  </si>
  <si>
    <t>fuel(2.68)</t>
  </si>
  <si>
    <t>fuel(1.69)</t>
  </si>
  <si>
    <t>Fuel No 40</t>
  </si>
  <si>
    <t>Rates 21</t>
  </si>
  <si>
    <t>Midwestern</t>
  </si>
  <si>
    <t>NGPL</t>
  </si>
  <si>
    <t>Marco</t>
  </si>
  <si>
    <t>TETCO FT Commodity using April - November Fuels</t>
  </si>
  <si>
    <t>ENA</t>
  </si>
  <si>
    <t>Disc It</t>
  </si>
  <si>
    <t>Iroquois</t>
  </si>
  <si>
    <t>R-1250-99</t>
  </si>
  <si>
    <t>Park &amp; Loan</t>
  </si>
  <si>
    <t>R-1250-01</t>
  </si>
  <si>
    <t>Brazos 105</t>
  </si>
  <si>
    <t>fuel(9.26)</t>
  </si>
  <si>
    <t>fuel(10.89)</t>
  </si>
  <si>
    <t>fuel(8.12)</t>
  </si>
  <si>
    <t>fuel(9.75)</t>
  </si>
  <si>
    <t>fuel(7.61)</t>
  </si>
  <si>
    <t>fuel(9.24)</t>
  </si>
  <si>
    <t>fuel(4.98)</t>
  </si>
  <si>
    <t>fuel(6.61)</t>
  </si>
  <si>
    <t>fuel(5.45)</t>
  </si>
  <si>
    <t>fuel(2.99)</t>
  </si>
  <si>
    <t>It to M2</t>
  </si>
  <si>
    <t>It to M3</t>
  </si>
  <si>
    <t>Rates No  42</t>
  </si>
  <si>
    <t>CDS and FT-1</t>
  </si>
  <si>
    <t>Est demand</t>
  </si>
  <si>
    <t>Act demand</t>
  </si>
  <si>
    <t>CES</t>
  </si>
  <si>
    <t>MidCoast</t>
  </si>
  <si>
    <t>entex strg</t>
  </si>
  <si>
    <t>reimbursed</t>
  </si>
  <si>
    <t>Sonat</t>
  </si>
  <si>
    <t>Sonat La</t>
  </si>
  <si>
    <t>(0-0)FT</t>
  </si>
  <si>
    <t>(0-1)FT</t>
  </si>
  <si>
    <t>(0-2)FT</t>
  </si>
  <si>
    <t>(0-3)FT</t>
  </si>
  <si>
    <t>fuel(1.50)</t>
  </si>
  <si>
    <t>fuel(2.30)</t>
  </si>
  <si>
    <t>fuel(2.60)</t>
  </si>
  <si>
    <t>Need to check GSR &amp; SCRM</t>
  </si>
  <si>
    <t>0-0</t>
  </si>
  <si>
    <t>0-1</t>
  </si>
  <si>
    <t>0-2</t>
  </si>
  <si>
    <t>0-3</t>
  </si>
  <si>
    <t xml:space="preserve">(4-5) </t>
  </si>
  <si>
    <t>Trco</t>
  </si>
  <si>
    <t>zone 1</t>
  </si>
  <si>
    <t xml:space="preserve">LGS </t>
  </si>
  <si>
    <t>LGS strg</t>
  </si>
  <si>
    <t>CES Contact:  John Hodge 713-693-2801</t>
  </si>
  <si>
    <t>ENA Structuring Contact:  Mark Breese 3-6751</t>
  </si>
  <si>
    <t>Entered from Structuring's Worksheet.</t>
  </si>
  <si>
    <t>Comments:</t>
  </si>
  <si>
    <t>12/18/99 could not find contract 62039 in Navigator.</t>
  </si>
  <si>
    <t>2000 GRI Changes  $.0075 ==&gt; $.0072     and $.23 ==&gt; $.20</t>
  </si>
  <si>
    <t>Moved contract 65027 from Wholesale to Retail.</t>
  </si>
  <si>
    <t>New K#</t>
  </si>
  <si>
    <t>Est Demand</t>
  </si>
  <si>
    <t>Act Demand</t>
  </si>
  <si>
    <t>New Sitara</t>
  </si>
  <si>
    <t>Col Gulf</t>
  </si>
  <si>
    <t>12,000 - Erath, 12,000 - Henry, 6,000 - Venice</t>
  </si>
  <si>
    <t>Rayne</t>
  </si>
  <si>
    <t>Onshore capacity - 6,000 day Venice receipt, CES has exclusive right of termination.</t>
  </si>
  <si>
    <t>Venice</t>
  </si>
  <si>
    <t>Onshore capacity - 20,000 day Venice receipt, CES has exclusive right of termination.</t>
  </si>
  <si>
    <t>Mainline capacity</t>
  </si>
  <si>
    <t>24,000 - NGPL Chalkely, 16,000 - Venice</t>
  </si>
  <si>
    <t>20,000 - Sonat Shadyside, 20,000 - FGT</t>
  </si>
  <si>
    <t>Onshore capacity - 16,000 of Venice capacity.</t>
  </si>
  <si>
    <t>8,285 - Mobil Lowry, 8,774 - Erath, 3,200 - Henry, 5,395 - Venice</t>
  </si>
  <si>
    <t>WC560</t>
  </si>
  <si>
    <t>WC537</t>
  </si>
  <si>
    <t>WC537/560 Discounted offshore FT transortation, reimbursed full IT rate by Pennzoil, volumetric demand charge.  CES pays $.0648 for all Pennzoil production from this block.</t>
  </si>
  <si>
    <t>801 Leach</t>
  </si>
  <si>
    <t>CES/Agency</t>
  </si>
  <si>
    <t>demand</t>
  </si>
  <si>
    <t>Col Gas</t>
  </si>
  <si>
    <t>Broad run</t>
  </si>
  <si>
    <t>CALP</t>
  </si>
  <si>
    <t>Type</t>
  </si>
  <si>
    <t>FTS</t>
  </si>
  <si>
    <t>Tetco</t>
  </si>
  <si>
    <t>St 65</t>
  </si>
  <si>
    <t>Evergreen</t>
  </si>
  <si>
    <t>all</t>
  </si>
  <si>
    <t>1.1501</t>
  </si>
  <si>
    <t>CES IT Contract</t>
  </si>
  <si>
    <t>Total Demand</t>
  </si>
  <si>
    <t>Sell</t>
  </si>
  <si>
    <t>CALPS Exchange</t>
  </si>
  <si>
    <t>Asset Management Deals</t>
  </si>
  <si>
    <t>Used for Zone 2 PVR</t>
  </si>
  <si>
    <t>Questions</t>
  </si>
  <si>
    <t>Similar to ENA's k#39149</t>
  </si>
  <si>
    <t>P10</t>
  </si>
  <si>
    <t>CEM</t>
  </si>
  <si>
    <t>CEM/Agency</t>
  </si>
  <si>
    <t>Similar to ENA's k#37147</t>
  </si>
  <si>
    <t>CES Wholesale East Desk Transportation Capacity for Jan, 2000</t>
  </si>
  <si>
    <t>(2-4)</t>
  </si>
  <si>
    <t>Overrun</t>
  </si>
  <si>
    <t>Overrun contract</t>
  </si>
  <si>
    <t>SST</t>
  </si>
  <si>
    <t>Dayton does the scheduling and they will bill ENA for the transport usage.</t>
  </si>
  <si>
    <t>Texas Gas Transmission</t>
  </si>
  <si>
    <t>T006057</t>
  </si>
  <si>
    <t>FT</t>
  </si>
  <si>
    <t>fuel(1.31)</t>
  </si>
  <si>
    <t>Tenn Net 284</t>
  </si>
  <si>
    <t>Tenn +GRI</t>
  </si>
  <si>
    <t>Iroq -GRI</t>
  </si>
  <si>
    <t>Updtd Fuel 12/1/1999</t>
  </si>
  <si>
    <t>Summer Apr-Nov</t>
  </si>
  <si>
    <t>Updtd Fuel 12/1/2000</t>
  </si>
  <si>
    <t>fuel(.58)</t>
  </si>
  <si>
    <t>Stingray</t>
  </si>
  <si>
    <t>Strg</t>
  </si>
  <si>
    <t>Updated eff 3/1/2000</t>
  </si>
  <si>
    <t>KO Transmission</t>
  </si>
  <si>
    <t>019</t>
  </si>
  <si>
    <t>Acquired from CES</t>
  </si>
  <si>
    <t>fuel(.81)</t>
  </si>
  <si>
    <t>fuel(1.26)</t>
  </si>
  <si>
    <t>fuel(3.16)</t>
  </si>
  <si>
    <t>fuel(4.69)</t>
  </si>
  <si>
    <t>fuel(5.53)</t>
  </si>
  <si>
    <t>fuel(.46)</t>
  </si>
  <si>
    <t>fuel(.91)</t>
  </si>
  <si>
    <t>fuel(2.81)</t>
  </si>
  <si>
    <t>fuel(4.34)</t>
  </si>
  <si>
    <t>fuel(5.18)</t>
  </si>
  <si>
    <t>fuel(2.35)</t>
  </si>
  <si>
    <t>fuel(3.88)</t>
  </si>
  <si>
    <t>fuel(1.90)</t>
  </si>
  <si>
    <t>fuel(3.43)</t>
  </si>
  <si>
    <t>fuel(4.27)</t>
  </si>
  <si>
    <t>fuel(0.59)</t>
  </si>
  <si>
    <t>fuel(1.53)</t>
  </si>
  <si>
    <t>fuel(2.37)</t>
  </si>
  <si>
    <t>fuel(0.91)</t>
  </si>
  <si>
    <t>3/24/2000 Veronica with CGLF will try to find the contract terms for this deal.</t>
  </si>
  <si>
    <t>Cap Auction</t>
  </si>
  <si>
    <t>19E</t>
  </si>
  <si>
    <t>N</t>
  </si>
  <si>
    <t>Mainline</t>
  </si>
  <si>
    <t>Central Texas</t>
  </si>
  <si>
    <t>Energynorth</t>
  </si>
  <si>
    <t>Y</t>
  </si>
  <si>
    <t>Rates update 1/1/2000</t>
  </si>
  <si>
    <t>Tenn NET 284</t>
  </si>
  <si>
    <t>INCLUDES GRI ($0.0072) and Great Plains Surcharge ($0.0131)</t>
  </si>
  <si>
    <t>CNG Fuel</t>
  </si>
  <si>
    <t xml:space="preserve">             Texas Gas FT Commodity</t>
  </si>
  <si>
    <t>CGAS Fuel</t>
  </si>
  <si>
    <t>(0-0) FT</t>
  </si>
  <si>
    <t>(0-1) FT</t>
  </si>
  <si>
    <t>(0-2) FT</t>
  </si>
  <si>
    <t>(0-3) FT</t>
  </si>
  <si>
    <t>(0-4) FT</t>
  </si>
  <si>
    <t>(0-5) FT</t>
  </si>
  <si>
    <t>(0-6) FT</t>
  </si>
  <si>
    <t>(L-L) FT</t>
  </si>
  <si>
    <t>(1-1) FT</t>
  </si>
  <si>
    <t>(1-2) FT</t>
  </si>
  <si>
    <t>(1-3) FT</t>
  </si>
  <si>
    <t>(1-4) FT</t>
  </si>
  <si>
    <t>(1-5) FT</t>
  </si>
  <si>
    <t>(1-6) FT</t>
  </si>
  <si>
    <t>(2-5) FT</t>
  </si>
  <si>
    <t>(4-4) FT</t>
  </si>
  <si>
    <t>(4-6) FT</t>
  </si>
  <si>
    <t>(5-5) FT</t>
  </si>
  <si>
    <t>(5-6)  FT</t>
  </si>
  <si>
    <t>IT Rates No 22</t>
  </si>
  <si>
    <t>Rates No 14</t>
  </si>
  <si>
    <t>Updtd Rates 3/1/00</t>
  </si>
  <si>
    <t>Fuel No 15</t>
  </si>
  <si>
    <t>CVPT</t>
  </si>
  <si>
    <t>FPS1024</t>
  </si>
  <si>
    <t>10 day peaking service from Cove Point, max daily withdrawal is 36,000/day.</t>
  </si>
  <si>
    <t>Disc IT</t>
  </si>
  <si>
    <t>Rates 18 &amp; 19</t>
  </si>
  <si>
    <t>Texas Gas</t>
  </si>
  <si>
    <t>(6-6)  FT</t>
  </si>
  <si>
    <t>fuel(0.85)</t>
  </si>
  <si>
    <t>NFG</t>
  </si>
  <si>
    <t>Rates No 8</t>
  </si>
  <si>
    <t>Rates update 5/1/2000</t>
  </si>
  <si>
    <t>NFGS</t>
  </si>
  <si>
    <t>Zn 1</t>
  </si>
  <si>
    <t>Zn 2</t>
  </si>
  <si>
    <t>Zn 3</t>
  </si>
  <si>
    <t>fuel(2.00)</t>
  </si>
  <si>
    <t>Fuel No.8,</t>
  </si>
  <si>
    <t>All Fuel is 0.02%</t>
  </si>
  <si>
    <t>Niagara Zone 3</t>
  </si>
  <si>
    <t>TGP/NFG Niagara</t>
  </si>
  <si>
    <t xml:space="preserve">      (5-5) FT</t>
  </si>
  <si>
    <t>TGP Backhaul</t>
  </si>
  <si>
    <t>fuel(0.005)</t>
  </si>
  <si>
    <t>Zn 3 - 65</t>
  </si>
  <si>
    <t>to:  St. 65</t>
  </si>
  <si>
    <t xml:space="preserve">   TETCO </t>
  </si>
  <si>
    <t>Apr - Nov</t>
  </si>
  <si>
    <t>fuel(.603)</t>
  </si>
  <si>
    <t>fuel(2.82)</t>
  </si>
  <si>
    <t>fuel(.489)</t>
  </si>
  <si>
    <t xml:space="preserve">Buy </t>
  </si>
  <si>
    <t>23N-7</t>
  </si>
  <si>
    <t>Onshore - authorized overrun</t>
  </si>
  <si>
    <t>Trco St 30</t>
  </si>
  <si>
    <t>Term=yr to yr, evergreen with 6 month termination notice.  ENA acquired this from Access Energy in 1993</t>
  </si>
  <si>
    <t>ENA acquired this from Access Energy in 1993</t>
  </si>
  <si>
    <t>Cove Point</t>
  </si>
  <si>
    <t>FPS</t>
  </si>
  <si>
    <t>Demand charge billed on receipt volume</t>
  </si>
  <si>
    <t>Reimbursements</t>
  </si>
  <si>
    <t>Net Demand</t>
  </si>
  <si>
    <t>(etx-M1 )</t>
  </si>
  <si>
    <t>(etx-M2 )</t>
  </si>
  <si>
    <t>(etx-M3 )</t>
  </si>
  <si>
    <t xml:space="preserve">           Algonquin</t>
  </si>
  <si>
    <t xml:space="preserve">    Commodity and Fuel</t>
  </si>
  <si>
    <t>801 - Leach</t>
  </si>
  <si>
    <t>4 BG&amp;E</t>
  </si>
  <si>
    <t>ENA purchased from CES</t>
  </si>
  <si>
    <t>Belfry</t>
  </si>
  <si>
    <t>Total Market East Demand</t>
  </si>
  <si>
    <t>Tot Reimbursements</t>
  </si>
  <si>
    <t>(6-5)  FT</t>
  </si>
  <si>
    <t>fuel(1.27%)</t>
  </si>
  <si>
    <t>13.36, see deal 224102</t>
  </si>
  <si>
    <t>La Gas Serv</t>
  </si>
  <si>
    <t>Tiered- FGT-.02/LIG .015/Tran .01</t>
  </si>
  <si>
    <t>Month</t>
  </si>
  <si>
    <t>93036/229817</t>
  </si>
  <si>
    <t>Purchased directly from pipe.</t>
  </si>
  <si>
    <t>Henry Hub</t>
  </si>
  <si>
    <t>23n-2</t>
  </si>
  <si>
    <t>CNR</t>
  </si>
  <si>
    <t>cnr02</t>
  </si>
  <si>
    <t>23-5</t>
  </si>
  <si>
    <t>A-To Pull Nelson's CNR Buy</t>
  </si>
  <si>
    <t>B-To Pull Nelson's CNR Buy</t>
  </si>
  <si>
    <t>C-To Pull Nelson's CNR Buy</t>
  </si>
  <si>
    <t>TRCO IT Rates</t>
  </si>
  <si>
    <t>Note:  2-2, 2-3, and 3-3 rates do not include surcharges.</t>
  </si>
  <si>
    <t>Chandeleur</t>
  </si>
  <si>
    <t>CI-30</t>
  </si>
  <si>
    <t>FGT</t>
  </si>
  <si>
    <t>Sea Robin</t>
  </si>
  <si>
    <t>???</t>
  </si>
  <si>
    <t>FSRP3</t>
  </si>
  <si>
    <t>Reimbursements/CES</t>
  </si>
  <si>
    <t>TETCO IT</t>
  </si>
  <si>
    <t>Agency/St of FGT</t>
  </si>
  <si>
    <t xml:space="preserve">Buy  </t>
  </si>
  <si>
    <t>Koch</t>
  </si>
  <si>
    <t>Entergy New Orleans</t>
  </si>
  <si>
    <t>Nopsi</t>
  </si>
  <si>
    <t>All receipts</t>
  </si>
  <si>
    <t>Seasonal MDQ, Nov-Mar 85,000 dth, April 42,500 dth, May-Sep 29,750 dth, Oct 42,500 dth</t>
  </si>
  <si>
    <t>145753 / 233132</t>
  </si>
  <si>
    <t>Fuel 44</t>
  </si>
  <si>
    <t>IGS</t>
  </si>
  <si>
    <t>Rates Eff 7/1/00</t>
  </si>
  <si>
    <t>Updtd Rates 8/1/00</t>
  </si>
  <si>
    <t>#29788, Belfry</t>
  </si>
  <si>
    <t>#24770, Mainline capacity</t>
  </si>
  <si>
    <t>#25471, Onshore capacity - 5,395 venice capacity.</t>
  </si>
  <si>
    <t>Purchased directly from the pipeline byCraig Breslau</t>
  </si>
  <si>
    <t>450091 / 450129</t>
  </si>
  <si>
    <t>Nov 1 - Mar 31</t>
  </si>
  <si>
    <t>Winter Fuel</t>
  </si>
  <si>
    <t>Winter Fuel Nov-Mar</t>
  </si>
  <si>
    <t>Woodward</t>
  </si>
  <si>
    <t>released month to month</t>
  </si>
  <si>
    <t xml:space="preserve">    "ELA Rate Assumes $0.0622 'IT'"</t>
  </si>
  <si>
    <t>FT-Niag to Leidy</t>
  </si>
  <si>
    <t>Constellation/BG&amp;E Release</t>
  </si>
  <si>
    <t>T016937</t>
  </si>
  <si>
    <t>8107  Evangeline</t>
  </si>
  <si>
    <t>8046  mamou</t>
  </si>
  <si>
    <t>Zone 4 Marango</t>
  </si>
  <si>
    <t>Sta 30</t>
  </si>
  <si>
    <t>#14774</t>
  </si>
  <si>
    <t>459735 / 459780</t>
  </si>
  <si>
    <t>Purchased from the pipeline</t>
  </si>
  <si>
    <t>PP&amp;L</t>
  </si>
  <si>
    <t>EES</t>
  </si>
  <si>
    <t>#030716</t>
  </si>
  <si>
    <t>B00693-033141</t>
  </si>
  <si>
    <t>H02262</t>
  </si>
  <si>
    <t>A02353</t>
  </si>
  <si>
    <t>ISS</t>
  </si>
  <si>
    <t>IAS</t>
  </si>
  <si>
    <t>Use when borrowing gas then paying back.</t>
  </si>
  <si>
    <t>Use when parking gas first then withdrawing.</t>
  </si>
  <si>
    <t xml:space="preserve"> 312309 / 362289</t>
  </si>
  <si>
    <t>Stow</t>
  </si>
  <si>
    <t>Dominion SP</t>
  </si>
  <si>
    <t>T0170750000</t>
  </si>
  <si>
    <t>#2000110000068. Volumetric.</t>
  </si>
  <si>
    <t>Egan Storage</t>
  </si>
  <si>
    <t>ENA-00001</t>
  </si>
  <si>
    <t>#</t>
  </si>
  <si>
    <t>Reliant</t>
  </si>
  <si>
    <t>3-15, 7-3, 7-4, 7-8,7-9</t>
  </si>
  <si>
    <t>To cover Miami Valley</t>
  </si>
  <si>
    <t>801- Leach</t>
  </si>
  <si>
    <t>EOL Sale</t>
  </si>
  <si>
    <t>Indeck</t>
  </si>
  <si>
    <t>Hastings</t>
  </si>
  <si>
    <t>Silver Spring</t>
  </si>
  <si>
    <t>#14816- hendrickson buy</t>
  </si>
  <si>
    <t>(1-3) IT</t>
  </si>
  <si>
    <t>m/l ITS2</t>
  </si>
  <si>
    <t>Leach FT1</t>
  </si>
  <si>
    <t>(5-4) IT</t>
  </si>
  <si>
    <t>(1-4) IT</t>
  </si>
  <si>
    <t>Market East Desk Transportation Capacity for January, 2001</t>
  </si>
  <si>
    <t>(0-3)  IT</t>
  </si>
  <si>
    <t>(6-5) IT</t>
  </si>
  <si>
    <t>(1-5) IT</t>
  </si>
  <si>
    <t>(5-6) IT</t>
  </si>
  <si>
    <t>(6-6) IT</t>
  </si>
  <si>
    <t>(0-4)  IT</t>
  </si>
  <si>
    <t>(6-4)  FT</t>
  </si>
  <si>
    <t>8T001N</t>
  </si>
  <si>
    <t>8T001S</t>
  </si>
  <si>
    <t>8G001N</t>
  </si>
  <si>
    <t>8G001S</t>
  </si>
  <si>
    <t>Purcahsed from the pipeline</t>
  </si>
  <si>
    <t>Reimbursement captured on sales ticket 548711</t>
  </si>
  <si>
    <t>Leidy-Doyle</t>
  </si>
  <si>
    <t>St 210-Doyle</t>
  </si>
  <si>
    <t>(6-4) IT</t>
  </si>
  <si>
    <t>(6-3) IT</t>
  </si>
  <si>
    <t>Updated 12/1/2001</t>
  </si>
  <si>
    <t>Nissequoque</t>
  </si>
  <si>
    <t>(4-5) it</t>
  </si>
  <si>
    <t>#12479 - Cook School</t>
  </si>
  <si>
    <t>Z4 Cambridge #020064, and Dungannon #020060</t>
  </si>
  <si>
    <t>Fuel Waiver</t>
  </si>
  <si>
    <t>Fuel discounted to .5%</t>
  </si>
  <si>
    <t>(5-3) IT</t>
  </si>
  <si>
    <t>Ft/It combo</t>
  </si>
  <si>
    <t>Rates No 23A &amp; 22</t>
  </si>
  <si>
    <t>(0-6)  IT</t>
  </si>
  <si>
    <t>(1-6) IT</t>
  </si>
  <si>
    <t>(4-6) IT</t>
  </si>
  <si>
    <t>Leidy-Emporia</t>
  </si>
  <si>
    <t>Leidy to Emporia</t>
  </si>
  <si>
    <t>Leidy to AGL</t>
  </si>
  <si>
    <t>#200010000072,  1/17/2001 - IGS recalled 4,000 per day for the Jan 18th-31st.</t>
  </si>
  <si>
    <t>Leidy to Doyle</t>
  </si>
  <si>
    <t>St 210 to Doyle</t>
  </si>
  <si>
    <t>Leidy-AGL</t>
  </si>
  <si>
    <t>East Desk Transportation Capacity for February , 2001</t>
  </si>
  <si>
    <t>Ormet</t>
  </si>
  <si>
    <t>TENN</t>
  </si>
  <si>
    <t>zone 0</t>
  </si>
  <si>
    <t>broadrun</t>
  </si>
  <si>
    <t>31424, released month to month</t>
  </si>
  <si>
    <t>St 62</t>
  </si>
  <si>
    <t>#22687</t>
  </si>
  <si>
    <t>#18550</t>
  </si>
  <si>
    <t>#18549</t>
  </si>
  <si>
    <t>#18558, PPL released to Enron Admin (#18548), Enron Admin re-released to ECT.</t>
  </si>
  <si>
    <t>#18557, PPL released to Enron Admin (#18547), Enron Admin re-released to ECT.</t>
  </si>
  <si>
    <t>(0-0) FT special</t>
  </si>
  <si>
    <t>(0-1) FT special</t>
  </si>
  <si>
    <t>(L-L) FT special</t>
  </si>
  <si>
    <t>(1-1) FT special</t>
  </si>
  <si>
    <t>(1-2) FT special</t>
  </si>
  <si>
    <t>(1-3) FT special</t>
  </si>
  <si>
    <t>(0-2) FT special</t>
  </si>
  <si>
    <t>(0-3) FT special</t>
  </si>
  <si>
    <t>special rates per victoria versen</t>
  </si>
  <si>
    <t>TENNESSEE GAS PIPELINE: SPECIAL TRANS. RATES</t>
  </si>
  <si>
    <t>FEBRUARY, 2001</t>
  </si>
  <si>
    <t>02/31/01</t>
  </si>
  <si>
    <t>Updtd Rates 2/1/2001</t>
  </si>
  <si>
    <t>Note:</t>
  </si>
  <si>
    <t>Effective 2/1/01</t>
  </si>
  <si>
    <t>Tenn contract with all receipts and deliveries in Zones 0, 1, &amp; 2.  Only deliveries to Broad Run allowed in Zone 3</t>
  </si>
  <si>
    <t>MDQ= 144,000 dt.</t>
  </si>
  <si>
    <t>See deal 595311</t>
  </si>
  <si>
    <t>2/1/2001   Transco fuels change effective 4/1/2001</t>
  </si>
  <si>
    <t>Receipt</t>
  </si>
  <si>
    <t>Delivery</t>
  </si>
  <si>
    <t>Zone 4A to Zone 4A = .59%</t>
  </si>
  <si>
    <t>Sl</t>
  </si>
  <si>
    <t>T017299000</t>
  </si>
  <si>
    <t>#200102000001. Volumetric.</t>
  </si>
  <si>
    <t>-.07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</si>
</sst>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6" formatCode="&quot;$&quot;#,##0.000_);\(&quot;$&quot;#,##0.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1" formatCode="_(&quot;$&quot;* #,##0_);_(&quot;$&quot;* \(#,##0\);_(&quot;$&quot;* &quot;-&quot;??_);_(@_)"/>
    <numFmt numFmtId="174" formatCode="&quot;$&quot;#,##0.000_);[Red]\(&quot;$&quot;#,##0.000\)"/>
    <numFmt numFmtId="175" formatCode="_(* #,##0.000_);_(* \(#,##0.000\);_(* &quot;-&quot;??_);_(@_)"/>
    <numFmt numFmtId="177" formatCode="_(* #,##0_);_(* \(#,##0\);_(* &quot;-&quot;??_);_(@_)"/>
    <numFmt numFmtId="183" formatCode="_(* #,##0.0000_);_(* \(#,##0.0000\);_(* &quot;-&quot;??_);_(@_)"/>
    <numFmt numFmtId="187" formatCode="_(&quot;$&quot;* #,##0.000_);_(&quot;$&quot;* \(#,##0.000\);_(&quot;$&quot;* &quot;-&quot;??_);_(@_)"/>
    <numFmt numFmtId="190" formatCode="_(&quot;$&quot;* #,##0.00000_);_(&quot;$&quot;* \(#,##0.00000\);_(&quot;$&quot;* &quot;-&quot;??_);_(@_)"/>
    <numFmt numFmtId="191" formatCode="0.0000%"/>
    <numFmt numFmtId="193" formatCode="&quot;$&quot;#,##0.00000_);[Red]\(&quot;$&quot;#,##0.00000\)"/>
    <numFmt numFmtId="194" formatCode="#,##0.000"/>
    <numFmt numFmtId="197" formatCode="0.000"/>
    <numFmt numFmtId="198" formatCode="0.00000"/>
    <numFmt numFmtId="202" formatCode="&quot;$&quot;#,##0.000"/>
  </numFmts>
  <fonts count="26" x14ac:knownFonts="1">
    <font>
      <sz val="10"/>
      <name val="Arial"/>
    </font>
    <font>
      <b/>
      <sz val="10"/>
      <name val="Arial"/>
    </font>
    <font>
      <sz val="10"/>
      <name val="Arial"/>
    </font>
    <font>
      <sz val="9"/>
      <name val="Arial"/>
    </font>
    <font>
      <u/>
      <sz val="10"/>
      <name val="Arial"/>
    </font>
    <font>
      <b/>
      <sz val="9"/>
      <name val="Arial"/>
    </font>
    <font>
      <sz val="8"/>
      <name val="Arial"/>
      <family val="2"/>
    </font>
    <font>
      <b/>
      <sz val="8"/>
      <name val="Arial"/>
    </font>
    <font>
      <b/>
      <sz val="8"/>
      <name val="Arial"/>
      <family val="2"/>
    </font>
    <font>
      <b/>
      <u/>
      <sz val="10"/>
      <name val="Arial"/>
      <family val="2"/>
    </font>
    <font>
      <b/>
      <u/>
      <sz val="10"/>
      <name val="Arial"/>
    </font>
    <font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8"/>
      <name val="Arial"/>
      <family val="2"/>
    </font>
    <font>
      <b/>
      <u/>
      <sz val="8"/>
      <name val="Arial"/>
    </font>
    <font>
      <sz val="8"/>
      <color indexed="8"/>
      <name val="Arial"/>
      <family val="2"/>
    </font>
    <font>
      <sz val="10"/>
      <color indexed="10"/>
      <name val="Arial"/>
      <family val="2"/>
    </font>
    <font>
      <b/>
      <u/>
      <sz val="8"/>
      <name val="Arial"/>
      <family val="2"/>
    </font>
    <font>
      <b/>
      <sz val="10"/>
      <color indexed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8"/>
      <color indexed="8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b/>
      <sz val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4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43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164" fontId="3" fillId="0" borderId="0" xfId="0" applyNumberFormat="1" applyFont="1"/>
    <xf numFmtId="3" fontId="4" fillId="0" borderId="0" xfId="0" applyNumberFormat="1" applyFont="1"/>
    <xf numFmtId="164" fontId="4" fillId="0" borderId="0" xfId="0" applyNumberFormat="1" applyFont="1"/>
    <xf numFmtId="164" fontId="3" fillId="0" borderId="1" xfId="0" applyNumberFormat="1" applyFont="1" applyBorder="1"/>
    <xf numFmtId="165" fontId="3" fillId="0" borderId="0" xfId="0" applyNumberFormat="1" applyFont="1"/>
    <xf numFmtId="0" fontId="5" fillId="0" borderId="0" xfId="0" applyFont="1"/>
    <xf numFmtId="165" fontId="5" fillId="0" borderId="2" xfId="0" applyNumberFormat="1" applyFont="1" applyBorder="1"/>
    <xf numFmtId="0" fontId="3" fillId="0" borderId="0" xfId="0" applyFont="1" applyAlignment="1">
      <alignment horizontal="right"/>
    </xf>
    <xf numFmtId="166" fontId="5" fillId="0" borderId="2" xfId="0" applyNumberFormat="1" applyFont="1" applyBorder="1"/>
    <xf numFmtId="165" fontId="5" fillId="0" borderId="0" xfId="0" applyNumberFormat="1" applyFont="1"/>
    <xf numFmtId="167" fontId="3" fillId="0" borderId="0" xfId="2" applyNumberFormat="1" applyFont="1"/>
    <xf numFmtId="38" fontId="6" fillId="0" borderId="0" xfId="0" applyNumberFormat="1" applyFont="1" applyFill="1" applyAlignment="1">
      <alignment horizontal="left"/>
    </xf>
    <xf numFmtId="38" fontId="7" fillId="0" borderId="0" xfId="0" applyNumberFormat="1" applyFont="1" applyFill="1" applyAlignment="1">
      <alignment horizontal="center"/>
    </xf>
    <xf numFmtId="38" fontId="6" fillId="0" borderId="0" xfId="0" applyNumberFormat="1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168" fontId="6" fillId="0" borderId="0" xfId="0" applyNumberFormat="1" applyFont="1" applyFill="1" applyAlignment="1">
      <alignment horizontal="center"/>
    </xf>
    <xf numFmtId="10" fontId="6" fillId="0" borderId="0" xfId="0" applyNumberFormat="1" applyFont="1" applyFill="1" applyAlignment="1">
      <alignment horizontal="center"/>
    </xf>
    <xf numFmtId="38" fontId="7" fillId="0" borderId="0" xfId="0" applyNumberFormat="1" applyFont="1" applyFill="1" applyAlignment="1">
      <alignment horizontal="left"/>
    </xf>
    <xf numFmtId="3" fontId="6" fillId="0" borderId="0" xfId="0" applyNumberFormat="1" applyFont="1" applyFill="1" applyAlignment="1">
      <alignment horizontal="center"/>
    </xf>
    <xf numFmtId="169" fontId="6" fillId="0" borderId="0" xfId="0" applyNumberFormat="1" applyFont="1" applyFill="1" applyAlignment="1">
      <alignment horizontal="center"/>
    </xf>
    <xf numFmtId="38" fontId="6" fillId="0" borderId="0" xfId="0" applyNumberFormat="1" applyFont="1" applyFill="1" applyAlignment="1">
      <alignment horizontal="right"/>
    </xf>
    <xf numFmtId="38" fontId="6" fillId="0" borderId="3" xfId="0" applyNumberFormat="1" applyFont="1" applyFill="1" applyBorder="1" applyAlignment="1">
      <alignment horizontal="left"/>
    </xf>
    <xf numFmtId="38" fontId="6" fillId="0" borderId="3" xfId="0" applyNumberFormat="1" applyFont="1" applyFill="1" applyBorder="1" applyAlignment="1">
      <alignment horizontal="center"/>
    </xf>
    <xf numFmtId="14" fontId="6" fillId="0" borderId="3" xfId="0" applyNumberFormat="1" applyFont="1" applyFill="1" applyBorder="1" applyAlignment="1">
      <alignment horizontal="center"/>
    </xf>
    <xf numFmtId="169" fontId="6" fillId="0" borderId="3" xfId="0" applyNumberFormat="1" applyFont="1" applyFill="1" applyBorder="1" applyAlignment="1">
      <alignment horizontal="center"/>
    </xf>
    <xf numFmtId="168" fontId="6" fillId="0" borderId="3" xfId="0" applyNumberFormat="1" applyFont="1" applyFill="1" applyBorder="1" applyAlignment="1">
      <alignment horizontal="center"/>
    </xf>
    <xf numFmtId="38" fontId="6" fillId="0" borderId="3" xfId="0" applyNumberFormat="1" applyFont="1" applyFill="1" applyBorder="1" applyAlignment="1">
      <alignment horizontal="right"/>
    </xf>
    <xf numFmtId="168" fontId="6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left"/>
    </xf>
    <xf numFmtId="38" fontId="6" fillId="0" borderId="0" xfId="0" applyNumberFormat="1" applyFont="1" applyFill="1" applyBorder="1" applyAlignment="1">
      <alignment horizontal="right"/>
    </xf>
    <xf numFmtId="38" fontId="6" fillId="0" borderId="0" xfId="0" quotePrefix="1" applyNumberFormat="1" applyFont="1" applyFill="1" applyAlignment="1">
      <alignment horizontal="left"/>
    </xf>
    <xf numFmtId="2" fontId="0" fillId="0" borderId="0" xfId="0" applyNumberFormat="1"/>
    <xf numFmtId="168" fontId="7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left"/>
    </xf>
    <xf numFmtId="38" fontId="7" fillId="0" borderId="0" xfId="0" applyNumberFormat="1" applyFont="1" applyFill="1" applyBorder="1" applyAlignment="1">
      <alignment horizontal="right"/>
    </xf>
    <xf numFmtId="44" fontId="6" fillId="0" borderId="0" xfId="2" applyFont="1" applyFill="1" applyAlignment="1">
      <alignment horizontal="left"/>
    </xf>
    <xf numFmtId="183" fontId="0" fillId="0" borderId="0" xfId="1" applyNumberFormat="1" applyFont="1"/>
    <xf numFmtId="43" fontId="0" fillId="0" borderId="0" xfId="0" applyNumberFormat="1"/>
    <xf numFmtId="0" fontId="12" fillId="0" borderId="0" xfId="0" applyFont="1"/>
    <xf numFmtId="0" fontId="0" fillId="0" borderId="0" xfId="0" applyFill="1" applyBorder="1"/>
    <xf numFmtId="0" fontId="13" fillId="0" borderId="0" xfId="0" applyFont="1" applyFill="1"/>
    <xf numFmtId="0" fontId="13" fillId="0" borderId="0" xfId="0" applyNumberFormat="1" applyFont="1" applyFill="1"/>
    <xf numFmtId="0" fontId="13" fillId="0" borderId="0" xfId="0" applyFont="1" applyFill="1" applyAlignment="1">
      <alignment horizontal="left"/>
    </xf>
    <xf numFmtId="38" fontId="13" fillId="0" borderId="0" xfId="0" applyNumberFormat="1" applyFont="1" applyFill="1" applyAlignment="1">
      <alignment horizontal="left"/>
    </xf>
    <xf numFmtId="0" fontId="13" fillId="0" borderId="0" xfId="0" applyNumberFormat="1" applyFont="1" applyFill="1" applyAlignment="1">
      <alignment horizontal="center"/>
    </xf>
    <xf numFmtId="14" fontId="13" fillId="0" borderId="0" xfId="0" applyNumberFormat="1" applyFont="1" applyFill="1" applyAlignment="1">
      <alignment horizontal="center"/>
    </xf>
    <xf numFmtId="38" fontId="13" fillId="0" borderId="0" xfId="0" applyNumberFormat="1" applyFont="1" applyFill="1" applyAlignment="1">
      <alignment horizontal="center"/>
    </xf>
    <xf numFmtId="38" fontId="13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 applyAlignment="1">
      <alignment horizontal="left"/>
    </xf>
    <xf numFmtId="16" fontId="11" fillId="0" borderId="0" xfId="0" applyNumberFormat="1" applyFont="1" applyFill="1" applyAlignment="1">
      <alignment horizontal="center"/>
    </xf>
    <xf numFmtId="0" fontId="11" fillId="0" borderId="0" xfId="0" applyNumberFormat="1" applyFont="1" applyFill="1" applyAlignment="1">
      <alignment horizontal="center"/>
    </xf>
    <xf numFmtId="14" fontId="11" fillId="0" borderId="0" xfId="0" applyNumberFormat="1" applyFont="1" applyFill="1" applyAlignment="1">
      <alignment horizontal="center"/>
    </xf>
    <xf numFmtId="16" fontId="11" fillId="0" borderId="0" xfId="0" applyNumberFormat="1" applyFont="1" applyFill="1" applyAlignment="1">
      <alignment horizontal="left"/>
    </xf>
    <xf numFmtId="167" fontId="0" fillId="0" borderId="0" xfId="2" applyNumberFormat="1" applyFont="1"/>
    <xf numFmtId="190" fontId="0" fillId="0" borderId="0" xfId="2" applyNumberFormat="1" applyFont="1"/>
    <xf numFmtId="191" fontId="0" fillId="0" borderId="0" xfId="3" applyNumberFormat="1" applyFont="1"/>
    <xf numFmtId="167" fontId="0" fillId="0" borderId="1" xfId="2" applyNumberFormat="1" applyFont="1" applyBorder="1"/>
    <xf numFmtId="167" fontId="0" fillId="0" borderId="2" xfId="2" applyNumberFormat="1" applyFont="1" applyBorder="1"/>
    <xf numFmtId="0" fontId="12" fillId="0" borderId="0" xfId="0" applyFont="1" applyFill="1"/>
    <xf numFmtId="177" fontId="13" fillId="0" borderId="0" xfId="1" applyNumberFormat="1" applyFont="1" applyFill="1" applyAlignment="1">
      <alignment horizontal="center"/>
    </xf>
    <xf numFmtId="175" fontId="13" fillId="0" borderId="0" xfId="1" applyNumberFormat="1" applyFont="1" applyFill="1"/>
    <xf numFmtId="177" fontId="13" fillId="0" borderId="0" xfId="1" applyNumberFormat="1" applyFont="1" applyFill="1"/>
    <xf numFmtId="177" fontId="13" fillId="0" borderId="0" xfId="1" applyNumberFormat="1" applyFont="1" applyFill="1" applyAlignment="1">
      <alignment horizontal="right"/>
    </xf>
    <xf numFmtId="177" fontId="12" fillId="0" borderId="0" xfId="1" applyNumberFormat="1" applyFont="1" applyFill="1"/>
    <xf numFmtId="43" fontId="13" fillId="0" borderId="4" xfId="1" applyFont="1" applyFill="1" applyBorder="1"/>
    <xf numFmtId="175" fontId="13" fillId="0" borderId="5" xfId="1" applyNumberFormat="1" applyFont="1" applyFill="1" applyBorder="1"/>
    <xf numFmtId="0" fontId="13" fillId="0" borderId="6" xfId="0" applyFont="1" applyFill="1" applyBorder="1"/>
    <xf numFmtId="175" fontId="13" fillId="0" borderId="7" xfId="1" applyNumberFormat="1" applyFont="1" applyFill="1" applyBorder="1"/>
    <xf numFmtId="0" fontId="13" fillId="0" borderId="0" xfId="0" applyFont="1" applyFill="1" applyBorder="1"/>
    <xf numFmtId="175" fontId="13" fillId="0" borderId="0" xfId="1" applyNumberFormat="1" applyFont="1" applyFill="1" applyBorder="1"/>
    <xf numFmtId="175" fontId="13" fillId="0" borderId="0" xfId="0" applyNumberFormat="1" applyFont="1" applyFill="1"/>
    <xf numFmtId="43" fontId="13" fillId="0" borderId="0" xfId="1" applyFont="1" applyFill="1" applyAlignment="1">
      <alignment horizontal="right"/>
    </xf>
    <xf numFmtId="187" fontId="13" fillId="0" borderId="0" xfId="2" applyNumberFormat="1" applyFont="1" applyFill="1"/>
    <xf numFmtId="0" fontId="13" fillId="0" borderId="0" xfId="0" applyFont="1" applyFill="1" applyAlignment="1">
      <alignment horizontal="right"/>
    </xf>
    <xf numFmtId="175" fontId="13" fillId="0" borderId="0" xfId="1" quotePrefix="1" applyNumberFormat="1" applyFont="1" applyFill="1"/>
    <xf numFmtId="0" fontId="1" fillId="0" borderId="0" xfId="0" applyFont="1" applyFill="1" applyBorder="1" applyAlignment="1">
      <alignment horizontal="centerContinuous"/>
    </xf>
    <xf numFmtId="0" fontId="1" fillId="0" borderId="0" xfId="0" applyFont="1" applyFill="1" applyBorder="1" applyAlignment="1">
      <alignment horizontal="left"/>
    </xf>
    <xf numFmtId="0" fontId="9" fillId="0" borderId="4" xfId="0" applyFont="1" applyFill="1" applyBorder="1"/>
    <xf numFmtId="174" fontId="1" fillId="0" borderId="8" xfId="0" applyNumberFormat="1" applyFont="1" applyFill="1" applyBorder="1"/>
    <xf numFmtId="0" fontId="1" fillId="0" borderId="0" xfId="0" applyFont="1" applyFill="1" applyBorder="1"/>
    <xf numFmtId="174" fontId="0" fillId="0" borderId="9" xfId="0" applyNumberFormat="1" applyFill="1" applyBorder="1"/>
    <xf numFmtId="168" fontId="0" fillId="0" borderId="8" xfId="0" applyNumberFormat="1" applyFill="1" applyBorder="1"/>
    <xf numFmtId="168" fontId="0" fillId="0" borderId="0" xfId="0" applyNumberFormat="1" applyFill="1" applyBorder="1"/>
    <xf numFmtId="168" fontId="11" fillId="0" borderId="8" xfId="0" applyNumberFormat="1" applyFont="1" applyFill="1" applyBorder="1"/>
    <xf numFmtId="168" fontId="11" fillId="0" borderId="0" xfId="0" applyNumberFormat="1" applyFont="1" applyFill="1" applyBorder="1"/>
    <xf numFmtId="0" fontId="0" fillId="0" borderId="9" xfId="0" applyFill="1" applyBorder="1"/>
    <xf numFmtId="168" fontId="1" fillId="0" borderId="8" xfId="0" applyNumberFormat="1" applyFont="1" applyFill="1" applyBorder="1"/>
    <xf numFmtId="168" fontId="1" fillId="0" borderId="0" xfId="0" applyNumberFormat="1" applyFont="1" applyFill="1" applyBorder="1"/>
    <xf numFmtId="0" fontId="9" fillId="0" borderId="9" xfId="0" applyFont="1" applyFill="1" applyBorder="1"/>
    <xf numFmtId="168" fontId="2" fillId="0" borderId="0" xfId="0" applyNumberFormat="1" applyFont="1" applyFill="1" applyBorder="1"/>
    <xf numFmtId="16" fontId="1" fillId="0" borderId="0" xfId="0" applyNumberFormat="1" applyFont="1" applyFill="1" applyBorder="1"/>
    <xf numFmtId="168" fontId="2" fillId="0" borderId="8" xfId="0" applyNumberFormat="1" applyFont="1" applyFill="1" applyBorder="1"/>
    <xf numFmtId="174" fontId="1" fillId="0" borderId="0" xfId="0" applyNumberFormat="1" applyFont="1" applyFill="1" applyBorder="1"/>
    <xf numFmtId="177" fontId="0" fillId="0" borderId="0" xfId="0" applyNumberFormat="1" applyFill="1"/>
    <xf numFmtId="0" fontId="12" fillId="0" borderId="0" xfId="0" applyFont="1" applyFill="1" applyBorder="1" applyAlignment="1">
      <alignment horizontal="left"/>
    </xf>
    <xf numFmtId="0" fontId="0" fillId="0" borderId="0" xfId="0" applyBorder="1"/>
    <xf numFmtId="7" fontId="3" fillId="0" borderId="0" xfId="0" applyNumberFormat="1" applyFont="1"/>
    <xf numFmtId="7" fontId="5" fillId="0" borderId="0" xfId="0" applyNumberFormat="1" applyFont="1"/>
    <xf numFmtId="194" fontId="0" fillId="0" borderId="0" xfId="0" applyNumberFormat="1"/>
    <xf numFmtId="171" fontId="6" fillId="0" borderId="0" xfId="2" applyNumberFormat="1" applyFont="1" applyFill="1" applyAlignment="1">
      <alignment horizontal="right"/>
    </xf>
    <xf numFmtId="167" fontId="0" fillId="0" borderId="0" xfId="2" applyNumberFormat="1" applyFont="1" applyBorder="1"/>
    <xf numFmtId="190" fontId="0" fillId="0" borderId="0" xfId="2" applyNumberFormat="1" applyFont="1" applyBorder="1"/>
    <xf numFmtId="191" fontId="0" fillId="0" borderId="0" xfId="3" applyNumberFormat="1" applyFont="1" applyBorder="1"/>
    <xf numFmtId="167" fontId="0" fillId="0" borderId="3" xfId="2" applyNumberFormat="1" applyFont="1" applyBorder="1"/>
    <xf numFmtId="0" fontId="6" fillId="0" borderId="0" xfId="0" applyNumberFormat="1" applyFont="1" applyFill="1" applyBorder="1" applyAlignment="1">
      <alignment horizontal="center"/>
    </xf>
    <xf numFmtId="0" fontId="6" fillId="0" borderId="0" xfId="0" applyNumberFormat="1" applyFont="1" applyFill="1" applyAlignment="1">
      <alignment horizontal="center"/>
    </xf>
    <xf numFmtId="0" fontId="0" fillId="0" borderId="0" xfId="0" applyNumberFormat="1" applyFill="1"/>
    <xf numFmtId="0" fontId="12" fillId="0" borderId="0" xfId="0" applyFont="1" applyFill="1" applyBorder="1" applyAlignment="1">
      <alignment horizontal="centerContinuous"/>
    </xf>
    <xf numFmtId="0" fontId="12" fillId="0" borderId="3" xfId="0" applyFont="1" applyFill="1" applyBorder="1" applyAlignment="1">
      <alignment horizontal="left"/>
    </xf>
    <xf numFmtId="0" fontId="12" fillId="0" borderId="3" xfId="0" applyFont="1" applyFill="1" applyBorder="1" applyAlignment="1">
      <alignment horizontal="centerContinuous"/>
    </xf>
    <xf numFmtId="175" fontId="13" fillId="0" borderId="0" xfId="1" applyNumberFormat="1" applyFont="1" applyFill="1" applyAlignment="1">
      <alignment horizontal="right"/>
    </xf>
    <xf numFmtId="0" fontId="13" fillId="0" borderId="0" xfId="0" applyFont="1" applyFill="1" applyAlignment="1">
      <alignment horizontal="center"/>
    </xf>
    <xf numFmtId="187" fontId="13" fillId="0" borderId="0" xfId="2" applyNumberFormat="1" applyFont="1" applyFill="1" applyAlignment="1">
      <alignment horizontal="center"/>
    </xf>
    <xf numFmtId="165" fontId="0" fillId="0" borderId="0" xfId="0" applyNumberFormat="1" applyFill="1"/>
    <xf numFmtId="0" fontId="12" fillId="0" borderId="10" xfId="0" applyFont="1" applyFill="1" applyBorder="1"/>
    <xf numFmtId="0" fontId="13" fillId="0" borderId="11" xfId="0" applyFont="1" applyFill="1" applyBorder="1"/>
    <xf numFmtId="38" fontId="6" fillId="0" borderId="0" xfId="0" applyNumberFormat="1" applyFont="1" applyFill="1" applyBorder="1" applyAlignment="1">
      <alignment horizontal="center"/>
    </xf>
    <xf numFmtId="38" fontId="8" fillId="0" borderId="0" xfId="0" applyNumberFormat="1" applyFont="1" applyFill="1" applyAlignment="1">
      <alignment horizontal="left"/>
    </xf>
    <xf numFmtId="0" fontId="13" fillId="0" borderId="0" xfId="0" applyNumberFormat="1" applyFont="1" applyFill="1" applyAlignment="1">
      <alignment horizontal="left"/>
    </xf>
    <xf numFmtId="165" fontId="1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Continuous"/>
    </xf>
    <xf numFmtId="168" fontId="1" fillId="0" borderId="0" xfId="0" applyNumberFormat="1" applyFont="1" applyFill="1" applyBorder="1" applyAlignment="1">
      <alignment horizontal="centerContinuous"/>
    </xf>
    <xf numFmtId="165" fontId="12" fillId="0" borderId="0" xfId="0" applyNumberFormat="1" applyFont="1" applyFill="1" applyBorder="1" applyAlignment="1">
      <alignment horizontal="center"/>
    </xf>
    <xf numFmtId="165" fontId="12" fillId="0" borderId="0" xfId="0" applyNumberFormat="1" applyFont="1" applyFill="1" applyBorder="1" applyAlignment="1">
      <alignment horizontal="centerContinuous"/>
    </xf>
    <xf numFmtId="165" fontId="12" fillId="0" borderId="3" xfId="0" applyNumberFormat="1" applyFont="1" applyFill="1" applyBorder="1" applyAlignment="1">
      <alignment horizontal="center"/>
    </xf>
    <xf numFmtId="165" fontId="12" fillId="0" borderId="3" xfId="0" applyNumberFormat="1" applyFont="1" applyFill="1" applyBorder="1" applyAlignment="1">
      <alignment horizontal="centerContinuous"/>
    </xf>
    <xf numFmtId="0" fontId="13" fillId="0" borderId="3" xfId="0" applyFont="1" applyFill="1" applyBorder="1"/>
    <xf numFmtId="0" fontId="13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centerContinuous"/>
    </xf>
    <xf numFmtId="14" fontId="0" fillId="0" borderId="0" xfId="0" applyNumberFormat="1" applyFill="1"/>
    <xf numFmtId="167" fontId="0" fillId="0" borderId="0" xfId="2" applyNumberFormat="1" applyFont="1" applyFill="1"/>
    <xf numFmtId="0" fontId="1" fillId="0" borderId="5" xfId="0" applyFont="1" applyFill="1" applyBorder="1"/>
    <xf numFmtId="174" fontId="10" fillId="0" borderId="9" xfId="0" applyNumberFormat="1" applyFont="1" applyFill="1" applyBorder="1"/>
    <xf numFmtId="0" fontId="1" fillId="0" borderId="8" xfId="0" applyFont="1" applyFill="1" applyBorder="1"/>
    <xf numFmtId="0" fontId="9" fillId="0" borderId="0" xfId="0" applyFont="1" applyFill="1" applyBorder="1"/>
    <xf numFmtId="167" fontId="0" fillId="0" borderId="1" xfId="2" applyNumberFormat="1" applyFont="1" applyFill="1" applyBorder="1"/>
    <xf numFmtId="174" fontId="0" fillId="0" borderId="0" xfId="0" applyNumberFormat="1" applyFill="1" applyBorder="1"/>
    <xf numFmtId="167" fontId="0" fillId="0" borderId="2" xfId="2" applyNumberFormat="1" applyFont="1" applyFill="1" applyBorder="1"/>
    <xf numFmtId="10" fontId="0" fillId="0" borderId="0" xfId="3" applyNumberFormat="1" applyFont="1" applyFill="1"/>
    <xf numFmtId="10" fontId="0" fillId="0" borderId="0" xfId="3" applyNumberFormat="1" applyFont="1" applyFill="1" applyBorder="1"/>
    <xf numFmtId="17" fontId="0" fillId="0" borderId="0" xfId="0" applyNumberFormat="1" applyFill="1"/>
    <xf numFmtId="16" fontId="0" fillId="0" borderId="0" xfId="0" applyNumberFormat="1" applyFill="1"/>
    <xf numFmtId="193" fontId="1" fillId="0" borderId="8" xfId="0" applyNumberFormat="1" applyFont="1" applyFill="1" applyBorder="1"/>
    <xf numFmtId="7" fontId="0" fillId="0" borderId="0" xfId="0" applyNumberFormat="1" applyFill="1"/>
    <xf numFmtId="171" fontId="1" fillId="0" borderId="0" xfId="2" applyNumberFormat="1" applyFont="1" applyFill="1" applyBorder="1"/>
    <xf numFmtId="38" fontId="6" fillId="2" borderId="0" xfId="0" applyNumberFormat="1" applyFont="1" applyFill="1" applyAlignment="1">
      <alignment horizontal="left"/>
    </xf>
    <xf numFmtId="0" fontId="0" fillId="2" borderId="0" xfId="0" applyFill="1"/>
    <xf numFmtId="168" fontId="0" fillId="0" borderId="0" xfId="0" applyNumberFormat="1" applyFill="1"/>
    <xf numFmtId="167" fontId="2" fillId="0" borderId="8" xfId="2" applyNumberFormat="1" applyFont="1" applyFill="1" applyBorder="1" applyAlignment="1"/>
    <xf numFmtId="167" fontId="13" fillId="0" borderId="0" xfId="2" applyNumberFormat="1" applyFont="1" applyFill="1" applyAlignment="1">
      <alignment horizontal="center"/>
    </xf>
    <xf numFmtId="167" fontId="13" fillId="0" borderId="0" xfId="2" applyNumberFormat="1" applyFont="1" applyFill="1"/>
    <xf numFmtId="38" fontId="6" fillId="3" borderId="0" xfId="0" applyNumberFormat="1" applyFont="1" applyFill="1" applyAlignment="1">
      <alignment horizontal="left"/>
    </xf>
    <xf numFmtId="38" fontId="6" fillId="4" borderId="0" xfId="0" applyNumberFormat="1" applyFont="1" applyFill="1" applyAlignment="1">
      <alignment horizontal="left"/>
    </xf>
    <xf numFmtId="38" fontId="6" fillId="4" borderId="0" xfId="0" applyNumberFormat="1" applyFont="1" applyFill="1" applyAlignment="1">
      <alignment horizontal="center"/>
    </xf>
    <xf numFmtId="0" fontId="0" fillId="5" borderId="0" xfId="0" applyFill="1"/>
    <xf numFmtId="0" fontId="13" fillId="5" borderId="0" xfId="0" applyFont="1" applyFill="1"/>
    <xf numFmtId="168" fontId="0" fillId="5" borderId="8" xfId="0" applyNumberFormat="1" applyFill="1" applyBorder="1"/>
    <xf numFmtId="168" fontId="11" fillId="5" borderId="8" xfId="0" applyNumberFormat="1" applyFont="1" applyFill="1" applyBorder="1"/>
    <xf numFmtId="168" fontId="1" fillId="5" borderId="8" xfId="0" applyNumberFormat="1" applyFont="1" applyFill="1" applyBorder="1"/>
    <xf numFmtId="168" fontId="0" fillId="5" borderId="0" xfId="0" applyNumberFormat="1" applyFill="1" applyBorder="1"/>
    <xf numFmtId="168" fontId="11" fillId="5" borderId="0" xfId="0" applyNumberFormat="1" applyFont="1" applyFill="1" applyBorder="1"/>
    <xf numFmtId="168" fontId="1" fillId="5" borderId="0" xfId="0" applyNumberFormat="1" applyFont="1" applyFill="1" applyBorder="1"/>
    <xf numFmtId="174" fontId="1" fillId="5" borderId="0" xfId="0" applyNumberFormat="1" applyFont="1" applyFill="1" applyBorder="1"/>
    <xf numFmtId="168" fontId="2" fillId="5" borderId="0" xfId="0" applyNumberFormat="1" applyFont="1" applyFill="1" applyBorder="1"/>
    <xf numFmtId="0" fontId="1" fillId="2" borderId="0" xfId="0" applyFont="1" applyFill="1" applyBorder="1" applyAlignment="1">
      <alignment horizontal="centerContinuous"/>
    </xf>
    <xf numFmtId="0" fontId="1" fillId="2" borderId="0" xfId="0" applyFont="1" applyFill="1" applyBorder="1" applyAlignment="1">
      <alignment horizontal="left"/>
    </xf>
    <xf numFmtId="165" fontId="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/>
    </xf>
    <xf numFmtId="165" fontId="13" fillId="2" borderId="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0" xfId="0" applyFont="1" applyFill="1" applyBorder="1" applyAlignment="1">
      <alignment horizontal="left"/>
    </xf>
    <xf numFmtId="174" fontId="10" fillId="2" borderId="9" xfId="0" applyNumberFormat="1" applyFont="1" applyFill="1" applyBorder="1"/>
    <xf numFmtId="174" fontId="1" fillId="2" borderId="8" xfId="0" applyNumberFormat="1" applyFont="1" applyFill="1" applyBorder="1"/>
    <xf numFmtId="168" fontId="0" fillId="2" borderId="9" xfId="0" applyNumberFormat="1" applyFill="1" applyBorder="1"/>
    <xf numFmtId="168" fontId="0" fillId="2" borderId="8" xfId="0" applyNumberFormat="1" applyFill="1" applyBorder="1"/>
    <xf numFmtId="168" fontId="11" fillId="2" borderId="8" xfId="0" applyNumberFormat="1" applyFont="1" applyFill="1" applyBorder="1"/>
    <xf numFmtId="168" fontId="1" fillId="2" borderId="8" xfId="0" applyNumberFormat="1" applyFont="1" applyFill="1" applyBorder="1"/>
    <xf numFmtId="174" fontId="10" fillId="2" borderId="4" xfId="0" applyNumberFormat="1" applyFont="1" applyFill="1" applyBorder="1"/>
    <xf numFmtId="174" fontId="1" fillId="2" borderId="5" xfId="0" applyNumberFormat="1" applyFont="1" applyFill="1" applyBorder="1"/>
    <xf numFmtId="168" fontId="2" fillId="2" borderId="8" xfId="0" applyNumberFormat="1" applyFont="1" applyFill="1" applyBorder="1"/>
    <xf numFmtId="168" fontId="0" fillId="2" borderId="6" xfId="0" applyNumberFormat="1" applyFill="1" applyBorder="1"/>
    <xf numFmtId="168" fontId="1" fillId="2" borderId="7" xfId="0" applyNumberFormat="1" applyFont="1" applyFill="1" applyBorder="1"/>
    <xf numFmtId="168" fontId="0" fillId="2" borderId="0" xfId="0" applyNumberFormat="1" applyFill="1" applyBorder="1"/>
    <xf numFmtId="168" fontId="11" fillId="2" borderId="0" xfId="0" applyNumberFormat="1" applyFont="1" applyFill="1" applyBorder="1"/>
    <xf numFmtId="168" fontId="1" fillId="2" borderId="0" xfId="0" applyNumberFormat="1" applyFont="1" applyFill="1" applyBorder="1"/>
    <xf numFmtId="174" fontId="1" fillId="2" borderId="0" xfId="0" applyNumberFormat="1" applyFont="1" applyFill="1" applyBorder="1"/>
    <xf numFmtId="168" fontId="2" fillId="2" borderId="0" xfId="0" applyNumberFormat="1" applyFont="1" applyFill="1" applyBorder="1"/>
    <xf numFmtId="165" fontId="1" fillId="2" borderId="0" xfId="0" applyNumberFormat="1" applyFont="1" applyFill="1" applyBorder="1" applyAlignment="1">
      <alignment horizontal="centerContinuous"/>
    </xf>
    <xf numFmtId="167" fontId="13" fillId="2" borderId="0" xfId="2" applyNumberFormat="1" applyFont="1" applyFill="1" applyAlignment="1">
      <alignment horizontal="center"/>
    </xf>
    <xf numFmtId="167" fontId="13" fillId="2" borderId="0" xfId="2" applyNumberFormat="1" applyFont="1" applyFill="1"/>
    <xf numFmtId="0" fontId="13" fillId="2" borderId="0" xfId="0" applyFont="1" applyFill="1" applyBorder="1"/>
    <xf numFmtId="175" fontId="13" fillId="2" borderId="0" xfId="1" applyNumberFormat="1" applyFont="1" applyFill="1"/>
    <xf numFmtId="0" fontId="9" fillId="2" borderId="4" xfId="0" applyFont="1" applyFill="1" applyBorder="1"/>
    <xf numFmtId="0" fontId="1" fillId="2" borderId="5" xfId="0" applyFont="1" applyFill="1" applyBorder="1"/>
    <xf numFmtId="174" fontId="0" fillId="2" borderId="9" xfId="0" applyNumberFormat="1" applyFill="1" applyBorder="1"/>
    <xf numFmtId="0" fontId="0" fillId="2" borderId="9" xfId="0" applyFill="1" applyBorder="1"/>
    <xf numFmtId="0" fontId="13" fillId="5" borderId="0" xfId="0" applyFont="1" applyFill="1" applyBorder="1"/>
    <xf numFmtId="175" fontId="13" fillId="5" borderId="0" xfId="1" applyNumberFormat="1" applyFont="1" applyFill="1"/>
    <xf numFmtId="7" fontId="2" fillId="5" borderId="0" xfId="0" applyNumberFormat="1" applyFont="1" applyFill="1" applyBorder="1" applyAlignment="1">
      <alignment horizontal="center"/>
    </xf>
    <xf numFmtId="0" fontId="9" fillId="5" borderId="4" xfId="0" applyFont="1" applyFill="1" applyBorder="1"/>
    <xf numFmtId="0" fontId="1" fillId="5" borderId="5" xfId="0" applyFont="1" applyFill="1" applyBorder="1"/>
    <xf numFmtId="174" fontId="0" fillId="5" borderId="9" xfId="0" applyNumberFormat="1" applyFill="1" applyBorder="1"/>
    <xf numFmtId="8" fontId="11" fillId="5" borderId="8" xfId="0" applyNumberFormat="1" applyFont="1" applyFill="1" applyBorder="1"/>
    <xf numFmtId="0" fontId="0" fillId="5" borderId="9" xfId="0" applyFill="1" applyBorder="1"/>
    <xf numFmtId="0" fontId="9" fillId="5" borderId="9" xfId="0" applyFont="1" applyFill="1" applyBorder="1"/>
    <xf numFmtId="0" fontId="1" fillId="5" borderId="8" xfId="0" applyFont="1" applyFill="1" applyBorder="1"/>
    <xf numFmtId="16" fontId="1" fillId="5" borderId="8" xfId="0" applyNumberFormat="1" applyFont="1" applyFill="1" applyBorder="1"/>
    <xf numFmtId="174" fontId="11" fillId="5" borderId="8" xfId="0" applyNumberFormat="1" applyFont="1" applyFill="1" applyBorder="1"/>
    <xf numFmtId="175" fontId="12" fillId="5" borderId="0" xfId="1" applyNumberFormat="1" applyFont="1" applyFill="1"/>
    <xf numFmtId="0" fontId="12" fillId="5" borderId="0" xfId="0" applyFont="1" applyFill="1"/>
    <xf numFmtId="0" fontId="13" fillId="5" borderId="3" xfId="0" applyFont="1" applyFill="1" applyBorder="1"/>
    <xf numFmtId="187" fontId="13" fillId="0" borderId="0" xfId="2" applyNumberFormat="1" applyFont="1" applyFill="1" applyBorder="1"/>
    <xf numFmtId="197" fontId="13" fillId="0" borderId="0" xfId="0" applyNumberFormat="1" applyFont="1" applyFill="1" applyBorder="1"/>
    <xf numFmtId="177" fontId="12" fillId="0" borderId="0" xfId="1" applyNumberFormat="1" applyFont="1" applyFill="1" applyBorder="1" applyAlignment="1">
      <alignment horizontal="center"/>
    </xf>
    <xf numFmtId="174" fontId="10" fillId="2" borderId="0" xfId="0" applyNumberFormat="1" applyFont="1" applyFill="1" applyBorder="1"/>
    <xf numFmtId="16" fontId="14" fillId="0" borderId="0" xfId="0" applyNumberFormat="1" applyFont="1" applyFill="1" applyAlignment="1">
      <alignment horizontal="left"/>
    </xf>
    <xf numFmtId="16" fontId="14" fillId="0" borderId="0" xfId="0" applyNumberFormat="1" applyFont="1" applyFill="1" applyAlignment="1">
      <alignment horizontal="center"/>
    </xf>
    <xf numFmtId="14" fontId="14" fillId="0" borderId="0" xfId="0" applyNumberFormat="1" applyFont="1" applyFill="1" applyAlignment="1">
      <alignment horizontal="center"/>
    </xf>
    <xf numFmtId="169" fontId="14" fillId="0" borderId="0" xfId="0" applyNumberFormat="1" applyFont="1" applyFill="1" applyAlignment="1">
      <alignment horizontal="center"/>
    </xf>
    <xf numFmtId="10" fontId="14" fillId="0" borderId="0" xfId="0" applyNumberFormat="1" applyFont="1" applyFill="1" applyAlignment="1">
      <alignment horizontal="center"/>
    </xf>
    <xf numFmtId="1" fontId="14" fillId="0" borderId="0" xfId="0" applyNumberFormat="1" applyFont="1" applyFill="1" applyAlignment="1">
      <alignment horizontal="center"/>
    </xf>
    <xf numFmtId="38" fontId="14" fillId="0" borderId="0" xfId="0" applyNumberFormat="1" applyFont="1" applyFill="1" applyAlignment="1">
      <alignment horizontal="right"/>
    </xf>
    <xf numFmtId="10" fontId="6" fillId="0" borderId="0" xfId="0" applyNumberFormat="1" applyFont="1" applyFill="1" applyBorder="1" applyAlignment="1">
      <alignment horizontal="center"/>
    </xf>
    <xf numFmtId="171" fontId="6" fillId="0" borderId="0" xfId="0" applyNumberFormat="1" applyFont="1" applyFill="1" applyAlignment="1">
      <alignment horizontal="right"/>
    </xf>
    <xf numFmtId="1" fontId="6" fillId="0" borderId="0" xfId="0" quotePrefix="1" applyNumberFormat="1" applyFont="1" applyFill="1" applyAlignment="1">
      <alignment horizontal="center"/>
    </xf>
    <xf numFmtId="168" fontId="8" fillId="0" borderId="0" xfId="0" applyNumberFormat="1" applyFont="1" applyFill="1" applyAlignment="1">
      <alignment horizontal="left"/>
    </xf>
    <xf numFmtId="170" fontId="6" fillId="0" borderId="0" xfId="0" applyNumberFormat="1" applyFont="1" applyFill="1" applyAlignment="1">
      <alignment horizontal="center"/>
    </xf>
    <xf numFmtId="0" fontId="6" fillId="0" borderId="0" xfId="0" applyNumberFormat="1" applyFont="1" applyFill="1" applyBorder="1" applyAlignment="1">
      <alignment horizontal="right"/>
    </xf>
    <xf numFmtId="0" fontId="7" fillId="0" borderId="0" xfId="0" applyNumberFormat="1" applyFont="1" applyFill="1" applyBorder="1" applyAlignment="1">
      <alignment horizontal="right"/>
    </xf>
    <xf numFmtId="38" fontId="6" fillId="0" borderId="0" xfId="0" applyNumberFormat="1" applyFont="1" applyFill="1" applyAlignment="1"/>
    <xf numFmtId="16" fontId="15" fillId="0" borderId="0" xfId="0" applyNumberFormat="1" applyFont="1" applyFill="1" applyAlignment="1">
      <alignment horizontal="left"/>
    </xf>
    <xf numFmtId="16" fontId="15" fillId="0" borderId="0" xfId="0" applyNumberFormat="1" applyFont="1" applyFill="1" applyAlignment="1">
      <alignment horizontal="center"/>
    </xf>
    <xf numFmtId="14" fontId="15" fillId="0" borderId="0" xfId="0" applyNumberFormat="1" applyFont="1" applyFill="1" applyAlignment="1">
      <alignment horizontal="center"/>
    </xf>
    <xf numFmtId="169" fontId="15" fillId="0" borderId="0" xfId="0" applyNumberFormat="1" applyFont="1" applyFill="1" applyAlignment="1">
      <alignment horizontal="center"/>
    </xf>
    <xf numFmtId="170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38" fontId="15" fillId="0" borderId="0" xfId="0" applyNumberFormat="1" applyFont="1" applyFill="1" applyAlignment="1">
      <alignment horizontal="right"/>
    </xf>
    <xf numFmtId="0" fontId="15" fillId="0" borderId="0" xfId="0" applyNumberFormat="1" applyFont="1" applyFill="1" applyAlignment="1">
      <alignment horizontal="right"/>
    </xf>
    <xf numFmtId="0" fontId="6" fillId="0" borderId="0" xfId="0" applyNumberFormat="1" applyFont="1" applyFill="1" applyAlignment="1">
      <alignment horizontal="right"/>
    </xf>
    <xf numFmtId="38" fontId="7" fillId="0" borderId="3" xfId="0" applyNumberFormat="1" applyFont="1" applyFill="1" applyBorder="1" applyAlignment="1">
      <alignment horizontal="center"/>
    </xf>
    <xf numFmtId="38" fontId="7" fillId="0" borderId="3" xfId="0" applyNumberFormat="1" applyFont="1" applyFill="1" applyBorder="1" applyAlignment="1">
      <alignment horizontal="left"/>
    </xf>
    <xf numFmtId="170" fontId="6" fillId="0" borderId="3" xfId="0" applyNumberFormat="1" applyFont="1" applyFill="1" applyBorder="1" applyAlignment="1">
      <alignment horizontal="center"/>
    </xf>
    <xf numFmtId="38" fontId="7" fillId="0" borderId="3" xfId="0" applyNumberFormat="1" applyFont="1" applyFill="1" applyBorder="1" applyAlignment="1">
      <alignment horizontal="right"/>
    </xf>
    <xf numFmtId="0" fontId="7" fillId="0" borderId="3" xfId="0" applyNumberFormat="1" applyFont="1" applyFill="1" applyBorder="1" applyAlignment="1">
      <alignment horizontal="right"/>
    </xf>
    <xf numFmtId="0" fontId="6" fillId="0" borderId="0" xfId="0" quotePrefix="1" applyNumberFormat="1" applyFont="1" applyFill="1" applyAlignment="1">
      <alignment horizontal="right"/>
    </xf>
    <xf numFmtId="170" fontId="6" fillId="0" borderId="0" xfId="0" quotePrefix="1" applyNumberFormat="1" applyFont="1" applyFill="1" applyAlignment="1">
      <alignment horizontal="left"/>
    </xf>
    <xf numFmtId="0" fontId="8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44" fontId="6" fillId="0" borderId="0" xfId="2" quotePrefix="1" applyNumberFormat="1" applyFont="1" applyFill="1" applyBorder="1" applyAlignment="1">
      <alignment horizontal="right"/>
    </xf>
    <xf numFmtId="38" fontId="6" fillId="0" borderId="0" xfId="0" quotePrefix="1" applyNumberFormat="1" applyFont="1" applyFill="1" applyBorder="1" applyAlignment="1">
      <alignment horizontal="right"/>
    </xf>
    <xf numFmtId="0" fontId="6" fillId="0" borderId="0" xfId="0" quotePrefix="1" applyNumberFormat="1" applyFont="1" applyFill="1" applyBorder="1" applyAlignment="1">
      <alignment horizontal="right"/>
    </xf>
    <xf numFmtId="38" fontId="7" fillId="0" borderId="0" xfId="0" applyNumberFormat="1" applyFont="1" applyFill="1" applyBorder="1" applyAlignment="1">
      <alignment horizontal="center"/>
    </xf>
    <xf numFmtId="170" fontId="0" fillId="0" borderId="0" xfId="0" applyNumberFormat="1" applyFill="1"/>
    <xf numFmtId="0" fontId="0" fillId="0" borderId="0" xfId="0" applyNumberFormat="1" applyFill="1" applyBorder="1"/>
    <xf numFmtId="0" fontId="7" fillId="0" borderId="3" xfId="0" applyNumberFormat="1" applyFont="1" applyFill="1" applyBorder="1" applyAlignment="1">
      <alignment horizontal="center"/>
    </xf>
    <xf numFmtId="0" fontId="15" fillId="0" borderId="0" xfId="0" applyNumberFormat="1" applyFont="1" applyFill="1" applyAlignment="1">
      <alignment horizontal="center"/>
    </xf>
    <xf numFmtId="187" fontId="6" fillId="0" borderId="0" xfId="2" quotePrefix="1" applyNumberFormat="1" applyFont="1" applyFill="1" applyBorder="1" applyAlignment="1">
      <alignment horizontal="right"/>
    </xf>
    <xf numFmtId="49" fontId="1" fillId="0" borderId="3" xfId="0" applyNumberFormat="1" applyFont="1" applyFill="1" applyBorder="1" applyAlignment="1">
      <alignment horizontal="center"/>
    </xf>
    <xf numFmtId="0" fontId="13" fillId="0" borderId="0" xfId="0" quotePrefix="1" applyNumberFormat="1" applyFont="1" applyFill="1" applyAlignment="1">
      <alignment horizontal="center"/>
    </xf>
    <xf numFmtId="7" fontId="12" fillId="2" borderId="8" xfId="0" applyNumberFormat="1" applyFont="1" applyFill="1" applyBorder="1" applyAlignment="1"/>
    <xf numFmtId="15" fontId="17" fillId="0" borderId="0" xfId="0" applyNumberFormat="1" applyFont="1" applyFill="1" applyAlignment="1">
      <alignment horizontal="center"/>
    </xf>
    <xf numFmtId="0" fontId="0" fillId="5" borderId="0" xfId="0" applyFill="1" applyBorder="1"/>
    <xf numFmtId="0" fontId="0" fillId="2" borderId="0" xfId="0" applyFill="1" applyBorder="1"/>
    <xf numFmtId="174" fontId="0" fillId="2" borderId="0" xfId="0" applyNumberFormat="1" applyFill="1" applyBorder="1"/>
    <xf numFmtId="165" fontId="2" fillId="5" borderId="0" xfId="0" applyNumberFormat="1" applyFont="1" applyFill="1" applyBorder="1" applyAlignment="1">
      <alignment horizontal="centerContinuous"/>
    </xf>
    <xf numFmtId="38" fontId="6" fillId="0" borderId="0" xfId="0" applyNumberFormat="1" applyFont="1" applyFill="1" applyBorder="1" applyAlignment="1">
      <alignment horizontal="left"/>
    </xf>
    <xf numFmtId="14" fontId="6" fillId="0" borderId="0" xfId="0" applyNumberFormat="1" applyFont="1" applyFill="1" applyBorder="1" applyAlignment="1">
      <alignment horizontal="center"/>
    </xf>
    <xf numFmtId="169" fontId="6" fillId="0" borderId="0" xfId="0" applyNumberFormat="1" applyFont="1" applyFill="1" applyBorder="1" applyAlignment="1">
      <alignment horizontal="center"/>
    </xf>
    <xf numFmtId="167" fontId="2" fillId="2" borderId="0" xfId="2" applyNumberFormat="1" applyFont="1" applyFill="1" applyBorder="1" applyAlignment="1"/>
    <xf numFmtId="0" fontId="6" fillId="0" borderId="0" xfId="0" applyFont="1" applyFill="1"/>
    <xf numFmtId="0" fontId="13" fillId="0" borderId="12" xfId="0" applyFont="1" applyFill="1" applyBorder="1"/>
    <xf numFmtId="0" fontId="13" fillId="0" borderId="5" xfId="0" applyFont="1" applyFill="1" applyBorder="1"/>
    <xf numFmtId="0" fontId="13" fillId="0" borderId="9" xfId="0" applyFont="1" applyFill="1" applyBorder="1"/>
    <xf numFmtId="0" fontId="6" fillId="0" borderId="0" xfId="0" applyFont="1" applyFill="1" applyBorder="1"/>
    <xf numFmtId="0" fontId="12" fillId="0" borderId="4" xfId="0" applyFont="1" applyFill="1" applyBorder="1"/>
    <xf numFmtId="0" fontId="12" fillId="0" borderId="0" xfId="0" applyFont="1" applyFill="1" applyBorder="1"/>
    <xf numFmtId="0" fontId="12" fillId="0" borderId="4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left"/>
    </xf>
    <xf numFmtId="197" fontId="13" fillId="0" borderId="7" xfId="0" applyNumberFormat="1" applyFont="1" applyFill="1" applyBorder="1"/>
    <xf numFmtId="177" fontId="12" fillId="0" borderId="5" xfId="1" applyNumberFormat="1" applyFont="1" applyFill="1" applyBorder="1"/>
    <xf numFmtId="0" fontId="13" fillId="0" borderId="9" xfId="0" applyFont="1" applyFill="1" applyBorder="1" applyAlignment="1">
      <alignment horizontal="right"/>
    </xf>
    <xf numFmtId="183" fontId="13" fillId="0" borderId="8" xfId="1" applyNumberFormat="1" applyFont="1" applyFill="1" applyBorder="1"/>
    <xf numFmtId="183" fontId="13" fillId="0" borderId="8" xfId="0" applyNumberFormat="1" applyFont="1" applyFill="1" applyBorder="1"/>
    <xf numFmtId="183" fontId="13" fillId="0" borderId="13" xfId="1" applyNumberFormat="1" applyFont="1" applyFill="1" applyBorder="1"/>
    <xf numFmtId="177" fontId="12" fillId="0" borderId="4" xfId="1" applyNumberFormat="1" applyFont="1" applyFill="1" applyBorder="1"/>
    <xf numFmtId="0" fontId="12" fillId="0" borderId="12" xfId="0" applyFont="1" applyFill="1" applyBorder="1" applyAlignment="1">
      <alignment horizontal="centerContinuous"/>
    </xf>
    <xf numFmtId="0" fontId="12" fillId="0" borderId="5" xfId="0" applyFont="1" applyFill="1" applyBorder="1" applyAlignment="1">
      <alignment horizontal="centerContinuous"/>
    </xf>
    <xf numFmtId="177" fontId="13" fillId="0" borderId="9" xfId="1" applyNumberFormat="1" applyFont="1" applyFill="1" applyBorder="1"/>
    <xf numFmtId="177" fontId="13" fillId="0" borderId="0" xfId="1" applyNumberFormat="1" applyFont="1" applyFill="1" applyBorder="1" applyAlignment="1">
      <alignment horizontal="center"/>
    </xf>
    <xf numFmtId="177" fontId="12" fillId="0" borderId="8" xfId="1" applyNumberFormat="1" applyFont="1" applyFill="1" applyBorder="1" applyAlignment="1">
      <alignment horizontal="center"/>
    </xf>
    <xf numFmtId="177" fontId="13" fillId="0" borderId="9" xfId="1" applyNumberFormat="1" applyFont="1" applyFill="1" applyBorder="1" applyAlignment="1">
      <alignment horizontal="right"/>
    </xf>
    <xf numFmtId="175" fontId="13" fillId="0" borderId="0" xfId="1" applyNumberFormat="1" applyFont="1" applyFill="1" applyBorder="1" applyAlignment="1">
      <alignment horizontal="center"/>
    </xf>
    <xf numFmtId="197" fontId="13" fillId="0" borderId="8" xfId="0" applyNumberFormat="1" applyFont="1" applyFill="1" applyBorder="1"/>
    <xf numFmtId="175" fontId="13" fillId="0" borderId="0" xfId="0" applyNumberFormat="1" applyFont="1" applyFill="1" applyBorder="1"/>
    <xf numFmtId="43" fontId="13" fillId="0" borderId="9" xfId="1" applyFont="1" applyFill="1" applyBorder="1" applyAlignment="1">
      <alignment horizontal="right"/>
    </xf>
    <xf numFmtId="175" fontId="13" fillId="0" borderId="0" xfId="1" applyNumberFormat="1" applyFont="1" applyFill="1" applyBorder="1" applyAlignment="1"/>
    <xf numFmtId="43" fontId="13" fillId="0" borderId="6" xfId="1" applyFont="1" applyFill="1" applyBorder="1" applyAlignment="1">
      <alignment horizontal="right"/>
    </xf>
    <xf numFmtId="187" fontId="13" fillId="0" borderId="3" xfId="2" applyNumberFormat="1" applyFont="1" applyFill="1" applyBorder="1"/>
    <xf numFmtId="175" fontId="13" fillId="0" borderId="3" xfId="1" applyNumberFormat="1" applyFont="1" applyFill="1" applyBorder="1"/>
    <xf numFmtId="0" fontId="13" fillId="0" borderId="3" xfId="0" applyFont="1" applyFill="1" applyBorder="1" applyAlignment="1">
      <alignment horizontal="center"/>
    </xf>
    <xf numFmtId="197" fontId="13" fillId="0" borderId="3" xfId="0" applyNumberFormat="1" applyFont="1" applyFill="1" applyBorder="1"/>
    <xf numFmtId="0" fontId="13" fillId="0" borderId="12" xfId="0" applyFont="1" applyFill="1" applyBorder="1" applyAlignment="1">
      <alignment horizontal="center"/>
    </xf>
    <xf numFmtId="197" fontId="13" fillId="0" borderId="3" xfId="0" applyNumberFormat="1" applyFont="1" applyFill="1" applyBorder="1" applyAlignment="1">
      <alignment horizontal="center"/>
    </xf>
    <xf numFmtId="197" fontId="13" fillId="0" borderId="7" xfId="0" applyNumberFormat="1" applyFont="1" applyFill="1" applyBorder="1" applyAlignment="1">
      <alignment horizontal="center"/>
    </xf>
    <xf numFmtId="164" fontId="13" fillId="0" borderId="7" xfId="0" applyNumberFormat="1" applyFont="1" applyFill="1" applyBorder="1" applyAlignment="1">
      <alignment horizontal="center"/>
    </xf>
    <xf numFmtId="183" fontId="13" fillId="0" borderId="5" xfId="1" applyNumberFormat="1" applyFont="1" applyFill="1" applyBorder="1" applyAlignment="1">
      <alignment horizontal="center"/>
    </xf>
    <xf numFmtId="0" fontId="17" fillId="5" borderId="0" xfId="0" applyFont="1" applyFill="1" applyBorder="1" applyAlignment="1">
      <alignment horizontal="left"/>
    </xf>
    <xf numFmtId="168" fontId="17" fillId="5" borderId="8" xfId="0" applyNumberFormat="1" applyFont="1" applyFill="1" applyBorder="1"/>
    <xf numFmtId="15" fontId="22" fillId="0" borderId="0" xfId="2" applyNumberFormat="1" applyFont="1" applyFill="1" applyAlignment="1">
      <alignment horizontal="center"/>
    </xf>
    <xf numFmtId="168" fontId="17" fillId="0" borderId="8" xfId="0" applyNumberFormat="1" applyFont="1" applyFill="1" applyBorder="1"/>
    <xf numFmtId="191" fontId="17" fillId="0" borderId="9" xfId="3" applyNumberFormat="1" applyFont="1" applyFill="1" applyBorder="1"/>
    <xf numFmtId="7" fontId="0" fillId="0" borderId="0" xfId="0" applyNumberFormat="1" applyFill="1" applyBorder="1"/>
    <xf numFmtId="0" fontId="12" fillId="0" borderId="14" xfId="0" applyFont="1" applyFill="1" applyBorder="1"/>
    <xf numFmtId="0" fontId="16" fillId="0" borderId="15" xfId="0" applyFont="1" applyFill="1" applyBorder="1" applyAlignment="1">
      <alignment horizontal="center"/>
    </xf>
    <xf numFmtId="0" fontId="12" fillId="0" borderId="16" xfId="0" applyFont="1" applyFill="1" applyBorder="1"/>
    <xf numFmtId="0" fontId="18" fillId="5" borderId="9" xfId="0" applyFont="1" applyFill="1" applyBorder="1"/>
    <xf numFmtId="164" fontId="13" fillId="0" borderId="15" xfId="1" applyNumberFormat="1" applyFont="1" applyFill="1" applyBorder="1"/>
    <xf numFmtId="177" fontId="13" fillId="0" borderId="0" xfId="1" applyNumberFormat="1" applyFont="1" applyFill="1" applyBorder="1" applyAlignment="1">
      <alignment horizontal="right"/>
    </xf>
    <xf numFmtId="0" fontId="13" fillId="0" borderId="17" xfId="0" applyFont="1" applyFill="1" applyBorder="1"/>
    <xf numFmtId="0" fontId="13" fillId="0" borderId="18" xfId="0" applyFont="1" applyFill="1" applyBorder="1"/>
    <xf numFmtId="0" fontId="13" fillId="0" borderId="17" xfId="0" applyFont="1" applyFill="1" applyBorder="1" applyAlignment="1">
      <alignment horizontal="center"/>
    </xf>
    <xf numFmtId="177" fontId="13" fillId="0" borderId="0" xfId="1" quotePrefix="1" applyNumberFormat="1" applyFont="1" applyFill="1" applyBorder="1" applyAlignment="1">
      <alignment horizontal="center"/>
    </xf>
    <xf numFmtId="177" fontId="13" fillId="0" borderId="8" xfId="1" quotePrefix="1" applyNumberFormat="1" applyFont="1" applyFill="1" applyBorder="1" applyAlignment="1">
      <alignment horizontal="center"/>
    </xf>
    <xf numFmtId="175" fontId="13" fillId="0" borderId="8" xfId="1" applyNumberFormat="1" applyFont="1" applyFill="1" applyBorder="1"/>
    <xf numFmtId="177" fontId="13" fillId="0" borderId="8" xfId="1" applyNumberFormat="1" applyFont="1" applyFill="1" applyBorder="1" applyAlignment="1">
      <alignment horizontal="center"/>
    </xf>
    <xf numFmtId="175" fontId="13" fillId="0" borderId="0" xfId="1" quotePrefix="1" applyNumberFormat="1" applyFont="1" applyFill="1" applyBorder="1"/>
    <xf numFmtId="177" fontId="13" fillId="0" borderId="6" xfId="1" applyNumberFormat="1" applyFont="1" applyFill="1" applyBorder="1" applyAlignment="1">
      <alignment horizontal="left"/>
    </xf>
    <xf numFmtId="183" fontId="13" fillId="0" borderId="5" xfId="1" applyNumberFormat="1" applyFont="1" applyFill="1" applyBorder="1"/>
    <xf numFmtId="177" fontId="12" fillId="0" borderId="9" xfId="1" applyNumberFormat="1" applyFont="1" applyFill="1" applyBorder="1"/>
    <xf numFmtId="177" fontId="13" fillId="0" borderId="8" xfId="1" applyNumberFormat="1" applyFont="1" applyFill="1" applyBorder="1"/>
    <xf numFmtId="0" fontId="13" fillId="0" borderId="8" xfId="0" applyFont="1" applyFill="1" applyBorder="1"/>
    <xf numFmtId="177" fontId="13" fillId="0" borderId="9" xfId="1" quotePrefix="1" applyNumberFormat="1" applyFont="1" applyFill="1" applyBorder="1" applyAlignment="1">
      <alignment horizontal="right"/>
    </xf>
    <xf numFmtId="175" fontId="13" fillId="0" borderId="0" xfId="1" quotePrefix="1" applyNumberFormat="1" applyFont="1" applyFill="1" applyBorder="1" applyAlignment="1">
      <alignment horizontal="right"/>
    </xf>
    <xf numFmtId="177" fontId="13" fillId="0" borderId="6" xfId="1" applyNumberFormat="1" applyFont="1" applyFill="1" applyBorder="1"/>
    <xf numFmtId="0" fontId="12" fillId="0" borderId="9" xfId="0" applyFont="1" applyFill="1" applyBorder="1"/>
    <xf numFmtId="43" fontId="13" fillId="0" borderId="0" xfId="0" applyNumberFormat="1" applyFont="1" applyFill="1" applyBorder="1"/>
    <xf numFmtId="43" fontId="13" fillId="0" borderId="8" xfId="0" applyNumberFormat="1" applyFont="1" applyFill="1" applyBorder="1"/>
    <xf numFmtId="0" fontId="12" fillId="0" borderId="6" xfId="0" applyFont="1" applyFill="1" applyBorder="1"/>
    <xf numFmtId="175" fontId="13" fillId="0" borderId="3" xfId="0" applyNumberFormat="1" applyFont="1" applyFill="1" applyBorder="1"/>
    <xf numFmtId="43" fontId="13" fillId="0" borderId="7" xfId="0" applyNumberFormat="1" applyFont="1" applyFill="1" applyBorder="1"/>
    <xf numFmtId="175" fontId="13" fillId="0" borderId="9" xfId="1" applyNumberFormat="1" applyFont="1" applyFill="1" applyBorder="1"/>
    <xf numFmtId="177" fontId="13" fillId="0" borderId="19" xfId="1" applyNumberFormat="1" applyFont="1" applyFill="1" applyBorder="1"/>
    <xf numFmtId="175" fontId="13" fillId="0" borderId="20" xfId="1" applyNumberFormat="1" applyFont="1" applyFill="1" applyBorder="1"/>
    <xf numFmtId="0" fontId="13" fillId="0" borderId="21" xfId="0" applyFont="1" applyFill="1" applyBorder="1"/>
    <xf numFmtId="0" fontId="13" fillId="0" borderId="7" xfId="0" applyFont="1" applyFill="1" applyBorder="1"/>
    <xf numFmtId="0" fontId="8" fillId="0" borderId="17" xfId="0" applyFont="1" applyFill="1" applyBorder="1" applyAlignment="1">
      <alignment horizontal="left"/>
    </xf>
    <xf numFmtId="177" fontId="8" fillId="0" borderId="22" xfId="1" applyNumberFormat="1" applyFont="1" applyFill="1" applyBorder="1" applyAlignment="1">
      <alignment horizontal="right"/>
    </xf>
    <xf numFmtId="175" fontId="13" fillId="0" borderId="0" xfId="0" applyNumberFormat="1" applyFont="1" applyFill="1" applyBorder="1" applyAlignment="1">
      <alignment horizontal="center"/>
    </xf>
    <xf numFmtId="175" fontId="13" fillId="0" borderId="0" xfId="2" applyNumberFormat="1" applyFont="1" applyFill="1" applyBorder="1" applyAlignment="1">
      <alignment horizontal="center"/>
    </xf>
    <xf numFmtId="175" fontId="13" fillId="0" borderId="8" xfId="1" applyNumberFormat="1" applyFont="1" applyFill="1" applyBorder="1" applyAlignment="1">
      <alignment horizontal="center"/>
    </xf>
    <xf numFmtId="38" fontId="16" fillId="0" borderId="0" xfId="0" applyNumberFormat="1" applyFont="1" applyFill="1" applyBorder="1" applyAlignment="1">
      <alignment horizontal="center"/>
    </xf>
    <xf numFmtId="187" fontId="8" fillId="0" borderId="23" xfId="2" applyNumberFormat="1" applyFont="1" applyFill="1" applyBorder="1" applyAlignment="1">
      <alignment horizontal="center"/>
    </xf>
    <xf numFmtId="187" fontId="19" fillId="0" borderId="24" xfId="2" applyNumberFormat="1" applyFont="1" applyFill="1" applyBorder="1" applyAlignment="1">
      <alignment horizontal="center"/>
    </xf>
    <xf numFmtId="15" fontId="22" fillId="0" borderId="25" xfId="2" applyNumberFormat="1" applyFont="1" applyFill="1" applyBorder="1" applyAlignment="1">
      <alignment horizontal="center"/>
    </xf>
    <xf numFmtId="164" fontId="6" fillId="0" borderId="0" xfId="0" quotePrefix="1" applyNumberFormat="1" applyFont="1" applyFill="1" applyAlignment="1">
      <alignment horizontal="center"/>
    </xf>
    <xf numFmtId="38" fontId="13" fillId="0" borderId="0" xfId="0" applyNumberFormat="1" applyFont="1" applyFill="1"/>
    <xf numFmtId="38" fontId="7" fillId="0" borderId="0" xfId="0" applyNumberFormat="1" applyFont="1" applyFill="1" applyBorder="1" applyAlignment="1">
      <alignment horizontal="left"/>
    </xf>
    <xf numFmtId="170" fontId="6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6" fontId="15" fillId="0" borderId="1" xfId="0" applyNumberFormat="1" applyFont="1" applyFill="1" applyBorder="1" applyAlignment="1">
      <alignment horizontal="left"/>
    </xf>
    <xf numFmtId="16" fontId="15" fillId="0" borderId="1" xfId="0" applyNumberFormat="1" applyFont="1" applyFill="1" applyBorder="1" applyAlignment="1">
      <alignment horizontal="center"/>
    </xf>
    <xf numFmtId="14" fontId="15" fillId="0" borderId="1" xfId="0" applyNumberFormat="1" applyFont="1" applyFill="1" applyBorder="1" applyAlignment="1">
      <alignment horizontal="center"/>
    </xf>
    <xf numFmtId="169" fontId="15" fillId="0" borderId="1" xfId="0" applyNumberFormat="1" applyFont="1" applyFill="1" applyBorder="1" applyAlignment="1">
      <alignment horizontal="center"/>
    </xf>
    <xf numFmtId="170" fontId="15" fillId="0" borderId="1" xfId="0" applyNumberFormat="1" applyFont="1" applyFill="1" applyBorder="1" applyAlignment="1">
      <alignment horizontal="center"/>
    </xf>
    <xf numFmtId="1" fontId="15" fillId="0" borderId="1" xfId="0" applyNumberFormat="1" applyFont="1" applyFill="1" applyBorder="1" applyAlignment="1">
      <alignment horizontal="center"/>
    </xf>
    <xf numFmtId="38" fontId="14" fillId="0" borderId="1" xfId="0" applyNumberFormat="1" applyFont="1" applyFill="1" applyBorder="1" applyAlignment="1">
      <alignment horizontal="right"/>
    </xf>
    <xf numFmtId="38" fontId="15" fillId="0" borderId="1" xfId="0" applyNumberFormat="1" applyFont="1" applyFill="1" applyBorder="1" applyAlignment="1">
      <alignment horizontal="right"/>
    </xf>
    <xf numFmtId="0" fontId="15" fillId="0" borderId="1" xfId="0" applyNumberFormat="1" applyFont="1" applyFill="1" applyBorder="1" applyAlignment="1">
      <alignment horizontal="right"/>
    </xf>
    <xf numFmtId="0" fontId="6" fillId="0" borderId="1" xfId="0" applyNumberFormat="1" applyFont="1" applyFill="1" applyBorder="1" applyAlignment="1">
      <alignment horizontal="center"/>
    </xf>
    <xf numFmtId="0" fontId="0" fillId="0" borderId="1" xfId="0" applyFill="1" applyBorder="1"/>
    <xf numFmtId="16" fontId="14" fillId="0" borderId="1" xfId="0" applyNumberFormat="1" applyFont="1" applyFill="1" applyBorder="1" applyAlignment="1">
      <alignment horizontal="left"/>
    </xf>
    <xf numFmtId="16" fontId="14" fillId="0" borderId="1" xfId="0" applyNumberFormat="1" applyFont="1" applyFill="1" applyBorder="1" applyAlignment="1">
      <alignment horizontal="center"/>
    </xf>
    <xf numFmtId="14" fontId="14" fillId="0" borderId="1" xfId="0" applyNumberFormat="1" applyFont="1" applyFill="1" applyBorder="1" applyAlignment="1">
      <alignment horizontal="center"/>
    </xf>
    <xf numFmtId="169" fontId="14" fillId="0" borderId="1" xfId="0" applyNumberFormat="1" applyFont="1" applyFill="1" applyBorder="1" applyAlignment="1">
      <alignment horizontal="center"/>
    </xf>
    <xf numFmtId="170" fontId="14" fillId="0" borderId="1" xfId="0" applyNumberFormat="1" applyFont="1" applyFill="1" applyBorder="1" applyAlignment="1">
      <alignment horizontal="center"/>
    </xf>
    <xf numFmtId="1" fontId="14" fillId="0" borderId="1" xfId="0" applyNumberFormat="1" applyFont="1" applyFill="1" applyBorder="1" applyAlignment="1">
      <alignment horizontal="center"/>
    </xf>
    <xf numFmtId="0" fontId="14" fillId="0" borderId="1" xfId="0" applyNumberFormat="1" applyFont="1" applyFill="1" applyBorder="1" applyAlignment="1">
      <alignment horizontal="right"/>
    </xf>
    <xf numFmtId="0" fontId="13" fillId="0" borderId="1" xfId="0" applyFont="1" applyFill="1" applyBorder="1"/>
    <xf numFmtId="10" fontId="14" fillId="0" borderId="1" xfId="0" applyNumberFormat="1" applyFont="1" applyFill="1" applyBorder="1" applyAlignment="1">
      <alignment horizontal="center"/>
    </xf>
    <xf numFmtId="1" fontId="6" fillId="0" borderId="0" xfId="0" quotePrefix="1" applyNumberFormat="1" applyFont="1" applyFill="1" applyBorder="1" applyAlignment="1">
      <alignment horizontal="center"/>
    </xf>
    <xf numFmtId="38" fontId="18" fillId="0" borderId="1" xfId="0" applyNumberFormat="1" applyFont="1" applyFill="1" applyBorder="1" applyAlignment="1">
      <alignment horizontal="right"/>
    </xf>
    <xf numFmtId="167" fontId="6" fillId="0" borderId="0" xfId="2" applyNumberFormat="1" applyFont="1" applyFill="1" applyBorder="1" applyAlignment="1">
      <alignment horizontal="right"/>
    </xf>
    <xf numFmtId="0" fontId="12" fillId="0" borderId="26" xfId="0" applyFont="1" applyFill="1" applyBorder="1"/>
    <xf numFmtId="0" fontId="13" fillId="0" borderId="27" xfId="0" applyFont="1" applyFill="1" applyBorder="1"/>
    <xf numFmtId="0" fontId="13" fillId="0" borderId="27" xfId="0" applyFont="1" applyFill="1" applyBorder="1" applyAlignment="1">
      <alignment horizontal="right"/>
    </xf>
    <xf numFmtId="0" fontId="13" fillId="0" borderId="4" xfId="0" applyFont="1" applyFill="1" applyBorder="1"/>
    <xf numFmtId="0" fontId="12" fillId="0" borderId="0" xfId="0" applyFont="1" applyFill="1" applyAlignment="1">
      <alignment horizontal="center"/>
    </xf>
    <xf numFmtId="0" fontId="12" fillId="0" borderId="0" xfId="0" applyFont="1" applyFill="1" applyBorder="1" applyAlignment="1">
      <alignment horizontal="center"/>
    </xf>
    <xf numFmtId="44" fontId="6" fillId="0" borderId="2" xfId="2" quotePrefix="1" applyNumberFormat="1" applyFont="1" applyFill="1" applyBorder="1" applyAlignment="1">
      <alignment horizontal="right"/>
    </xf>
    <xf numFmtId="38" fontId="6" fillId="0" borderId="28" xfId="0" applyNumberFormat="1" applyFont="1" applyFill="1" applyBorder="1" applyAlignment="1">
      <alignment horizontal="right"/>
    </xf>
    <xf numFmtId="38" fontId="6" fillId="0" borderId="2" xfId="0" applyNumberFormat="1" applyFont="1" applyFill="1" applyBorder="1" applyAlignment="1">
      <alignment horizontal="right"/>
    </xf>
    <xf numFmtId="12" fontId="6" fillId="0" borderId="0" xfId="0" applyNumberFormat="1" applyFont="1" applyFill="1" applyAlignment="1">
      <alignment horizontal="center"/>
    </xf>
    <xf numFmtId="4" fontId="6" fillId="0" borderId="0" xfId="0" applyNumberFormat="1" applyFont="1" applyFill="1" applyAlignment="1">
      <alignment horizontal="left"/>
    </xf>
    <xf numFmtId="3" fontId="6" fillId="0" borderId="0" xfId="0" applyNumberFormat="1" applyFont="1" applyFill="1" applyAlignment="1">
      <alignment horizontal="right"/>
    </xf>
    <xf numFmtId="8" fontId="6" fillId="0" borderId="0" xfId="0" applyNumberFormat="1" applyFont="1" applyFill="1" applyAlignment="1">
      <alignment horizontal="right"/>
    </xf>
    <xf numFmtId="0" fontId="13" fillId="0" borderId="29" xfId="0" applyFont="1" applyFill="1" applyBorder="1" applyAlignment="1">
      <alignment horizontal="right"/>
    </xf>
    <xf numFmtId="187" fontId="13" fillId="0" borderId="30" xfId="2" applyNumberFormat="1" applyFont="1" applyFill="1" applyBorder="1"/>
    <xf numFmtId="0" fontId="23" fillId="0" borderId="0" xfId="0" applyFont="1" applyFill="1" applyAlignment="1">
      <alignment horizontal="center"/>
    </xf>
    <xf numFmtId="202" fontId="24" fillId="0" borderId="29" xfId="0" applyNumberFormat="1" applyFont="1" applyFill="1" applyBorder="1" applyAlignment="1">
      <alignment horizontal="center"/>
    </xf>
    <xf numFmtId="170" fontId="17" fillId="0" borderId="9" xfId="3" applyNumberFormat="1" applyFont="1" applyFill="1" applyBorder="1"/>
    <xf numFmtId="197" fontId="13" fillId="0" borderId="0" xfId="0" applyNumberFormat="1" applyFont="1" applyFill="1" applyBorder="1" applyAlignment="1">
      <alignment horizontal="center"/>
    </xf>
    <xf numFmtId="177" fontId="13" fillId="0" borderId="12" xfId="1" applyNumberFormat="1" applyFont="1" applyFill="1" applyBorder="1" applyAlignment="1">
      <alignment horizontal="center"/>
    </xf>
    <xf numFmtId="177" fontId="13" fillId="0" borderId="5" xfId="1" applyNumberFormat="1" applyFont="1" applyFill="1" applyBorder="1" applyAlignment="1">
      <alignment horizontal="center"/>
    </xf>
    <xf numFmtId="197" fontId="13" fillId="0" borderId="3" xfId="0" applyNumberFormat="1" applyFont="1" applyFill="1" applyBorder="1" applyAlignment="1">
      <alignment horizontal="left"/>
    </xf>
    <xf numFmtId="0" fontId="13" fillId="0" borderId="0" xfId="0" applyFont="1" applyFill="1" applyBorder="1" applyAlignment="1">
      <alignment horizontal="center"/>
    </xf>
    <xf numFmtId="197" fontId="13" fillId="0" borderId="8" xfId="0" applyNumberFormat="1" applyFont="1" applyFill="1" applyBorder="1" applyAlignment="1">
      <alignment horizontal="center"/>
    </xf>
    <xf numFmtId="0" fontId="6" fillId="0" borderId="0" xfId="0" quotePrefix="1" applyNumberFormat="1" applyFont="1" applyFill="1" applyAlignment="1">
      <alignment horizontal="center"/>
    </xf>
    <xf numFmtId="0" fontId="11" fillId="2" borderId="8" xfId="0" applyNumberFormat="1" applyFont="1" applyFill="1" applyBorder="1"/>
    <xf numFmtId="164" fontId="11" fillId="2" borderId="8" xfId="0" applyNumberFormat="1" applyFont="1" applyFill="1" applyBorder="1"/>
    <xf numFmtId="191" fontId="17" fillId="0" borderId="0" xfId="3" applyNumberFormat="1" applyFont="1" applyFill="1" applyBorder="1"/>
    <xf numFmtId="0" fontId="0" fillId="6" borderId="0" xfId="0" applyFill="1"/>
    <xf numFmtId="167" fontId="0" fillId="0" borderId="0" xfId="0" applyNumberFormat="1" applyFill="1"/>
    <xf numFmtId="1" fontId="6" fillId="0" borderId="3" xfId="0" quotePrefix="1" applyNumberFormat="1" applyFont="1" applyFill="1" applyBorder="1" applyAlignment="1">
      <alignment horizontal="center"/>
    </xf>
    <xf numFmtId="0" fontId="6" fillId="0" borderId="3" xfId="0" quotePrefix="1" applyNumberFormat="1" applyFont="1" applyFill="1" applyBorder="1" applyAlignment="1">
      <alignment horizontal="right"/>
    </xf>
    <xf numFmtId="0" fontId="6" fillId="0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/>
    <xf numFmtId="0" fontId="1" fillId="3" borderId="0" xfId="0" applyFont="1" applyFill="1" applyBorder="1" applyAlignment="1">
      <alignment horizontal="centerContinuous"/>
    </xf>
    <xf numFmtId="0" fontId="12" fillId="3" borderId="0" xfId="0" applyFont="1" applyFill="1" applyBorder="1" applyAlignment="1">
      <alignment horizontal="left"/>
    </xf>
    <xf numFmtId="0" fontId="13" fillId="3" borderId="0" xfId="0" applyFont="1" applyFill="1" applyBorder="1"/>
    <xf numFmtId="165" fontId="1" fillId="3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165" fontId="2" fillId="3" borderId="0" xfId="0" applyNumberFormat="1" applyFont="1" applyFill="1" applyBorder="1" applyAlignment="1">
      <alignment horizontal="center"/>
    </xf>
    <xf numFmtId="165" fontId="13" fillId="3" borderId="0" xfId="0" applyNumberFormat="1" applyFont="1" applyFill="1" applyBorder="1" applyAlignment="1">
      <alignment horizontal="center"/>
    </xf>
    <xf numFmtId="0" fontId="12" fillId="3" borderId="3" xfId="0" applyFont="1" applyFill="1" applyBorder="1" applyAlignment="1">
      <alignment horizontal="left"/>
    </xf>
    <xf numFmtId="165" fontId="13" fillId="3" borderId="3" xfId="0" applyNumberFormat="1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165" fontId="13" fillId="3" borderId="0" xfId="0" applyNumberFormat="1" applyFont="1" applyFill="1" applyBorder="1" applyAlignment="1"/>
    <xf numFmtId="0" fontId="12" fillId="3" borderId="0" xfId="0" applyFont="1" applyFill="1"/>
    <xf numFmtId="0" fontId="13" fillId="3" borderId="3" xfId="0" applyFont="1" applyFill="1" applyBorder="1"/>
    <xf numFmtId="198" fontId="11" fillId="2" borderId="8" xfId="0" applyNumberFormat="1" applyFont="1" applyFill="1" applyBorder="1"/>
    <xf numFmtId="164" fontId="6" fillId="0" borderId="0" xfId="0" applyNumberFormat="1" applyFont="1" applyFill="1" applyAlignment="1">
      <alignment horizontal="center"/>
    </xf>
    <xf numFmtId="165" fontId="13" fillId="0" borderId="0" xfId="0" applyNumberFormat="1" applyFont="1" applyFill="1" applyBorder="1" applyAlignment="1">
      <alignment horizontal="center"/>
    </xf>
    <xf numFmtId="168" fontId="0" fillId="0" borderId="9" xfId="0" applyNumberFormat="1" applyFill="1" applyBorder="1"/>
    <xf numFmtId="0" fontId="25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right"/>
    </xf>
    <xf numFmtId="0" fontId="16" fillId="0" borderId="0" xfId="0" applyFont="1" applyFill="1" applyBorder="1" applyAlignment="1">
      <alignment horizontal="center"/>
    </xf>
    <xf numFmtId="164" fontId="13" fillId="0" borderId="0" xfId="1" applyNumberFormat="1" applyFont="1" applyFill="1" applyBorder="1"/>
    <xf numFmtId="194" fontId="6" fillId="0" borderId="0" xfId="0" applyNumberFormat="1" applyFont="1" applyFill="1" applyBorder="1" applyAlignment="1">
      <alignment horizontal="center"/>
    </xf>
    <xf numFmtId="0" fontId="6" fillId="0" borderId="0" xfId="0" quotePrefix="1" applyNumberFormat="1" applyFont="1" applyFill="1" applyBorder="1" applyAlignment="1">
      <alignment horizontal="center"/>
    </xf>
    <xf numFmtId="197" fontId="6" fillId="0" borderId="0" xfId="0" applyNumberFormat="1" applyFont="1" applyFill="1" applyAlignment="1">
      <alignment horizontal="center"/>
    </xf>
    <xf numFmtId="0" fontId="6" fillId="0" borderId="0" xfId="0" quotePrefix="1" applyNumberFormat="1" applyFont="1" applyFill="1" applyAlignment="1">
      <alignment horizontal="left"/>
    </xf>
    <xf numFmtId="38" fontId="8" fillId="0" borderId="0" xfId="0" applyNumberFormat="1" applyFont="1" applyFill="1" applyBorder="1" applyAlignment="1">
      <alignment horizontal="right"/>
    </xf>
    <xf numFmtId="165" fontId="1" fillId="0" borderId="0" xfId="0" applyNumberFormat="1" applyFont="1" applyFill="1" applyBorder="1" applyAlignment="1">
      <alignment horizontal="centerContinuous"/>
    </xf>
    <xf numFmtId="167" fontId="2" fillId="0" borderId="0" xfId="2" applyNumberFormat="1" applyFont="1" applyFill="1" applyBorder="1" applyAlignment="1"/>
    <xf numFmtId="165" fontId="2" fillId="0" borderId="0" xfId="0" quotePrefix="1" applyNumberFormat="1" applyFont="1" applyFill="1" applyBorder="1" applyAlignment="1">
      <alignment horizontal="center"/>
    </xf>
    <xf numFmtId="165" fontId="13" fillId="0" borderId="3" xfId="0" applyNumberFormat="1" applyFont="1" applyFill="1" applyBorder="1" applyAlignment="1">
      <alignment horizontal="center"/>
    </xf>
    <xf numFmtId="175" fontId="12" fillId="0" borderId="0" xfId="1" applyNumberFormat="1" applyFont="1" applyFill="1"/>
    <xf numFmtId="16" fontId="1" fillId="0" borderId="8" xfId="0" applyNumberFormat="1" applyFont="1" applyFill="1" applyBorder="1"/>
    <xf numFmtId="167" fontId="11" fillId="0" borderId="8" xfId="2" applyNumberFormat="1" applyFont="1" applyFill="1" applyBorder="1"/>
    <xf numFmtId="8" fontId="11" fillId="0" borderId="8" xfId="0" applyNumberFormat="1" applyFont="1" applyFill="1" applyBorder="1"/>
    <xf numFmtId="7" fontId="1" fillId="0" borderId="0" xfId="0" applyNumberFormat="1" applyFont="1" applyFill="1" applyBorder="1" applyAlignment="1"/>
    <xf numFmtId="193" fontId="1" fillId="0" borderId="0" xfId="0" applyNumberFormat="1" applyFont="1" applyFill="1" applyBorder="1"/>
    <xf numFmtId="174" fontId="10" fillId="0" borderId="0" xfId="0" applyNumberFormat="1" applyFont="1" applyFill="1" applyBorder="1"/>
    <xf numFmtId="0" fontId="1" fillId="4" borderId="31" xfId="0" applyFont="1" applyFill="1" applyBorder="1" applyAlignment="1">
      <alignment horizontal="center"/>
    </xf>
    <xf numFmtId="165" fontId="13" fillId="4" borderId="0" xfId="0" applyNumberFormat="1" applyFont="1" applyFill="1" applyBorder="1" applyAlignment="1"/>
    <xf numFmtId="0" fontId="9" fillId="2" borderId="9" xfId="0" applyFont="1" applyFill="1" applyBorder="1"/>
    <xf numFmtId="0" fontId="1" fillId="2" borderId="0" xfId="0" applyFont="1" applyFill="1" applyBorder="1"/>
    <xf numFmtId="0" fontId="11" fillId="2" borderId="0" xfId="0" applyFont="1" applyFill="1" applyBorder="1"/>
    <xf numFmtId="177" fontId="0" fillId="2" borderId="0" xfId="0" applyNumberFormat="1" applyFill="1"/>
    <xf numFmtId="0" fontId="17" fillId="2" borderId="0" xfId="0" applyFont="1" applyFill="1" applyBorder="1" applyAlignment="1">
      <alignment horizontal="left"/>
    </xf>
    <xf numFmtId="7" fontId="2" fillId="2" borderId="0" xfId="0" applyNumberFormat="1" applyFont="1" applyFill="1" applyBorder="1" applyAlignment="1">
      <alignment horizontal="center"/>
    </xf>
    <xf numFmtId="191" fontId="17" fillId="2" borderId="9" xfId="3" applyNumberFormat="1" applyFont="1" applyFill="1" applyBorder="1"/>
    <xf numFmtId="0" fontId="1" fillId="2" borderId="8" xfId="0" applyFont="1" applyFill="1" applyBorder="1"/>
    <xf numFmtId="16" fontId="1" fillId="2" borderId="8" xfId="0" applyNumberFormat="1" applyFont="1" applyFill="1" applyBorder="1"/>
    <xf numFmtId="0" fontId="18" fillId="2" borderId="9" xfId="0" applyFont="1" applyFill="1" applyBorder="1"/>
    <xf numFmtId="170" fontId="17" fillId="2" borderId="9" xfId="3" applyNumberFormat="1" applyFont="1" applyFill="1" applyBorder="1"/>
    <xf numFmtId="170" fontId="17" fillId="2" borderId="0" xfId="3" applyNumberFormat="1" applyFont="1" applyFill="1" applyBorder="1"/>
    <xf numFmtId="165" fontId="2" fillId="7" borderId="0" xfId="0" applyNumberFormat="1" applyFont="1" applyFill="1" applyBorder="1" applyAlignment="1">
      <alignment horizontal="center"/>
    </xf>
    <xf numFmtId="38" fontId="6" fillId="2" borderId="0" xfId="0" applyNumberFormat="1" applyFont="1" applyFill="1" applyBorder="1" applyAlignment="1">
      <alignment horizontal="left"/>
    </xf>
    <xf numFmtId="38" fontId="6" fillId="2" borderId="0" xfId="0" applyNumberFormat="1" applyFont="1" applyFill="1" applyBorder="1" applyAlignment="1">
      <alignment horizontal="center"/>
    </xf>
    <xf numFmtId="14" fontId="6" fillId="2" borderId="0" xfId="0" applyNumberFormat="1" applyFont="1" applyFill="1" applyBorder="1" applyAlignment="1">
      <alignment horizontal="center"/>
    </xf>
    <xf numFmtId="194" fontId="6" fillId="2" borderId="0" xfId="0" applyNumberFormat="1" applyFont="1" applyFill="1" applyBorder="1" applyAlignment="1">
      <alignment horizontal="center"/>
    </xf>
    <xf numFmtId="168" fontId="6" fillId="2" borderId="0" xfId="0" applyNumberFormat="1" applyFont="1" applyFill="1" applyBorder="1" applyAlignment="1">
      <alignment horizontal="center"/>
    </xf>
    <xf numFmtId="10" fontId="6" fillId="2" borderId="0" xfId="0" applyNumberFormat="1" applyFont="1" applyFill="1" applyBorder="1" applyAlignment="1">
      <alignment horizontal="center"/>
    </xf>
    <xf numFmtId="1" fontId="6" fillId="2" borderId="0" xfId="0" applyNumberFormat="1" applyFont="1" applyFill="1" applyBorder="1" applyAlignment="1">
      <alignment horizontal="center"/>
    </xf>
    <xf numFmtId="38" fontId="6" fillId="2" borderId="0" xfId="0" applyNumberFormat="1" applyFont="1" applyFill="1" applyAlignment="1">
      <alignment horizontal="right"/>
    </xf>
    <xf numFmtId="0" fontId="6" fillId="2" borderId="0" xfId="0" quotePrefix="1" applyNumberFormat="1" applyFont="1" applyFill="1" applyBorder="1" applyAlignment="1">
      <alignment horizontal="center"/>
    </xf>
    <xf numFmtId="0" fontId="6" fillId="2" borderId="0" xfId="0" applyNumberFormat="1" applyFont="1" applyFill="1" applyBorder="1" applyAlignment="1">
      <alignment horizontal="center"/>
    </xf>
    <xf numFmtId="38" fontId="6" fillId="8" borderId="0" xfId="0" applyNumberFormat="1" applyFont="1" applyFill="1" applyAlignment="1">
      <alignment horizontal="left"/>
    </xf>
    <xf numFmtId="38" fontId="6" fillId="8" borderId="0" xfId="0" applyNumberFormat="1" applyFont="1" applyFill="1" applyAlignment="1">
      <alignment horizontal="center"/>
    </xf>
    <xf numFmtId="14" fontId="6" fillId="8" borderId="0" xfId="0" applyNumberFormat="1" applyFont="1" applyFill="1" applyAlignment="1">
      <alignment horizontal="center"/>
    </xf>
    <xf numFmtId="169" fontId="6" fillId="8" borderId="0" xfId="0" applyNumberFormat="1" applyFont="1" applyFill="1" applyAlignment="1">
      <alignment horizontal="center"/>
    </xf>
    <xf numFmtId="168" fontId="6" fillId="8" borderId="0" xfId="0" applyNumberFormat="1" applyFont="1" applyFill="1" applyAlignment="1">
      <alignment horizontal="center"/>
    </xf>
    <xf numFmtId="170" fontId="6" fillId="8" borderId="0" xfId="0" applyNumberFormat="1" applyFont="1" applyFill="1" applyAlignment="1">
      <alignment horizontal="center"/>
    </xf>
    <xf numFmtId="1" fontId="6" fillId="8" borderId="0" xfId="0" applyNumberFormat="1" applyFont="1" applyFill="1" applyAlignment="1">
      <alignment horizontal="center"/>
    </xf>
    <xf numFmtId="38" fontId="6" fillId="8" borderId="0" xfId="0" applyNumberFormat="1" applyFont="1" applyFill="1" applyAlignment="1">
      <alignment horizontal="right"/>
    </xf>
    <xf numFmtId="0" fontId="6" fillId="8" borderId="0" xfId="0" quotePrefix="1" applyNumberFormat="1" applyFont="1" applyFill="1" applyAlignment="1">
      <alignment horizontal="right"/>
    </xf>
    <xf numFmtId="0" fontId="6" fillId="8" borderId="0" xfId="0" quotePrefix="1" applyNumberFormat="1" applyFont="1" applyFill="1" applyAlignment="1">
      <alignment horizontal="left"/>
    </xf>
    <xf numFmtId="0" fontId="6" fillId="8" borderId="0" xfId="0" applyNumberFormat="1" applyFont="1" applyFill="1" applyAlignment="1">
      <alignment horizontal="center"/>
    </xf>
    <xf numFmtId="0" fontId="13" fillId="8" borderId="0" xfId="0" applyFont="1" applyFill="1"/>
    <xf numFmtId="38" fontId="7" fillId="2" borderId="0" xfId="0" applyNumberFormat="1" applyFont="1" applyFill="1" applyAlignment="1">
      <alignment horizontal="center"/>
    </xf>
    <xf numFmtId="38" fontId="6" fillId="2" borderId="0" xfId="0" applyNumberFormat="1" applyFont="1" applyFill="1" applyAlignment="1">
      <alignment horizontal="center"/>
    </xf>
    <xf numFmtId="14" fontId="6" fillId="2" borderId="0" xfId="0" applyNumberFormat="1" applyFont="1" applyFill="1" applyAlignment="1">
      <alignment horizontal="center"/>
    </xf>
    <xf numFmtId="169" fontId="6" fillId="2" borderId="0" xfId="0" applyNumberFormat="1" applyFont="1" applyFill="1" applyAlignment="1">
      <alignment horizontal="center"/>
    </xf>
    <xf numFmtId="168" fontId="6" fillId="2" borderId="0" xfId="0" applyNumberFormat="1" applyFont="1" applyFill="1" applyAlignment="1">
      <alignment horizontal="center"/>
    </xf>
    <xf numFmtId="164" fontId="6" fillId="2" borderId="0" xfId="0" applyNumberFormat="1" applyFont="1" applyFill="1" applyAlignment="1">
      <alignment horizontal="center"/>
    </xf>
    <xf numFmtId="38" fontId="6" fillId="2" borderId="0" xfId="0" quotePrefix="1" applyNumberFormat="1" applyFont="1" applyFill="1" applyAlignment="1">
      <alignment horizontal="left"/>
    </xf>
    <xf numFmtId="0" fontId="6" fillId="2" borderId="0" xfId="0" applyNumberFormat="1" applyFont="1" applyFill="1" applyAlignment="1">
      <alignment horizontal="center"/>
    </xf>
    <xf numFmtId="38" fontId="6" fillId="2" borderId="0" xfId="0" quotePrefix="1" applyNumberFormat="1" applyFont="1" applyFill="1" applyBorder="1" applyAlignment="1">
      <alignment horizontal="left"/>
    </xf>
    <xf numFmtId="0" fontId="9" fillId="9" borderId="9" xfId="0" applyFont="1" applyFill="1" applyBorder="1"/>
    <xf numFmtId="16" fontId="1" fillId="9" borderId="8" xfId="0" applyNumberFormat="1" applyFont="1" applyFill="1" applyBorder="1"/>
    <xf numFmtId="0" fontId="0" fillId="9" borderId="9" xfId="0" applyFill="1" applyBorder="1"/>
    <xf numFmtId="168" fontId="17" fillId="9" borderId="8" xfId="0" applyNumberFormat="1" applyFont="1" applyFill="1" applyBorder="1"/>
    <xf numFmtId="168" fontId="0" fillId="9" borderId="8" xfId="0" applyNumberFormat="1" applyFill="1" applyBorder="1"/>
    <xf numFmtId="191" fontId="17" fillId="9" borderId="9" xfId="3" applyNumberFormat="1" applyFont="1" applyFill="1" applyBorder="1"/>
    <xf numFmtId="168" fontId="11" fillId="9" borderId="8" xfId="0" applyNumberFormat="1" applyFont="1" applyFill="1" applyBorder="1"/>
    <xf numFmtId="168" fontId="1" fillId="9" borderId="8" xfId="0" applyNumberFormat="1" applyFont="1" applyFill="1" applyBorder="1"/>
    <xf numFmtId="167" fontId="2" fillId="9" borderId="8" xfId="2" applyNumberFormat="1" applyFont="1" applyFill="1" applyBorder="1" applyAlignment="1"/>
    <xf numFmtId="165" fontId="2" fillId="9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175" fontId="13" fillId="0" borderId="9" xfId="1" quotePrefix="1" applyNumberFormat="1" applyFont="1" applyFill="1" applyBorder="1" applyAlignment="1">
      <alignment horizontal="center"/>
    </xf>
    <xf numFmtId="0" fontId="6" fillId="0" borderId="8" xfId="0" applyFont="1" applyFill="1" applyBorder="1"/>
    <xf numFmtId="0" fontId="6" fillId="0" borderId="8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175" fontId="6" fillId="0" borderId="9" xfId="1" quotePrefix="1" applyNumberFormat="1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9" xfId="0" applyFill="1" applyBorder="1" applyAlignment="1">
      <alignment horizontal="centerContinuous"/>
    </xf>
    <xf numFmtId="0" fontId="0" fillId="2" borderId="1" xfId="0" applyFill="1" applyBorder="1" applyAlignment="1">
      <alignment horizontal="centerContinuous"/>
    </xf>
    <xf numFmtId="0" fontId="0" fillId="2" borderId="30" xfId="0" applyFill="1" applyBorder="1" applyAlignment="1">
      <alignment horizontal="centerContinuous"/>
    </xf>
    <xf numFmtId="0" fontId="0" fillId="2" borderId="32" xfId="0" applyFill="1" applyBorder="1" applyAlignment="1">
      <alignment horizontal="center"/>
    </xf>
    <xf numFmtId="0" fontId="0" fillId="2" borderId="32" xfId="0" applyFill="1" applyBorder="1" applyAlignment="1">
      <alignment horizontal="left"/>
    </xf>
    <xf numFmtId="0" fontId="0" fillId="2" borderId="32" xfId="0" applyFill="1" applyBorder="1"/>
    <xf numFmtId="0" fontId="0" fillId="2" borderId="0" xfId="0" applyFill="1" applyAlignment="1">
      <alignment horizontal="left"/>
    </xf>
    <xf numFmtId="170" fontId="0" fillId="2" borderId="0" xfId="3" applyNumberFormat="1" applyFont="1" applyFill="1" applyAlignment="1">
      <alignment horizontal="center"/>
    </xf>
    <xf numFmtId="170" fontId="0" fillId="2" borderId="0" xfId="3" applyNumberFormat="1" applyFont="1" applyFill="1" applyAlignment="1">
      <alignment horizontal="left"/>
    </xf>
    <xf numFmtId="170" fontId="0" fillId="2" borderId="0" xfId="3" applyNumberFormat="1" applyFont="1" applyFill="1"/>
    <xf numFmtId="1" fontId="0" fillId="0" borderId="0" xfId="0" applyNumberFormat="1" applyFill="1"/>
    <xf numFmtId="43" fontId="0" fillId="0" borderId="0" xfId="0" applyNumberFormat="1" applyFill="1"/>
    <xf numFmtId="167" fontId="13" fillId="0" borderId="0" xfId="2" quotePrefix="1" applyNumberFormat="1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60"/>
  <sheetViews>
    <sheetView workbookViewId="0">
      <selection activeCell="C17" sqref="C17"/>
    </sheetView>
  </sheetViews>
  <sheetFormatPr defaultRowHeight="12.75" x14ac:dyDescent="0.2"/>
  <cols>
    <col min="1" max="1" width="11.28515625" style="47" customWidth="1"/>
    <col min="2" max="2" width="12" style="51" customWidth="1"/>
    <col min="3" max="3" width="17.140625" style="51" customWidth="1"/>
    <col min="4" max="4" width="14.42578125" style="48" customWidth="1"/>
    <col min="5" max="5" width="3.7109375" style="48" customWidth="1"/>
    <col min="6" max="6" width="11.28515625" style="47" customWidth="1"/>
    <col min="7" max="7" width="15.5703125" style="49" customWidth="1"/>
    <col min="8" max="8" width="14" style="49" customWidth="1"/>
    <col min="9" max="9" width="9.140625" style="47"/>
    <col min="10" max="10" width="13.7109375" style="47" customWidth="1"/>
    <col min="11" max="11" width="9.140625" style="47"/>
    <col min="12" max="12" width="12.42578125" style="47" customWidth="1"/>
    <col min="13" max="16384" width="9.140625" style="47"/>
  </cols>
  <sheetData>
    <row r="1" spans="1:10" x14ac:dyDescent="0.2">
      <c r="A1" s="50" t="s">
        <v>305</v>
      </c>
      <c r="D1" s="51"/>
      <c r="E1" s="51"/>
      <c r="F1" s="52"/>
      <c r="G1" s="50"/>
      <c r="H1" s="50"/>
      <c r="I1" s="53"/>
      <c r="J1" s="54"/>
    </row>
    <row r="2" spans="1:10" x14ac:dyDescent="0.2">
      <c r="A2" s="50"/>
      <c r="D2" s="125"/>
      <c r="E2" s="125"/>
      <c r="F2" s="52"/>
      <c r="G2" s="50"/>
      <c r="H2" s="50"/>
      <c r="I2" s="53"/>
      <c r="J2" s="54"/>
    </row>
    <row r="3" spans="1:10" x14ac:dyDescent="0.2">
      <c r="A3" s="50"/>
      <c r="D3" s="125"/>
      <c r="E3" s="125"/>
      <c r="F3" s="52"/>
      <c r="G3" s="50" t="s">
        <v>47</v>
      </c>
      <c r="H3" s="50" t="s">
        <v>47</v>
      </c>
      <c r="I3" s="53"/>
      <c r="J3" s="54"/>
    </row>
    <row r="4" spans="1:10" x14ac:dyDescent="0.2">
      <c r="A4" s="53"/>
      <c r="D4" s="51"/>
      <c r="E4" s="51"/>
      <c r="F4" s="52"/>
      <c r="G4" s="55"/>
      <c r="H4" s="50"/>
      <c r="I4" s="53"/>
      <c r="J4" s="54"/>
    </row>
    <row r="5" spans="1:10" x14ac:dyDescent="0.2">
      <c r="A5" s="56" t="s">
        <v>306</v>
      </c>
      <c r="B5" s="57" t="s">
        <v>308</v>
      </c>
      <c r="C5" s="57" t="s">
        <v>389</v>
      </c>
      <c r="D5" s="57" t="s">
        <v>316</v>
      </c>
      <c r="E5" s="57"/>
      <c r="F5" s="58" t="s">
        <v>205</v>
      </c>
      <c r="G5" s="59" t="s">
        <v>309</v>
      </c>
      <c r="H5" s="59" t="s">
        <v>310</v>
      </c>
      <c r="I5" s="56" t="s">
        <v>205</v>
      </c>
      <c r="J5" s="59" t="s">
        <v>313</v>
      </c>
    </row>
    <row r="6" spans="1:10" x14ac:dyDescent="0.2">
      <c r="A6" s="53" t="s">
        <v>307</v>
      </c>
      <c r="B6" s="51">
        <v>0.30509999999999998</v>
      </c>
      <c r="C6" s="51">
        <v>77177</v>
      </c>
      <c r="D6" s="51" t="s">
        <v>317</v>
      </c>
      <c r="E6" s="51"/>
      <c r="F6" s="52"/>
      <c r="G6" s="50" t="s">
        <v>311</v>
      </c>
      <c r="H6" s="50" t="s">
        <v>311</v>
      </c>
      <c r="I6" s="53" t="s">
        <v>312</v>
      </c>
      <c r="J6" s="50" t="s">
        <v>315</v>
      </c>
    </row>
    <row r="7" spans="1:10" x14ac:dyDescent="0.2">
      <c r="A7" s="53" t="s">
        <v>307</v>
      </c>
      <c r="B7" s="51">
        <v>0.49830000000000002</v>
      </c>
      <c r="C7" s="51">
        <v>77169</v>
      </c>
      <c r="D7" s="51" t="s">
        <v>317</v>
      </c>
      <c r="E7" s="51"/>
      <c r="F7" s="52"/>
      <c r="G7" s="50" t="s">
        <v>311</v>
      </c>
      <c r="H7" s="50" t="s">
        <v>311</v>
      </c>
      <c r="I7" s="53" t="s">
        <v>312</v>
      </c>
      <c r="J7" s="50" t="s">
        <v>314</v>
      </c>
    </row>
    <row r="8" spans="1:10" x14ac:dyDescent="0.2">
      <c r="A8" s="53" t="s">
        <v>307</v>
      </c>
      <c r="B8" s="51">
        <v>0.2999</v>
      </c>
      <c r="D8" s="51" t="s">
        <v>317</v>
      </c>
      <c r="E8" s="51"/>
      <c r="F8" s="52"/>
      <c r="G8" s="50" t="s">
        <v>311</v>
      </c>
      <c r="H8" s="50" t="s">
        <v>311</v>
      </c>
      <c r="I8" s="53" t="s">
        <v>312</v>
      </c>
      <c r="J8" s="50" t="s">
        <v>314</v>
      </c>
    </row>
    <row r="9" spans="1:10" x14ac:dyDescent="0.2">
      <c r="A9" s="53" t="s">
        <v>307</v>
      </c>
      <c r="B9" s="51">
        <v>0.27739999999999998</v>
      </c>
      <c r="C9" s="51">
        <v>77175</v>
      </c>
      <c r="D9" s="51" t="s">
        <v>317</v>
      </c>
      <c r="E9" s="51"/>
      <c r="F9" s="52"/>
      <c r="G9" s="50" t="s">
        <v>311</v>
      </c>
      <c r="H9" s="50" t="s">
        <v>311</v>
      </c>
      <c r="I9" s="53" t="s">
        <v>312</v>
      </c>
      <c r="J9" s="50" t="s">
        <v>314</v>
      </c>
    </row>
    <row r="10" spans="1:10" x14ac:dyDescent="0.2">
      <c r="A10" s="53" t="s">
        <v>307</v>
      </c>
      <c r="B10" s="51">
        <v>0.75370000000000004</v>
      </c>
      <c r="C10" s="51">
        <v>82420</v>
      </c>
      <c r="D10" s="51" t="s">
        <v>387</v>
      </c>
      <c r="E10" s="51"/>
      <c r="F10" s="52"/>
      <c r="G10" s="50" t="s">
        <v>311</v>
      </c>
      <c r="H10" s="50" t="s">
        <v>311</v>
      </c>
      <c r="I10" s="53" t="s">
        <v>312</v>
      </c>
      <c r="J10" s="50" t="s">
        <v>388</v>
      </c>
    </row>
    <row r="11" spans="1:10" x14ac:dyDescent="0.2">
      <c r="A11" s="53" t="s">
        <v>307</v>
      </c>
      <c r="B11" s="51">
        <v>3.073</v>
      </c>
      <c r="C11" s="51">
        <v>96503</v>
      </c>
      <c r="D11" s="51" t="s">
        <v>401</v>
      </c>
      <c r="E11" s="51"/>
      <c r="F11" s="52"/>
      <c r="G11" s="50" t="s">
        <v>311</v>
      </c>
      <c r="H11" s="50" t="s">
        <v>311</v>
      </c>
      <c r="I11" s="53" t="s">
        <v>312</v>
      </c>
      <c r="J11" s="50" t="s">
        <v>402</v>
      </c>
    </row>
    <row r="12" spans="1:10" x14ac:dyDescent="0.2">
      <c r="A12" s="53" t="s">
        <v>307</v>
      </c>
      <c r="B12" s="51">
        <v>1.8793</v>
      </c>
      <c r="C12" s="51">
        <v>104783</v>
      </c>
      <c r="D12" s="51" t="s">
        <v>416</v>
      </c>
      <c r="E12" s="51"/>
      <c r="F12" s="52"/>
      <c r="G12" s="50" t="s">
        <v>311</v>
      </c>
      <c r="H12" s="50" t="s">
        <v>311</v>
      </c>
      <c r="I12" s="53" t="s">
        <v>312</v>
      </c>
      <c r="J12" s="50" t="s">
        <v>417</v>
      </c>
    </row>
    <row r="13" spans="1:10" x14ac:dyDescent="0.2">
      <c r="A13" s="53" t="s">
        <v>307</v>
      </c>
      <c r="B13" s="51">
        <v>0.90469999999999995</v>
      </c>
      <c r="C13" s="51">
        <v>168466</v>
      </c>
      <c r="D13" s="51" t="s">
        <v>549</v>
      </c>
      <c r="E13" s="51"/>
      <c r="F13" s="52"/>
      <c r="G13" s="50" t="s">
        <v>311</v>
      </c>
      <c r="H13" s="50" t="s">
        <v>311</v>
      </c>
      <c r="I13" s="53" t="s">
        <v>312</v>
      </c>
      <c r="J13" s="50" t="s">
        <v>550</v>
      </c>
    </row>
    <row r="15" spans="1:10" x14ac:dyDescent="0.2">
      <c r="A15" s="47" t="s">
        <v>696</v>
      </c>
      <c r="B15" s="51" t="s">
        <v>697</v>
      </c>
    </row>
    <row r="17" spans="1:10" x14ac:dyDescent="0.2">
      <c r="A17" s="47" t="s">
        <v>197</v>
      </c>
      <c r="B17" s="51">
        <v>2891</v>
      </c>
      <c r="D17" s="48" t="s">
        <v>317</v>
      </c>
      <c r="G17" s="49" t="s">
        <v>311</v>
      </c>
      <c r="H17" s="49" t="s">
        <v>311</v>
      </c>
    </row>
    <row r="18" spans="1:10" x14ac:dyDescent="0.2">
      <c r="A18" s="47" t="s">
        <v>197</v>
      </c>
      <c r="B18" s="51">
        <v>80045</v>
      </c>
      <c r="D18" s="48" t="s">
        <v>312</v>
      </c>
    </row>
    <row r="20" spans="1:10" x14ac:dyDescent="0.2">
      <c r="A20" s="47" t="s">
        <v>0</v>
      </c>
      <c r="B20" s="51" t="s">
        <v>334</v>
      </c>
      <c r="C20" s="51">
        <v>98243</v>
      </c>
      <c r="D20" s="48" t="s">
        <v>375</v>
      </c>
      <c r="G20" s="49" t="s">
        <v>311</v>
      </c>
      <c r="H20" s="49" t="s">
        <v>311</v>
      </c>
      <c r="J20" s="47" t="s">
        <v>376</v>
      </c>
    </row>
    <row r="21" spans="1:10" x14ac:dyDescent="0.2">
      <c r="A21" s="47" t="s">
        <v>0</v>
      </c>
      <c r="B21" s="51" t="s">
        <v>334</v>
      </c>
      <c r="C21" s="51">
        <v>98567</v>
      </c>
      <c r="D21" s="48" t="s">
        <v>397</v>
      </c>
      <c r="G21" s="49" t="s">
        <v>311</v>
      </c>
      <c r="H21" s="49" t="s">
        <v>311</v>
      </c>
      <c r="J21" s="47" t="s">
        <v>398</v>
      </c>
    </row>
    <row r="22" spans="1:10" x14ac:dyDescent="0.2">
      <c r="A22" s="47" t="s">
        <v>0</v>
      </c>
      <c r="B22" s="51">
        <v>600228</v>
      </c>
      <c r="C22" s="51">
        <v>77009</v>
      </c>
      <c r="D22" s="48" t="s">
        <v>399</v>
      </c>
      <c r="G22" s="49" t="s">
        <v>311</v>
      </c>
      <c r="H22" s="49" t="s">
        <v>311</v>
      </c>
      <c r="J22" s="47" t="s">
        <v>400</v>
      </c>
    </row>
    <row r="24" spans="1:10" x14ac:dyDescent="0.2">
      <c r="A24" s="47" t="s">
        <v>553</v>
      </c>
      <c r="B24" s="51" t="s">
        <v>554</v>
      </c>
      <c r="C24" s="51">
        <v>168569</v>
      </c>
      <c r="D24" s="48" t="s">
        <v>555</v>
      </c>
      <c r="G24" s="49" t="s">
        <v>311</v>
      </c>
      <c r="H24" s="49" t="s">
        <v>311</v>
      </c>
      <c r="J24" s="47" t="s">
        <v>552</v>
      </c>
    </row>
    <row r="26" spans="1:10" x14ac:dyDescent="0.2">
      <c r="A26" s="47" t="s">
        <v>318</v>
      </c>
      <c r="B26" s="51">
        <v>9310010</v>
      </c>
      <c r="D26" s="48" t="s">
        <v>319</v>
      </c>
    </row>
    <row r="28" spans="1:10" x14ac:dyDescent="0.2">
      <c r="A28" s="47" t="s">
        <v>27</v>
      </c>
      <c r="B28" s="51">
        <v>38641</v>
      </c>
      <c r="C28" s="51">
        <v>93039</v>
      </c>
      <c r="D28" s="48" t="s">
        <v>412</v>
      </c>
      <c r="J28" s="47" t="s">
        <v>413</v>
      </c>
    </row>
    <row r="29" spans="1:10" x14ac:dyDescent="0.2">
      <c r="A29" s="47" t="s">
        <v>27</v>
      </c>
      <c r="B29" s="51">
        <v>37556</v>
      </c>
      <c r="C29" s="51">
        <v>93037</v>
      </c>
      <c r="D29" s="48" t="s">
        <v>320</v>
      </c>
      <c r="J29" s="47" t="s">
        <v>321</v>
      </c>
    </row>
    <row r="30" spans="1:10" x14ac:dyDescent="0.2">
      <c r="A30" s="47" t="s">
        <v>27</v>
      </c>
      <c r="B30" s="51">
        <v>39229</v>
      </c>
      <c r="C30" s="51">
        <v>93030</v>
      </c>
      <c r="D30" s="48" t="s">
        <v>414</v>
      </c>
      <c r="J30" s="47" t="s">
        <v>415</v>
      </c>
    </row>
    <row r="33" spans="1:10" x14ac:dyDescent="0.2">
      <c r="A33" s="47" t="s">
        <v>322</v>
      </c>
      <c r="B33" s="51">
        <v>40998</v>
      </c>
      <c r="D33" s="48" t="s">
        <v>317</v>
      </c>
    </row>
    <row r="34" spans="1:10" x14ac:dyDescent="0.2">
      <c r="A34" s="47" t="s">
        <v>322</v>
      </c>
      <c r="B34" s="51">
        <v>38021</v>
      </c>
      <c r="C34" s="51">
        <v>166118</v>
      </c>
      <c r="D34" s="48" t="s">
        <v>551</v>
      </c>
      <c r="G34" s="49" t="s">
        <v>311</v>
      </c>
      <c r="H34" s="49" t="s">
        <v>311</v>
      </c>
      <c r="J34" s="47" t="s">
        <v>552</v>
      </c>
    </row>
    <row r="36" spans="1:10" x14ac:dyDescent="0.2">
      <c r="A36" s="47" t="s">
        <v>114</v>
      </c>
      <c r="B36" s="51" t="s">
        <v>404</v>
      </c>
      <c r="C36" s="51">
        <v>102637</v>
      </c>
      <c r="D36" s="48" t="s">
        <v>405</v>
      </c>
      <c r="F36" s="47">
        <v>60000</v>
      </c>
      <c r="J36" s="47" t="s">
        <v>406</v>
      </c>
    </row>
    <row r="37" spans="1:10" x14ac:dyDescent="0.2">
      <c r="A37" s="47" t="s">
        <v>114</v>
      </c>
      <c r="B37" s="51" t="s">
        <v>777</v>
      </c>
      <c r="C37" s="51">
        <v>549343</v>
      </c>
    </row>
    <row r="38" spans="1:10" x14ac:dyDescent="0.2">
      <c r="A38" s="47" t="s">
        <v>114</v>
      </c>
      <c r="B38" s="51" t="s">
        <v>778</v>
      </c>
      <c r="C38" s="51">
        <v>549352</v>
      </c>
    </row>
    <row r="39" spans="1:10" x14ac:dyDescent="0.2">
      <c r="A39" s="47" t="s">
        <v>114</v>
      </c>
      <c r="B39" s="51" t="s">
        <v>779</v>
      </c>
      <c r="C39" s="51">
        <v>549353</v>
      </c>
    </row>
    <row r="40" spans="1:10" x14ac:dyDescent="0.2">
      <c r="A40" s="47" t="s">
        <v>114</v>
      </c>
      <c r="B40" s="51" t="s">
        <v>780</v>
      </c>
      <c r="C40" s="51">
        <v>549354</v>
      </c>
    </row>
    <row r="43" spans="1:10" x14ac:dyDescent="0.2">
      <c r="A43" s="47" t="s">
        <v>407</v>
      </c>
      <c r="B43" s="51" t="s">
        <v>408</v>
      </c>
      <c r="C43" s="51">
        <v>104749</v>
      </c>
      <c r="D43" s="48" t="s">
        <v>409</v>
      </c>
      <c r="G43" s="49" t="s">
        <v>410</v>
      </c>
      <c r="J43" s="47" t="s">
        <v>411</v>
      </c>
    </row>
    <row r="44" spans="1:10" x14ac:dyDescent="0.2">
      <c r="A44" s="47" t="s">
        <v>407</v>
      </c>
      <c r="B44" s="51" t="s">
        <v>441</v>
      </c>
      <c r="C44" s="51">
        <v>82026</v>
      </c>
      <c r="D44" s="48" t="s">
        <v>317</v>
      </c>
      <c r="G44" s="49" t="s">
        <v>311</v>
      </c>
      <c r="H44" s="49" t="s">
        <v>311</v>
      </c>
    </row>
    <row r="45" spans="1:10" x14ac:dyDescent="0.2">
      <c r="A45" s="47" t="s">
        <v>407</v>
      </c>
      <c r="B45" s="51" t="s">
        <v>741</v>
      </c>
      <c r="C45" s="51">
        <v>312407</v>
      </c>
      <c r="D45" s="48" t="s">
        <v>743</v>
      </c>
      <c r="G45" s="49" t="s">
        <v>311</v>
      </c>
      <c r="H45" s="49" t="s">
        <v>311</v>
      </c>
      <c r="J45" s="47" t="s">
        <v>746</v>
      </c>
    </row>
    <row r="46" spans="1:10" x14ac:dyDescent="0.2">
      <c r="A46" s="47" t="s">
        <v>407</v>
      </c>
      <c r="B46" s="51" t="s">
        <v>742</v>
      </c>
      <c r="C46" s="51" t="s">
        <v>747</v>
      </c>
      <c r="D46" s="48" t="s">
        <v>744</v>
      </c>
      <c r="G46" s="49" t="s">
        <v>311</v>
      </c>
      <c r="H46" s="49" t="s">
        <v>311</v>
      </c>
      <c r="J46" s="47" t="s">
        <v>745</v>
      </c>
    </row>
    <row r="48" spans="1:10" x14ac:dyDescent="0.2">
      <c r="A48" s="47" t="s">
        <v>430</v>
      </c>
      <c r="B48" s="51" t="s">
        <v>431</v>
      </c>
      <c r="C48" s="51">
        <v>117510</v>
      </c>
      <c r="D48" s="48" t="s">
        <v>317</v>
      </c>
      <c r="J48" s="47" t="s">
        <v>432</v>
      </c>
    </row>
    <row r="50" spans="1:25" x14ac:dyDescent="0.2">
      <c r="A50" s="47" t="s">
        <v>449</v>
      </c>
      <c r="B50" s="51">
        <v>15</v>
      </c>
      <c r="C50" s="51">
        <v>125711</v>
      </c>
      <c r="D50" s="48" t="s">
        <v>317</v>
      </c>
    </row>
    <row r="52" spans="1:25" x14ac:dyDescent="0.2">
      <c r="A52" s="47" t="s">
        <v>453</v>
      </c>
      <c r="B52" s="51" t="s">
        <v>454</v>
      </c>
      <c r="C52" s="51">
        <v>124109</v>
      </c>
      <c r="D52" s="48" t="s">
        <v>455</v>
      </c>
    </row>
    <row r="53" spans="1:25" x14ac:dyDescent="0.2">
      <c r="A53" s="47" t="s">
        <v>453</v>
      </c>
      <c r="B53" s="51" t="s">
        <v>456</v>
      </c>
      <c r="C53" s="51">
        <v>77753</v>
      </c>
      <c r="D53" s="48" t="s">
        <v>317</v>
      </c>
    </row>
    <row r="55" spans="1:25" x14ac:dyDescent="0.2">
      <c r="A55" s="47" t="s">
        <v>567</v>
      </c>
      <c r="B55" s="267" t="s">
        <v>568</v>
      </c>
      <c r="C55" s="51">
        <v>220796</v>
      </c>
      <c r="D55" s="48" t="s">
        <v>317</v>
      </c>
      <c r="F55" s="47" t="s">
        <v>532</v>
      </c>
      <c r="J55" s="47" t="s">
        <v>569</v>
      </c>
    </row>
    <row r="58" spans="1:25" x14ac:dyDescent="0.2">
      <c r="A58" s="16" t="s">
        <v>523</v>
      </c>
      <c r="B58" s="18" t="s">
        <v>22</v>
      </c>
      <c r="C58" s="18" t="s">
        <v>22</v>
      </c>
      <c r="D58" s="19" t="s">
        <v>532</v>
      </c>
      <c r="E58" s="19" t="s">
        <v>532</v>
      </c>
      <c r="F58" s="16" t="s">
        <v>533</v>
      </c>
      <c r="G58" s="16" t="s">
        <v>533</v>
      </c>
      <c r="H58" s="18" t="s">
        <v>317</v>
      </c>
      <c r="I58" s="24">
        <v>0</v>
      </c>
      <c r="J58" s="20">
        <v>0</v>
      </c>
      <c r="K58" s="20">
        <v>2.2000000000000001E-3</v>
      </c>
      <c r="L58" s="20">
        <v>7.1999999999999998E-3</v>
      </c>
      <c r="M58" s="20">
        <v>1.3100000000000001E-2</v>
      </c>
      <c r="N58" s="234">
        <v>0</v>
      </c>
      <c r="O58" s="20">
        <f>SUM(I58:M58)</f>
        <v>2.2499999999999999E-2</v>
      </c>
      <c r="P58" s="232" t="s">
        <v>534</v>
      </c>
      <c r="Q58" s="232" t="s">
        <v>534</v>
      </c>
      <c r="R58" s="18">
        <v>0</v>
      </c>
      <c r="S58" s="16" t="s">
        <v>535</v>
      </c>
      <c r="T58" s="25">
        <f>I58*I$1*R58</f>
        <v>0</v>
      </c>
      <c r="U58" s="25"/>
      <c r="V58" s="252"/>
      <c r="W58" s="252">
        <v>145336</v>
      </c>
      <c r="X58" s="112"/>
      <c r="Y58" s="112"/>
    </row>
    <row r="60" spans="1:25" x14ac:dyDescent="0.2">
      <c r="A60" s="47" t="s">
        <v>752</v>
      </c>
      <c r="B60" s="51" t="s">
        <v>753</v>
      </c>
      <c r="C60" s="51">
        <v>220903</v>
      </c>
    </row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O166"/>
  <sheetViews>
    <sheetView topLeftCell="A16" workbookViewId="0">
      <selection activeCell="I39" sqref="I39"/>
    </sheetView>
  </sheetViews>
  <sheetFormatPr defaultRowHeight="12.75" x14ac:dyDescent="0.2"/>
  <cols>
    <col min="3" max="3" width="11.42578125" bestFit="1" customWidth="1"/>
    <col min="12" max="14" width="9.140625" style="105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x14ac:dyDescent="0.2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x14ac:dyDescent="0.2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x14ac:dyDescent="0.2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2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2">
      <c r="A9" s="1"/>
      <c r="B9" s="1" t="s">
        <v>0</v>
      </c>
      <c r="C9" s="1"/>
      <c r="D9" s="1"/>
      <c r="E9" s="1"/>
      <c r="F9" s="1"/>
      <c r="G9" s="1"/>
      <c r="H9" s="1"/>
      <c r="I9" s="1"/>
      <c r="J9" s="1"/>
    </row>
    <row r="10" spans="1:10" x14ac:dyDescent="0.2">
      <c r="A10" s="1"/>
      <c r="B10" s="1"/>
      <c r="C10" s="1"/>
      <c r="D10" s="1"/>
      <c r="E10" s="1" t="s">
        <v>262</v>
      </c>
      <c r="F10" s="1" t="s">
        <v>1</v>
      </c>
      <c r="G10" s="1"/>
      <c r="H10" s="1" t="s">
        <v>1</v>
      </c>
      <c r="I10" s="1"/>
      <c r="J10" s="1"/>
    </row>
    <row r="11" spans="1:10" x14ac:dyDescent="0.2">
      <c r="A11" s="1"/>
      <c r="B11" s="2" t="s">
        <v>2</v>
      </c>
      <c r="C11" s="2" t="s">
        <v>3</v>
      </c>
      <c r="D11" s="2" t="s">
        <v>4</v>
      </c>
      <c r="E11" s="2" t="s">
        <v>5</v>
      </c>
      <c r="F11" s="2" t="s">
        <v>6</v>
      </c>
      <c r="G11" s="2" t="s">
        <v>7</v>
      </c>
      <c r="H11" s="2" t="s">
        <v>7</v>
      </c>
      <c r="I11" s="2" t="s">
        <v>8</v>
      </c>
      <c r="J11" s="1"/>
    </row>
    <row r="12" spans="1:10" x14ac:dyDescent="0.2">
      <c r="A12" s="1"/>
      <c r="B12" s="3" t="s">
        <v>9</v>
      </c>
      <c r="C12" s="4">
        <v>5000</v>
      </c>
      <c r="D12" s="5">
        <f>+C12/C17</f>
        <v>0.33333333333333331</v>
      </c>
      <c r="E12" s="5">
        <f>+'Offseason Rate'!E42</f>
        <v>0.66177202334193652</v>
      </c>
      <c r="F12" s="5">
        <f>+D12*E12</f>
        <v>0.22059067444731217</v>
      </c>
      <c r="G12" s="5">
        <v>-8.2500000000000004E-2</v>
      </c>
      <c r="H12" s="5">
        <f>+G12*D12</f>
        <v>-2.75E-2</v>
      </c>
      <c r="I12" s="5">
        <f>+F12+H12</f>
        <v>0.19309067444731218</v>
      </c>
      <c r="J12" s="1"/>
    </row>
    <row r="13" spans="1:10" x14ac:dyDescent="0.2">
      <c r="A13" s="1"/>
      <c r="B13" s="3" t="s">
        <v>10</v>
      </c>
      <c r="C13" s="4">
        <v>5000</v>
      </c>
      <c r="D13" s="5">
        <f>+C13/C17</f>
        <v>0.33333333333333331</v>
      </c>
      <c r="E13" s="5">
        <f>+'Offseason Rate'!E67</f>
        <v>0.59754958448753492</v>
      </c>
      <c r="F13" s="5">
        <f>+D13*E13</f>
        <v>0.19918319482917829</v>
      </c>
      <c r="G13" s="5">
        <v>-5.7500000000000002E-2</v>
      </c>
      <c r="H13" s="5">
        <f>+G13*D13</f>
        <v>-1.9166666666666665E-2</v>
      </c>
      <c r="I13" s="5">
        <f>+F13+H13</f>
        <v>0.18001652816251162</v>
      </c>
      <c r="J13" s="1"/>
    </row>
    <row r="14" spans="1:10" x14ac:dyDescent="0.2">
      <c r="A14" s="1"/>
      <c r="B14" s="3" t="s">
        <v>11</v>
      </c>
      <c r="C14" s="4">
        <v>5000</v>
      </c>
      <c r="D14" s="5">
        <f>+C14/C17</f>
        <v>0.33333333333333331</v>
      </c>
      <c r="E14" s="5">
        <f>+'Offseason Rate'!E107</f>
        <v>0.57078554429263983</v>
      </c>
      <c r="F14" s="5">
        <f>+D14*E14</f>
        <v>0.19026184809754659</v>
      </c>
      <c r="G14" s="5">
        <v>-4.4999999999999998E-2</v>
      </c>
      <c r="H14" s="5">
        <f>+G14*D14</f>
        <v>-1.4999999999999999E-2</v>
      </c>
      <c r="I14" s="5">
        <f>+F14+H14</f>
        <v>0.17526184809754658</v>
      </c>
      <c r="J14" s="1"/>
    </row>
    <row r="15" spans="1:10" x14ac:dyDescent="0.2">
      <c r="A15" s="1"/>
      <c r="B15" s="3" t="s">
        <v>12</v>
      </c>
      <c r="C15" s="4">
        <v>0</v>
      </c>
      <c r="D15" s="5">
        <f>+C15/C17</f>
        <v>0</v>
      </c>
      <c r="E15" s="5">
        <f>+'Offseason Rate'!E122</f>
        <v>0.27592398543741326</v>
      </c>
      <c r="F15" s="5">
        <f>+D15*E15</f>
        <v>0</v>
      </c>
      <c r="G15" s="5">
        <v>0</v>
      </c>
      <c r="H15" s="5">
        <f>+G15*D15</f>
        <v>0</v>
      </c>
      <c r="I15" s="5">
        <f>+F15+H15</f>
        <v>0</v>
      </c>
      <c r="J15" s="1"/>
    </row>
    <row r="16" spans="1:10" x14ac:dyDescent="0.2">
      <c r="A16" s="1"/>
      <c r="B16" s="3" t="s">
        <v>13</v>
      </c>
      <c r="C16" s="6">
        <v>0</v>
      </c>
      <c r="D16" s="7">
        <f>+C16/C17</f>
        <v>0</v>
      </c>
      <c r="E16" s="5">
        <f>+'Offseason Rate'!E107</f>
        <v>0.57078554429263983</v>
      </c>
      <c r="F16" s="7">
        <f>+D16*E16</f>
        <v>0</v>
      </c>
      <c r="G16" s="5">
        <v>0</v>
      </c>
      <c r="H16" s="5">
        <f>+G16*D16</f>
        <v>0</v>
      </c>
      <c r="I16" s="7">
        <f>+F16+H16</f>
        <v>0</v>
      </c>
      <c r="J16" s="1"/>
    </row>
    <row r="17" spans="1:10" x14ac:dyDescent="0.2">
      <c r="A17" s="1"/>
      <c r="B17" s="1"/>
      <c r="C17" s="4">
        <f>SUM(C12:C16)</f>
        <v>15000</v>
      </c>
      <c r="D17" s="5">
        <f>SUM(D12:D16)</f>
        <v>1</v>
      </c>
      <c r="E17" s="1"/>
      <c r="F17" s="5">
        <f>SUM(F12:F16)</f>
        <v>0.61003571737403706</v>
      </c>
      <c r="G17" s="1"/>
      <c r="H17" s="1"/>
      <c r="I17" s="8">
        <f>SUM(I12:I16)</f>
        <v>0.54836905070737041</v>
      </c>
      <c r="J17" s="1"/>
    </row>
    <row r="18" spans="1:10" x14ac:dyDescent="0.2">
      <c r="A18" s="1"/>
      <c r="B18" s="1"/>
      <c r="C18" s="1"/>
      <c r="D18" s="1"/>
      <c r="E18" s="1"/>
      <c r="F18" s="1"/>
      <c r="G18" s="1"/>
      <c r="H18" s="1" t="s">
        <v>14</v>
      </c>
      <c r="I18" s="9">
        <v>0.215</v>
      </c>
      <c r="J18" s="1"/>
    </row>
    <row r="19" spans="1:10" ht="13.5" thickBot="1" x14ac:dyDescent="0.25">
      <c r="A19" s="1"/>
      <c r="B19" s="1"/>
      <c r="C19" s="1"/>
      <c r="D19" s="1"/>
      <c r="E19" s="1"/>
      <c r="F19" s="1"/>
      <c r="G19" s="1"/>
      <c r="H19" s="10" t="s">
        <v>15</v>
      </c>
      <c r="I19" s="11">
        <f>+I18-I17</f>
        <v>-0.33336905070737044</v>
      </c>
      <c r="J19" s="1"/>
    </row>
    <row r="20" spans="1:10" ht="13.5" thickTop="1" x14ac:dyDescent="0.2">
      <c r="A20" s="1"/>
      <c r="B20" s="1"/>
      <c r="C20" s="1"/>
      <c r="D20" s="1"/>
      <c r="E20" s="1"/>
      <c r="F20" s="1"/>
      <c r="G20" s="1"/>
      <c r="H20" s="1"/>
      <c r="I20" s="5"/>
      <c r="J20" s="1"/>
    </row>
    <row r="21" spans="1:10" x14ac:dyDescent="0.2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2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2">
      <c r="A23" s="1"/>
      <c r="B23" s="1"/>
      <c r="C23" s="1"/>
      <c r="D23" s="1"/>
      <c r="E23" s="1"/>
      <c r="F23" s="1" t="s">
        <v>1</v>
      </c>
      <c r="G23" s="1"/>
      <c r="H23" s="1" t="s">
        <v>1</v>
      </c>
      <c r="I23" s="1"/>
      <c r="J23" s="1"/>
    </row>
    <row r="24" spans="1:10" x14ac:dyDescent="0.2">
      <c r="A24" s="1"/>
      <c r="B24" s="2" t="s">
        <v>2</v>
      </c>
      <c r="C24" s="2" t="s">
        <v>3</v>
      </c>
      <c r="D24" s="2" t="s">
        <v>4</v>
      </c>
      <c r="E24" s="2" t="s">
        <v>5</v>
      </c>
      <c r="F24" s="2" t="s">
        <v>6</v>
      </c>
      <c r="G24" s="2" t="s">
        <v>7</v>
      </c>
      <c r="H24" s="2" t="s">
        <v>7</v>
      </c>
      <c r="I24" s="2" t="s">
        <v>8</v>
      </c>
      <c r="J24" s="1"/>
    </row>
    <row r="25" spans="1:10" x14ac:dyDescent="0.2">
      <c r="A25" s="1"/>
      <c r="B25" s="3" t="s">
        <v>16</v>
      </c>
      <c r="C25" s="4">
        <v>0</v>
      </c>
      <c r="D25" s="5">
        <f>+C25/C30</f>
        <v>0</v>
      </c>
      <c r="E25" s="5" t="e">
        <f>+#REF!</f>
        <v>#REF!</v>
      </c>
      <c r="F25" s="5" t="e">
        <f>+D25*E25</f>
        <v>#REF!</v>
      </c>
      <c r="G25" s="5">
        <v>-7.0000000000000007E-2</v>
      </c>
      <c r="H25" s="5">
        <f>+G25*D25</f>
        <v>0</v>
      </c>
      <c r="I25" s="5" t="e">
        <f>+F25+H25</f>
        <v>#REF!</v>
      </c>
      <c r="J25" s="1"/>
    </row>
    <row r="26" spans="1:10" x14ac:dyDescent="0.2">
      <c r="A26" s="1"/>
      <c r="B26" s="3" t="s">
        <v>17</v>
      </c>
      <c r="C26" s="4">
        <v>0</v>
      </c>
      <c r="D26" s="5">
        <f>+C26/C30</f>
        <v>0</v>
      </c>
      <c r="E26" s="5" t="e">
        <f>+#REF!</f>
        <v>#REF!</v>
      </c>
      <c r="F26" s="5" t="e">
        <f>+D26*E26</f>
        <v>#REF!</v>
      </c>
      <c r="G26" s="5">
        <v>-0.05</v>
      </c>
      <c r="H26" s="5">
        <f>+G26*D26</f>
        <v>0</v>
      </c>
      <c r="I26" s="5" t="e">
        <f>+F26+H26</f>
        <v>#REF!</v>
      </c>
      <c r="J26" s="1"/>
    </row>
    <row r="27" spans="1:10" x14ac:dyDescent="0.2">
      <c r="A27" s="1"/>
      <c r="B27" s="3" t="s">
        <v>18</v>
      </c>
      <c r="C27" s="4">
        <v>5000</v>
      </c>
      <c r="D27" s="5">
        <f>+C27/C30</f>
        <v>1</v>
      </c>
      <c r="E27" s="5" t="e">
        <f>+#REF!</f>
        <v>#REF!</v>
      </c>
      <c r="F27" s="5" t="e">
        <f>+D27*E27</f>
        <v>#REF!</v>
      </c>
      <c r="G27" s="5">
        <v>-3.5000000000000003E-2</v>
      </c>
      <c r="H27" s="5">
        <f>+G27*D27</f>
        <v>-3.5000000000000003E-2</v>
      </c>
      <c r="I27" s="5" t="e">
        <f>+F27+H27</f>
        <v>#REF!</v>
      </c>
      <c r="J27" s="1"/>
    </row>
    <row r="28" spans="1:10" x14ac:dyDescent="0.2">
      <c r="A28" s="1"/>
      <c r="B28" s="3" t="s">
        <v>19</v>
      </c>
      <c r="C28" s="4">
        <v>0</v>
      </c>
      <c r="D28" s="5">
        <f>+C28/C30</f>
        <v>0</v>
      </c>
      <c r="E28" s="5">
        <v>0</v>
      </c>
      <c r="F28" s="5">
        <f>+D28*E28</f>
        <v>0</v>
      </c>
      <c r="G28" s="5">
        <v>-0.01</v>
      </c>
      <c r="H28" s="5">
        <f>+G28*D28</f>
        <v>0</v>
      </c>
      <c r="I28" s="5">
        <f>+F28+H28</f>
        <v>0</v>
      </c>
      <c r="J28" s="1"/>
    </row>
    <row r="29" spans="1:10" x14ac:dyDescent="0.2">
      <c r="A29" s="1"/>
      <c r="B29" s="3" t="s">
        <v>20</v>
      </c>
      <c r="C29" s="6">
        <v>0</v>
      </c>
      <c r="D29" s="7">
        <f>+C29/C30</f>
        <v>0</v>
      </c>
      <c r="E29" s="5" t="e">
        <f>+#REF!</f>
        <v>#REF!</v>
      </c>
      <c r="F29" s="7" t="e">
        <f>+D29*E29</f>
        <v>#REF!</v>
      </c>
      <c r="G29" s="5">
        <v>-7.2499999999999995E-2</v>
      </c>
      <c r="H29" s="5">
        <f>+G29*D29</f>
        <v>0</v>
      </c>
      <c r="I29" s="7" t="e">
        <f>+F29+H29</f>
        <v>#REF!</v>
      </c>
      <c r="J29" s="1"/>
    </row>
    <row r="30" spans="1:10" x14ac:dyDescent="0.2">
      <c r="A30" s="1"/>
      <c r="B30" s="1"/>
      <c r="C30" s="4">
        <f>SUM(C25:C29)</f>
        <v>5000</v>
      </c>
      <c r="D30" s="5">
        <f>SUM(D25:D29)</f>
        <v>1</v>
      </c>
      <c r="E30" s="1"/>
      <c r="F30" s="5" t="e">
        <f>SUM(F25:F29)</f>
        <v>#REF!</v>
      </c>
      <c r="G30" s="1"/>
      <c r="H30" s="1"/>
      <c r="I30" s="8" t="e">
        <f>SUM(I25:I29)</f>
        <v>#REF!</v>
      </c>
      <c r="J30" s="1"/>
    </row>
    <row r="31" spans="1:10" x14ac:dyDescent="0.2">
      <c r="A31" s="1"/>
      <c r="B31" s="1"/>
      <c r="C31" s="1"/>
      <c r="D31" s="1"/>
      <c r="E31" s="1"/>
      <c r="F31" s="1"/>
      <c r="G31" s="1"/>
      <c r="H31" s="12" t="s">
        <v>21</v>
      </c>
      <c r="I31" s="9">
        <v>0.1525</v>
      </c>
      <c r="J31" s="1"/>
    </row>
    <row r="32" spans="1:10" ht="13.5" thickBot="1" x14ac:dyDescent="0.25">
      <c r="A32" s="1"/>
      <c r="B32" s="1"/>
      <c r="C32" s="1"/>
      <c r="D32" s="1"/>
      <c r="E32" s="1"/>
      <c r="F32" s="1"/>
      <c r="G32" s="1"/>
      <c r="H32" s="10" t="s">
        <v>15</v>
      </c>
      <c r="I32" s="13" t="e">
        <f>+I31-I30</f>
        <v>#REF!</v>
      </c>
      <c r="J32" s="1"/>
    </row>
    <row r="33" spans="1:11" ht="13.5" thickTop="1" x14ac:dyDescent="0.2">
      <c r="A33" s="1"/>
      <c r="B33" s="1"/>
      <c r="C33" s="1"/>
      <c r="D33" s="1"/>
      <c r="E33" s="1"/>
      <c r="F33" s="1"/>
      <c r="G33" s="1"/>
      <c r="H33" s="1"/>
      <c r="I33" s="5"/>
      <c r="J33" s="1"/>
    </row>
    <row r="34" spans="1:11" x14ac:dyDescent="0.2">
      <c r="A34" s="1"/>
      <c r="B34" s="10" t="s">
        <v>22</v>
      </c>
      <c r="C34" s="1"/>
      <c r="D34" s="1"/>
      <c r="E34" s="1"/>
      <c r="F34" s="1" t="s">
        <v>1</v>
      </c>
      <c r="G34" s="1"/>
      <c r="H34" s="1" t="s">
        <v>1</v>
      </c>
      <c r="I34" s="1"/>
      <c r="J34" s="1"/>
    </row>
    <row r="35" spans="1:11" x14ac:dyDescent="0.2">
      <c r="A35" s="1"/>
      <c r="B35" s="2" t="s">
        <v>2</v>
      </c>
      <c r="C35" s="2" t="s">
        <v>3</v>
      </c>
      <c r="D35" s="2" t="s">
        <v>4</v>
      </c>
      <c r="E35" s="2" t="s">
        <v>5</v>
      </c>
      <c r="F35" s="2" t="s">
        <v>6</v>
      </c>
      <c r="G35" s="2" t="s">
        <v>7</v>
      </c>
      <c r="H35" s="2" t="s">
        <v>7</v>
      </c>
      <c r="I35" s="2" t="s">
        <v>8</v>
      </c>
      <c r="J35" s="1"/>
    </row>
    <row r="36" spans="1:11" x14ac:dyDescent="0.2">
      <c r="A36" s="1"/>
      <c r="B36" s="1" t="s">
        <v>23</v>
      </c>
      <c r="C36" s="4">
        <v>17</v>
      </c>
      <c r="D36" s="5">
        <f>+C36/C39</f>
        <v>0.17</v>
      </c>
      <c r="E36" s="5">
        <f>+Rates!B42</f>
        <v>0.38543953636074996</v>
      </c>
      <c r="F36" s="5">
        <f>+D36*E36</f>
        <v>6.5524721181327503E-2</v>
      </c>
      <c r="G36" s="5">
        <v>-6.5000000000000002E-2</v>
      </c>
      <c r="H36" s="5">
        <f>+G36*D36</f>
        <v>-1.1050000000000001E-2</v>
      </c>
      <c r="I36" s="5">
        <f>+F36+H36</f>
        <v>5.4474721181327498E-2</v>
      </c>
      <c r="J36" s="1"/>
    </row>
    <row r="37" spans="1:11" x14ac:dyDescent="0.2">
      <c r="A37" s="1"/>
      <c r="B37" s="1" t="s">
        <v>24</v>
      </c>
      <c r="C37" s="4">
        <v>25</v>
      </c>
      <c r="D37" s="5">
        <f>+C37/C39</f>
        <v>0.25</v>
      </c>
      <c r="E37" s="5">
        <f>+Rates!B67</f>
        <v>0.36302149335583184</v>
      </c>
      <c r="F37" s="5">
        <f>+D37*E37</f>
        <v>9.0755373338957959E-2</v>
      </c>
      <c r="G37" s="5">
        <v>-0.04</v>
      </c>
      <c r="H37" s="5">
        <f>+G37*D37</f>
        <v>-0.01</v>
      </c>
      <c r="I37" s="5">
        <f>+F37+H37</f>
        <v>8.0755373338957964E-2</v>
      </c>
      <c r="J37" s="1"/>
    </row>
    <row r="38" spans="1:11" x14ac:dyDescent="0.2">
      <c r="A38" s="1"/>
      <c r="B38" s="1" t="s">
        <v>25</v>
      </c>
      <c r="C38" s="6">
        <v>58</v>
      </c>
      <c r="D38" s="7">
        <f>+C38/C39</f>
        <v>0.57999999999999996</v>
      </c>
      <c r="E38" s="5">
        <f>+Rates!B87</f>
        <v>0.33981385390428231</v>
      </c>
      <c r="F38" s="7">
        <f>+D38*E38</f>
        <v>0.19709203526448374</v>
      </c>
      <c r="G38" s="5">
        <v>1.4999999999999999E-2</v>
      </c>
      <c r="H38" s="5">
        <f>+G38*D38</f>
        <v>8.6999999999999994E-3</v>
      </c>
      <c r="I38" s="5">
        <f>+F38+H38</f>
        <v>0.20579203526448375</v>
      </c>
      <c r="J38" s="1"/>
    </row>
    <row r="39" spans="1:11" x14ac:dyDescent="0.2">
      <c r="A39" s="1"/>
      <c r="B39" s="1"/>
      <c r="C39" s="4">
        <f>SUM(C36:C38)</f>
        <v>100</v>
      </c>
      <c r="D39" s="5">
        <f>SUM(D36:D38)</f>
        <v>1</v>
      </c>
      <c r="E39" s="1"/>
      <c r="F39" s="5">
        <f>SUM(F36:F38)</f>
        <v>0.35337212978476917</v>
      </c>
      <c r="G39" s="1"/>
      <c r="H39" s="5">
        <f>SUM(H36:H38)</f>
        <v>-1.235E-2</v>
      </c>
      <c r="I39" s="8">
        <f>SUM(I36:I38)</f>
        <v>0.3410221297847692</v>
      </c>
      <c r="J39" s="1"/>
    </row>
    <row r="40" spans="1:11" x14ac:dyDescent="0.2">
      <c r="A40" s="1"/>
      <c r="B40" s="1"/>
      <c r="C40" s="1"/>
      <c r="D40" s="1"/>
      <c r="E40" s="1"/>
      <c r="F40" s="1"/>
      <c r="G40" s="1"/>
      <c r="H40" s="1" t="s">
        <v>26</v>
      </c>
      <c r="I40" s="9">
        <v>0.75749999999999995</v>
      </c>
      <c r="J40" s="1"/>
    </row>
    <row r="41" spans="1:11" ht="13.5" thickBot="1" x14ac:dyDescent="0.25">
      <c r="A41" s="1"/>
      <c r="B41" s="1"/>
      <c r="C41" s="1"/>
      <c r="D41" s="1"/>
      <c r="E41" s="1"/>
      <c r="F41" s="1"/>
      <c r="G41" s="1"/>
      <c r="H41" s="10" t="s">
        <v>15</v>
      </c>
      <c r="I41" s="11">
        <f>+I40-I39</f>
        <v>0.41647787021523075</v>
      </c>
      <c r="J41" s="1"/>
      <c r="K41" s="43"/>
    </row>
    <row r="42" spans="1:11" ht="13.5" thickTop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43"/>
    </row>
    <row r="43" spans="1:1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44"/>
    </row>
    <row r="44" spans="1:11" x14ac:dyDescent="0.2">
      <c r="A44" s="1"/>
      <c r="B44" s="10" t="s">
        <v>27</v>
      </c>
      <c r="C44" s="1" t="s">
        <v>28</v>
      </c>
      <c r="D44" s="1" t="s">
        <v>29</v>
      </c>
      <c r="E44" s="1" t="s">
        <v>30</v>
      </c>
      <c r="F44" s="1" t="s">
        <v>31</v>
      </c>
      <c r="G44" s="1" t="s">
        <v>32</v>
      </c>
      <c r="H44" s="1" t="s">
        <v>33</v>
      </c>
      <c r="I44" s="10" t="s">
        <v>15</v>
      </c>
      <c r="J44" s="1"/>
    </row>
    <row r="45" spans="1:11" x14ac:dyDescent="0.2">
      <c r="A45" s="1"/>
      <c r="B45" s="1" t="s">
        <v>34</v>
      </c>
      <c r="C45" s="9" t="e">
        <f>+Rates!#REF!</f>
        <v>#REF!</v>
      </c>
      <c r="D45" s="9" t="e">
        <f>+Rates!#REF!</f>
        <v>#REF!</v>
      </c>
      <c r="E45" s="9" t="e">
        <f>+D45+C45</f>
        <v>#REF!</v>
      </c>
      <c r="F45" s="9">
        <v>0</v>
      </c>
      <c r="G45" s="9">
        <v>-2.2499999999999999E-2</v>
      </c>
      <c r="H45" s="9">
        <v>0.13250000000000001</v>
      </c>
      <c r="I45" s="9" t="e">
        <f>+H45-G45-F45-E45</f>
        <v>#REF!</v>
      </c>
      <c r="J45" s="1"/>
    </row>
    <row r="46" spans="1:11" x14ac:dyDescent="0.2">
      <c r="A46" s="1"/>
      <c r="B46" s="1" t="s">
        <v>35</v>
      </c>
      <c r="C46" s="9" t="e">
        <f>+Rates!#REF!</f>
        <v>#REF!</v>
      </c>
      <c r="D46" s="9" t="e">
        <f>+Rates!#REF!</f>
        <v>#REF!</v>
      </c>
      <c r="E46" s="9" t="e">
        <f>+D46+C46</f>
        <v>#REF!</v>
      </c>
      <c r="F46" s="9">
        <v>0</v>
      </c>
      <c r="G46" s="9">
        <v>-2.2499999999999999E-2</v>
      </c>
      <c r="H46" s="9">
        <v>0.13250000000000001</v>
      </c>
      <c r="I46" s="14" t="e">
        <f>+H46-G46-F46-E46</f>
        <v>#REF!</v>
      </c>
      <c r="J46" s="1"/>
    </row>
    <row r="47" spans="1:1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x14ac:dyDescent="0.2">
      <c r="A49" s="1"/>
      <c r="B49" s="10" t="s">
        <v>36</v>
      </c>
      <c r="C49" s="1" t="s">
        <v>37</v>
      </c>
      <c r="D49" s="1" t="s">
        <v>38</v>
      </c>
      <c r="E49" s="1" t="s">
        <v>31</v>
      </c>
      <c r="F49" s="1" t="s">
        <v>39</v>
      </c>
      <c r="H49" s="1"/>
      <c r="I49" s="10" t="s">
        <v>15</v>
      </c>
      <c r="J49" s="1"/>
    </row>
    <row r="50" spans="1:10" x14ac:dyDescent="0.2">
      <c r="A50" s="1"/>
      <c r="B50" s="1" t="s">
        <v>40</v>
      </c>
      <c r="C50" s="9" t="e">
        <f>+#REF!</f>
        <v>#REF!</v>
      </c>
      <c r="D50" s="15">
        <v>-7.2499999999999995E-2</v>
      </c>
      <c r="E50" s="9">
        <v>0</v>
      </c>
      <c r="F50" s="9">
        <v>0.2175</v>
      </c>
      <c r="H50" s="1"/>
      <c r="I50" s="14" t="e">
        <f>+F50-D50-E50-C50</f>
        <v>#REF!</v>
      </c>
      <c r="J50" s="1"/>
    </row>
    <row r="51" spans="1:10" x14ac:dyDescent="0.2">
      <c r="A51" s="1"/>
      <c r="B51" s="1" t="s">
        <v>41</v>
      </c>
      <c r="C51" s="9" t="e">
        <f>+#REF!</f>
        <v>#REF!</v>
      </c>
      <c r="D51" s="15">
        <v>-0.06</v>
      </c>
      <c r="E51" s="9">
        <v>0</v>
      </c>
      <c r="F51" s="9">
        <v>0.2175</v>
      </c>
      <c r="H51" s="1"/>
      <c r="I51" s="14" t="e">
        <f>+F51-D51-E51-C51</f>
        <v>#REF!</v>
      </c>
      <c r="J51" s="1"/>
    </row>
    <row r="52" spans="1:10" x14ac:dyDescent="0.2">
      <c r="A52" s="1"/>
      <c r="B52" s="1"/>
      <c r="C52" s="9"/>
      <c r="D52" s="15"/>
      <c r="E52" s="9"/>
      <c r="F52" s="9"/>
      <c r="H52" s="1"/>
      <c r="I52" s="14"/>
      <c r="J52" s="1"/>
    </row>
    <row r="53" spans="1:10" x14ac:dyDescent="0.2">
      <c r="A53" s="1"/>
      <c r="B53" s="1"/>
      <c r="C53" s="9"/>
      <c r="D53" s="15"/>
      <c r="E53" s="9"/>
      <c r="F53" s="9"/>
      <c r="H53" s="1"/>
      <c r="I53" s="14"/>
      <c r="J53" s="1"/>
    </row>
    <row r="54" spans="1:10" x14ac:dyDescent="0.2">
      <c r="A54" s="1"/>
      <c r="B54" s="1"/>
      <c r="C54" s="9"/>
      <c r="D54" s="15"/>
      <c r="E54" s="9"/>
      <c r="F54" s="9"/>
      <c r="H54" s="1"/>
      <c r="I54" s="14"/>
      <c r="J54" s="1"/>
    </row>
    <row r="55" spans="1:10" x14ac:dyDescent="0.2">
      <c r="A55" s="1"/>
      <c r="B55" s="1" t="s">
        <v>42</v>
      </c>
      <c r="C55" s="9" t="e">
        <f>+#REF!</f>
        <v>#REF!</v>
      </c>
      <c r="D55" s="15">
        <v>-7.2499999999999995E-2</v>
      </c>
      <c r="E55" s="9">
        <v>0</v>
      </c>
      <c r="F55" s="9">
        <v>0.2525</v>
      </c>
      <c r="H55" s="1"/>
      <c r="I55" s="14" t="e">
        <f>+F55-D55-E55-C55</f>
        <v>#REF!</v>
      </c>
      <c r="J55" s="1"/>
    </row>
    <row r="56" spans="1:10" x14ac:dyDescent="0.2">
      <c r="A56" s="1"/>
      <c r="B56" s="1" t="s">
        <v>43</v>
      </c>
      <c r="C56" s="9" t="e">
        <f>+#REF!</f>
        <v>#REF!</v>
      </c>
      <c r="D56" s="15">
        <v>-0.06</v>
      </c>
      <c r="E56" s="9">
        <v>0</v>
      </c>
      <c r="F56" s="9">
        <v>0.2525</v>
      </c>
      <c r="H56" s="1"/>
      <c r="I56" s="14" t="e">
        <f>+F56-D56-E56-C56</f>
        <v>#REF!</v>
      </c>
      <c r="J56" s="1"/>
    </row>
    <row r="57" spans="1:10" x14ac:dyDescent="0.2">
      <c r="A57" s="1" t="s">
        <v>44</v>
      </c>
      <c r="B57" s="1" t="s">
        <v>43</v>
      </c>
      <c r="C57" s="9" t="e">
        <f>+#REF!</f>
        <v>#REF!</v>
      </c>
      <c r="D57" s="15">
        <v>-0.05</v>
      </c>
      <c r="E57" s="9">
        <v>2.1000000000000001E-2</v>
      </c>
      <c r="F57" s="9">
        <v>0</v>
      </c>
      <c r="H57" s="1"/>
      <c r="I57" s="14" t="e">
        <f>+F57-D57-E57-C57</f>
        <v>#REF!</v>
      </c>
      <c r="J57" s="1"/>
    </row>
    <row r="58" spans="1:10" x14ac:dyDescent="0.2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 x14ac:dyDescent="0.2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 x14ac:dyDescent="0.2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 x14ac:dyDescent="0.2">
      <c r="A61" s="1"/>
      <c r="B61" s="10" t="s">
        <v>36</v>
      </c>
      <c r="C61" s="1" t="s">
        <v>37</v>
      </c>
      <c r="D61" s="1" t="s">
        <v>38</v>
      </c>
      <c r="E61" s="1" t="s">
        <v>31</v>
      </c>
      <c r="F61" s="1" t="s">
        <v>39</v>
      </c>
      <c r="H61" s="1"/>
      <c r="I61" s="10" t="s">
        <v>15</v>
      </c>
      <c r="J61" s="1"/>
    </row>
    <row r="62" spans="1:10" x14ac:dyDescent="0.2">
      <c r="A62" s="1"/>
      <c r="B62" s="1" t="s">
        <v>40</v>
      </c>
      <c r="C62" s="9">
        <f>+Rates!H32</f>
        <v>0.46015937101572424</v>
      </c>
      <c r="D62" s="15">
        <v>-7.2499999999999995E-2</v>
      </c>
      <c r="E62" s="9">
        <v>0</v>
      </c>
      <c r="F62" s="9">
        <v>0.2175</v>
      </c>
      <c r="H62" s="1"/>
      <c r="I62" s="14">
        <f>+F62-D62-E62-C62</f>
        <v>-0.17015937101572426</v>
      </c>
      <c r="J62" s="1"/>
    </row>
    <row r="63" spans="1:10" x14ac:dyDescent="0.2">
      <c r="A63" s="1"/>
      <c r="B63" s="1" t="s">
        <v>41</v>
      </c>
      <c r="C63" s="9">
        <f>+Rates!H67</f>
        <v>0.39605879381117781</v>
      </c>
      <c r="D63" s="15">
        <v>-0.06</v>
      </c>
      <c r="E63" s="9">
        <v>0</v>
      </c>
      <c r="F63" s="9">
        <v>0.2175</v>
      </c>
      <c r="H63" s="1"/>
      <c r="I63" s="14">
        <f>+F63-D63-E63-C63</f>
        <v>-0.11855879381117784</v>
      </c>
      <c r="J63" s="1"/>
    </row>
    <row r="64" spans="1:10" x14ac:dyDescent="0.2">
      <c r="A64" s="1"/>
      <c r="B64" s="1" t="s">
        <v>42</v>
      </c>
      <c r="C64" s="9">
        <f>+Rates!H37</f>
        <v>0.54095869541894581</v>
      </c>
      <c r="D64" s="15">
        <v>-7.2499999999999995E-2</v>
      </c>
      <c r="E64" s="9">
        <v>0</v>
      </c>
      <c r="F64" s="9">
        <v>0.2525</v>
      </c>
      <c r="H64" s="1"/>
      <c r="I64" s="14">
        <f>+F64-D64-E64-C64</f>
        <v>-0.2159586954189458</v>
      </c>
      <c r="J64" s="1"/>
    </row>
    <row r="65" spans="1:10" x14ac:dyDescent="0.2">
      <c r="A65" s="1"/>
      <c r="B65" s="1" t="s">
        <v>43</v>
      </c>
      <c r="C65" s="9">
        <f>+Rates!H72</f>
        <v>0.47645015940488844</v>
      </c>
      <c r="D65" s="15">
        <v>-0.06</v>
      </c>
      <c r="E65" s="9">
        <v>0</v>
      </c>
      <c r="F65" s="9">
        <v>0.2525</v>
      </c>
      <c r="H65" s="1"/>
      <c r="I65" s="14">
        <f>+F65-D65-E65-C65</f>
        <v>-0.16395015940488844</v>
      </c>
      <c r="J65" s="1"/>
    </row>
    <row r="66" spans="1:10" x14ac:dyDescent="0.2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 x14ac:dyDescent="0.2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 x14ac:dyDescent="0.2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 x14ac:dyDescent="0.2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 x14ac:dyDescent="0.2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 x14ac:dyDescent="0.2">
      <c r="A71" s="1"/>
      <c r="B71" s="1" t="s">
        <v>0</v>
      </c>
      <c r="C71" s="1"/>
      <c r="D71" s="1"/>
      <c r="E71" s="1"/>
      <c r="F71" s="1"/>
      <c r="G71" s="1"/>
      <c r="H71" s="1"/>
      <c r="I71" s="1"/>
      <c r="J71" s="1"/>
    </row>
    <row r="72" spans="1:10" x14ac:dyDescent="0.2">
      <c r="A72" s="1"/>
      <c r="B72" s="1"/>
      <c r="C72" s="1"/>
      <c r="D72" s="1"/>
      <c r="E72" s="1"/>
      <c r="F72" s="1" t="s">
        <v>1</v>
      </c>
      <c r="G72" s="1"/>
      <c r="H72" s="1" t="s">
        <v>1</v>
      </c>
      <c r="I72" s="1"/>
      <c r="J72" s="1"/>
    </row>
    <row r="73" spans="1:10" x14ac:dyDescent="0.2">
      <c r="A73" s="1"/>
      <c r="B73" s="2" t="s">
        <v>2</v>
      </c>
      <c r="C73" s="2" t="s">
        <v>3</v>
      </c>
      <c r="D73" s="2" t="s">
        <v>4</v>
      </c>
      <c r="E73" s="2" t="s">
        <v>5</v>
      </c>
      <c r="F73" s="2" t="s">
        <v>6</v>
      </c>
      <c r="G73" s="2" t="s">
        <v>7</v>
      </c>
      <c r="H73" s="2" t="s">
        <v>7</v>
      </c>
      <c r="I73" s="2" t="s">
        <v>8</v>
      </c>
      <c r="J73" s="1"/>
    </row>
    <row r="74" spans="1:10" x14ac:dyDescent="0.2">
      <c r="A74" s="1"/>
      <c r="B74" s="3" t="s">
        <v>45</v>
      </c>
      <c r="C74" s="4">
        <v>5000</v>
      </c>
      <c r="D74" s="5">
        <f>+C74/C74</f>
        <v>1</v>
      </c>
      <c r="E74" s="5" t="e">
        <f>+#REF!</f>
        <v>#REF!</v>
      </c>
      <c r="F74" s="5" t="e">
        <f>+D74*E74</f>
        <v>#REF!</v>
      </c>
      <c r="G74" s="5">
        <v>-0.23</v>
      </c>
      <c r="H74" s="5">
        <f>+G74*D74</f>
        <v>-0.23</v>
      </c>
      <c r="I74" s="5" t="e">
        <f>+F74+H74</f>
        <v>#REF!</v>
      </c>
      <c r="J74" s="1"/>
    </row>
    <row r="75" spans="1:10" x14ac:dyDescent="0.2">
      <c r="A75" s="1"/>
      <c r="B75" s="3" t="s">
        <v>46</v>
      </c>
      <c r="C75" s="4" t="s">
        <v>47</v>
      </c>
      <c r="D75" s="5" t="s">
        <v>47</v>
      </c>
      <c r="E75" s="5" t="s">
        <v>47</v>
      </c>
      <c r="F75" s="5" t="s">
        <v>48</v>
      </c>
      <c r="G75" s="5" t="s">
        <v>47</v>
      </c>
      <c r="H75" s="5" t="s">
        <v>47</v>
      </c>
      <c r="I75" s="5">
        <v>-0.05</v>
      </c>
      <c r="J75" s="1"/>
    </row>
    <row r="76" spans="1:10" x14ac:dyDescent="0.2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 x14ac:dyDescent="0.2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 x14ac:dyDescent="0.2">
      <c r="A78" s="1"/>
      <c r="B78" s="3" t="s">
        <v>10</v>
      </c>
      <c r="C78" s="4">
        <v>0</v>
      </c>
      <c r="D78" s="5" t="e">
        <f>+C78/C82</f>
        <v>#DIV/0!</v>
      </c>
      <c r="E78" s="5" t="e">
        <f>+#REF!</f>
        <v>#REF!</v>
      </c>
      <c r="F78" s="5" t="e">
        <f>+D78*E78</f>
        <v>#DIV/0!</v>
      </c>
      <c r="G78" s="5">
        <v>-7.0000000000000007E-2</v>
      </c>
      <c r="H78" s="5" t="e">
        <f>+G78*D78</f>
        <v>#DIV/0!</v>
      </c>
      <c r="I78" s="5" t="e">
        <f>+F78+H78</f>
        <v>#DIV/0!</v>
      </c>
      <c r="J78" s="1"/>
    </row>
    <row r="79" spans="1:10" x14ac:dyDescent="0.2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 x14ac:dyDescent="0.2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 x14ac:dyDescent="0.2">
      <c r="A81" s="1"/>
      <c r="B81" s="1"/>
      <c r="C81" s="1"/>
      <c r="D81" s="1"/>
      <c r="E81" s="1"/>
      <c r="F81" s="1"/>
      <c r="G81" s="1"/>
      <c r="H81" s="1"/>
      <c r="I81" s="1"/>
      <c r="J81" s="1"/>
    </row>
    <row r="100" spans="1:15" x14ac:dyDescent="0.2">
      <c r="M100" s="105" t="s">
        <v>365</v>
      </c>
      <c r="N100" s="105" t="s">
        <v>367</v>
      </c>
    </row>
    <row r="101" spans="1:15" x14ac:dyDescent="0.2">
      <c r="B101" s="10" t="s">
        <v>36</v>
      </c>
      <c r="C101" s="2" t="s">
        <v>3</v>
      </c>
      <c r="D101" s="2" t="s">
        <v>4</v>
      </c>
      <c r="E101" s="1" t="s">
        <v>37</v>
      </c>
      <c r="F101" s="1" t="s">
        <v>38</v>
      </c>
      <c r="G101" s="1" t="s">
        <v>360</v>
      </c>
      <c r="H101" s="1" t="s">
        <v>359</v>
      </c>
      <c r="I101" s="1" t="s">
        <v>39</v>
      </c>
      <c r="J101" s="1"/>
      <c r="K101" s="10" t="s">
        <v>15</v>
      </c>
      <c r="L101" s="105" t="s">
        <v>364</v>
      </c>
      <c r="M101" s="105" t="s">
        <v>366</v>
      </c>
      <c r="N101" s="105" t="s">
        <v>368</v>
      </c>
    </row>
    <row r="102" spans="1:15" x14ac:dyDescent="0.2">
      <c r="B102" s="1" t="s">
        <v>40</v>
      </c>
      <c r="C102" s="4">
        <v>1163</v>
      </c>
      <c r="D102" s="5">
        <f>+C102/C105</f>
        <v>0.3583975346687211</v>
      </c>
      <c r="E102" s="9" t="e">
        <f>+#REF!</f>
        <v>#REF!</v>
      </c>
      <c r="F102" s="15">
        <v>-7.2499999999999995E-2</v>
      </c>
      <c r="G102" s="103" t="e">
        <f>+D102*E102</f>
        <v>#REF!</v>
      </c>
      <c r="H102" s="9">
        <f>+F102*D102</f>
        <v>-2.5983821263482278E-2</v>
      </c>
      <c r="I102" s="9">
        <v>0.2175</v>
      </c>
      <c r="J102" s="1"/>
      <c r="K102" s="104" t="e">
        <f>(+G102*H102)</f>
        <v>#REF!</v>
      </c>
      <c r="L102" s="105">
        <f>+I102-F102</f>
        <v>0.28999999999999998</v>
      </c>
      <c r="M102" s="105" t="e">
        <f>+L102-E102</f>
        <v>#REF!</v>
      </c>
      <c r="N102" s="105" t="e">
        <f>+M102*5</f>
        <v>#REF!</v>
      </c>
      <c r="O102" t="e">
        <f>+N102*D102</f>
        <v>#REF!</v>
      </c>
    </row>
    <row r="103" spans="1:15" x14ac:dyDescent="0.2">
      <c r="B103" s="1" t="s">
        <v>41</v>
      </c>
      <c r="C103" s="4">
        <v>2082</v>
      </c>
      <c r="D103" s="5">
        <f>+C103/C105</f>
        <v>0.64160246533127885</v>
      </c>
      <c r="E103" s="9" t="e">
        <f>+#REF!</f>
        <v>#REF!</v>
      </c>
      <c r="F103" s="15">
        <v>-0.06</v>
      </c>
      <c r="G103" s="103" t="e">
        <f>+D103*E103</f>
        <v>#REF!</v>
      </c>
      <c r="H103" s="9">
        <f>+F103*D103</f>
        <v>-3.8496147919876732E-2</v>
      </c>
      <c r="I103" s="9">
        <v>0.2175</v>
      </c>
      <c r="J103" s="1"/>
      <c r="K103" s="104" t="e">
        <f>(+G103*H103)</f>
        <v>#REF!</v>
      </c>
      <c r="L103" s="105">
        <f>+I103-F103</f>
        <v>0.27749999999999997</v>
      </c>
      <c r="M103" s="105" t="e">
        <f>+L103-E103</f>
        <v>#REF!</v>
      </c>
      <c r="N103" s="105" t="e">
        <f>+M103*5</f>
        <v>#REF!</v>
      </c>
      <c r="O103" t="e">
        <f>+N103*D103</f>
        <v>#REF!</v>
      </c>
    </row>
    <row r="104" spans="1:15" x14ac:dyDescent="0.2">
      <c r="C104" s="6">
        <v>0</v>
      </c>
      <c r="D104" s="7">
        <f>+C104/C105</f>
        <v>0</v>
      </c>
      <c r="O104" t="e">
        <f>SUM(O102:O103)</f>
        <v>#REF!</v>
      </c>
    </row>
    <row r="105" spans="1:15" x14ac:dyDescent="0.2">
      <c r="C105" s="4">
        <f>SUM(C102:C104)</f>
        <v>3245</v>
      </c>
      <c r="D105" s="5">
        <f>SUM(D102:D104)</f>
        <v>1</v>
      </c>
    </row>
    <row r="106" spans="1:15" x14ac:dyDescent="0.2">
      <c r="C106" s="44">
        <f>+C102*F102</f>
        <v>-84.317499999999995</v>
      </c>
    </row>
    <row r="107" spans="1:15" x14ac:dyDescent="0.2">
      <c r="C107" s="44">
        <f>+C103*F103</f>
        <v>-124.92</v>
      </c>
    </row>
    <row r="108" spans="1:15" x14ac:dyDescent="0.2">
      <c r="C108" s="44">
        <f>+C107+C106</f>
        <v>-209.23750000000001</v>
      </c>
      <c r="D108">
        <f>+C108/C105</f>
        <v>-6.4479969183359021E-2</v>
      </c>
      <c r="I108" t="s">
        <v>47</v>
      </c>
    </row>
    <row r="109" spans="1:15" x14ac:dyDescent="0.2">
      <c r="A109" s="1"/>
      <c r="B109" s="10" t="s">
        <v>36</v>
      </c>
      <c r="C109" s="1" t="s">
        <v>47</v>
      </c>
      <c r="D109" s="2" t="s">
        <v>4</v>
      </c>
      <c r="E109" s="1" t="s">
        <v>362</v>
      </c>
      <c r="F109" s="1" t="s">
        <v>363</v>
      </c>
      <c r="G109" t="s">
        <v>360</v>
      </c>
      <c r="H109" s="1" t="s">
        <v>359</v>
      </c>
      <c r="I109" s="1" t="s">
        <v>39</v>
      </c>
      <c r="J109" s="1"/>
      <c r="K109" s="10" t="s">
        <v>15</v>
      </c>
    </row>
    <row r="110" spans="1:15" x14ac:dyDescent="0.2">
      <c r="A110" s="1"/>
      <c r="B110" s="1" t="s">
        <v>40</v>
      </c>
      <c r="C110" s="4">
        <v>1163</v>
      </c>
      <c r="D110" s="5">
        <f>+C110/C113</f>
        <v>0.3583975346687211</v>
      </c>
      <c r="E110" s="9">
        <f>+Rates!H32</f>
        <v>0.46015937101572424</v>
      </c>
      <c r="F110" s="15">
        <v>-7.2499999999999995E-2</v>
      </c>
      <c r="G110" s="103">
        <f>+D110*E110</f>
        <v>0.16491998412674491</v>
      </c>
      <c r="H110" s="9">
        <f>+F110*D110</f>
        <v>-2.5983821263482278E-2</v>
      </c>
      <c r="I110" s="9">
        <v>0.2175</v>
      </c>
      <c r="J110" s="1"/>
      <c r="K110" s="104">
        <f>(+G110*H110)</f>
        <v>-4.285251390325674E-3</v>
      </c>
      <c r="L110" s="105">
        <f>+I110-F110</f>
        <v>0.28999999999999998</v>
      </c>
      <c r="M110" s="105">
        <f>+L110-E110</f>
        <v>-0.17015937101572426</v>
      </c>
      <c r="N110" s="105">
        <f>+M110*7</f>
        <v>-1.1911155971100698</v>
      </c>
      <c r="O110">
        <f>+N110*D110</f>
        <v>-0.42689289350971066</v>
      </c>
    </row>
    <row r="111" spans="1:15" x14ac:dyDescent="0.2">
      <c r="A111" s="1"/>
      <c r="B111" s="1" t="s">
        <v>361</v>
      </c>
      <c r="C111" s="4">
        <v>2082</v>
      </c>
      <c r="D111" s="5">
        <f>+C111/C113</f>
        <v>0.64160246533127885</v>
      </c>
      <c r="E111" s="9">
        <f>+Rates!H67</f>
        <v>0.39605879381117781</v>
      </c>
      <c r="F111" s="9">
        <v>-0.06</v>
      </c>
      <c r="G111" s="103">
        <f>+D111*E111</f>
        <v>0.25411229852538431</v>
      </c>
      <c r="H111" s="9">
        <f>+F111*D111</f>
        <v>-3.8496147919876732E-2</v>
      </c>
      <c r="I111" s="9">
        <v>0.2175</v>
      </c>
      <c r="J111" s="1"/>
      <c r="K111" s="104">
        <f>(+G111*H111)</f>
        <v>-9.7823446322930687E-3</v>
      </c>
      <c r="L111" s="105">
        <f>+I111-F111</f>
        <v>0.27749999999999997</v>
      </c>
      <c r="M111" s="105">
        <f>+L111-E111</f>
        <v>-0.11855879381117784</v>
      </c>
      <c r="N111" s="105">
        <f>+M111*7</f>
        <v>-0.8299115566782449</v>
      </c>
      <c r="O111">
        <f>+N111*D111</f>
        <v>-0.53247330077168131</v>
      </c>
    </row>
    <row r="112" spans="1:15" x14ac:dyDescent="0.2">
      <c r="A112" s="1"/>
      <c r="B112" s="1"/>
      <c r="C112" s="9">
        <v>0</v>
      </c>
      <c r="D112" s="7">
        <f>+C112/C113</f>
        <v>0</v>
      </c>
      <c r="E112" s="9"/>
      <c r="F112" s="9" t="s">
        <v>47</v>
      </c>
      <c r="H112" s="1"/>
      <c r="I112" s="14"/>
      <c r="J112" s="1"/>
      <c r="O112">
        <f>SUM(O110:O111)</f>
        <v>-0.95936619428139203</v>
      </c>
    </row>
    <row r="113" spans="3:15" x14ac:dyDescent="0.2">
      <c r="C113" s="4">
        <f>SUM(C110:C112)</f>
        <v>3245</v>
      </c>
      <c r="D113" s="5">
        <f>SUM(D110:D112)</f>
        <v>1</v>
      </c>
      <c r="M113" s="105">
        <f>AVERAGE(M110:M111)</f>
        <v>-0.14435908241345105</v>
      </c>
    </row>
    <row r="114" spans="3:15" x14ac:dyDescent="0.2">
      <c r="O114" t="e">
        <f>+O112+O104</f>
        <v>#REF!</v>
      </c>
    </row>
    <row r="115" spans="3:15" x14ac:dyDescent="0.2">
      <c r="O115" t="e">
        <f>+O114/12</f>
        <v>#REF!</v>
      </c>
    </row>
    <row r="116" spans="3:15" x14ac:dyDescent="0.2">
      <c r="M116" s="105">
        <f>+M113+M105</f>
        <v>-0.14435908241345105</v>
      </c>
    </row>
    <row r="131" spans="1:15" x14ac:dyDescent="0.2">
      <c r="B131" s="10" t="s">
        <v>36</v>
      </c>
      <c r="C131" s="2" t="s">
        <v>3</v>
      </c>
      <c r="D131" s="2" t="s">
        <v>4</v>
      </c>
      <c r="E131" s="1" t="s">
        <v>37</v>
      </c>
      <c r="F131" s="1" t="s">
        <v>38</v>
      </c>
      <c r="G131" s="1" t="s">
        <v>360</v>
      </c>
      <c r="H131" s="1" t="s">
        <v>359</v>
      </c>
      <c r="I131" s="1" t="s">
        <v>369</v>
      </c>
      <c r="J131" s="1"/>
      <c r="K131" s="10" t="s">
        <v>47</v>
      </c>
      <c r="L131" s="105" t="s">
        <v>364</v>
      </c>
      <c r="M131" s="105" t="s">
        <v>366</v>
      </c>
      <c r="N131" s="105" t="s">
        <v>368</v>
      </c>
    </row>
    <row r="132" spans="1:15" x14ac:dyDescent="0.2">
      <c r="B132" s="1" t="s">
        <v>42</v>
      </c>
      <c r="C132" s="4">
        <v>1163</v>
      </c>
      <c r="D132" s="5">
        <f>+C132/C135</f>
        <v>0.3583975346687211</v>
      </c>
      <c r="E132" s="9" t="e">
        <f>+#REF!</f>
        <v>#REF!</v>
      </c>
      <c r="F132" s="15">
        <v>-7.2499999999999995E-2</v>
      </c>
      <c r="G132" s="103" t="e">
        <f>+D132*E132</f>
        <v>#REF!</v>
      </c>
      <c r="H132" s="9">
        <f>+F132*D132</f>
        <v>-2.5983821263482278E-2</v>
      </c>
      <c r="I132" s="9">
        <v>0.2525</v>
      </c>
      <c r="J132" s="1"/>
      <c r="K132" s="104" t="s">
        <v>47</v>
      </c>
      <c r="L132" s="105">
        <f>+I132-F132</f>
        <v>0.32500000000000001</v>
      </c>
      <c r="M132" s="105" t="e">
        <f>+L132-E132</f>
        <v>#REF!</v>
      </c>
      <c r="N132" s="105" t="e">
        <f>+M132*5</f>
        <v>#REF!</v>
      </c>
      <c r="O132" t="e">
        <f>+N132*D132</f>
        <v>#REF!</v>
      </c>
    </row>
    <row r="133" spans="1:15" x14ac:dyDescent="0.2">
      <c r="B133" s="1" t="s">
        <v>43</v>
      </c>
      <c r="C133" s="4">
        <v>2082</v>
      </c>
      <c r="D133" s="5">
        <f>+C133/C135</f>
        <v>0.64160246533127885</v>
      </c>
      <c r="E133" s="9" t="e">
        <f>+#REF!</f>
        <v>#REF!</v>
      </c>
      <c r="F133" s="15">
        <v>-0.06</v>
      </c>
      <c r="G133" s="103" t="e">
        <f>+D133*E133</f>
        <v>#REF!</v>
      </c>
      <c r="H133" s="9">
        <f>+F133*D133</f>
        <v>-3.8496147919876732E-2</v>
      </c>
      <c r="I133" s="9">
        <v>0.2525</v>
      </c>
      <c r="J133" s="1"/>
      <c r="K133" s="104" t="s">
        <v>47</v>
      </c>
      <c r="L133" s="105">
        <f>+I133-F133</f>
        <v>0.3125</v>
      </c>
      <c r="M133" s="105" t="e">
        <f>+L133-E133</f>
        <v>#REF!</v>
      </c>
      <c r="N133" s="105" t="e">
        <f>+M133*5</f>
        <v>#REF!</v>
      </c>
      <c r="O133" t="e">
        <f>+N133*D133</f>
        <v>#REF!</v>
      </c>
    </row>
    <row r="134" spans="1:15" x14ac:dyDescent="0.2">
      <c r="C134" s="6">
        <v>0</v>
      </c>
      <c r="D134" s="7">
        <f>+C134/C135</f>
        <v>0</v>
      </c>
      <c r="O134" t="e">
        <f>SUM(O132:O133)</f>
        <v>#REF!</v>
      </c>
    </row>
    <row r="135" spans="1:15" x14ac:dyDescent="0.2">
      <c r="C135" s="4">
        <f>SUM(C132:C134)</f>
        <v>3245</v>
      </c>
      <c r="D135" s="5">
        <f>SUM(D132:D134)</f>
        <v>1</v>
      </c>
    </row>
    <row r="136" spans="1:15" x14ac:dyDescent="0.2">
      <c r="C136" s="44">
        <f>+C132*F132</f>
        <v>-84.317499999999995</v>
      </c>
    </row>
    <row r="137" spans="1:15" x14ac:dyDescent="0.2">
      <c r="C137" s="44">
        <f>+C133*F133</f>
        <v>-124.92</v>
      </c>
    </row>
    <row r="138" spans="1:15" x14ac:dyDescent="0.2">
      <c r="C138" s="44">
        <f>+C137+C136</f>
        <v>-209.23750000000001</v>
      </c>
      <c r="D138">
        <f>+C138/C135</f>
        <v>-6.4479969183359021E-2</v>
      </c>
      <c r="I138" t="s">
        <v>47</v>
      </c>
    </row>
    <row r="139" spans="1:15" x14ac:dyDescent="0.2">
      <c r="A139" s="1"/>
      <c r="B139" s="10" t="s">
        <v>36</v>
      </c>
      <c r="C139" s="1" t="s">
        <v>47</v>
      </c>
      <c r="D139" s="2" t="s">
        <v>4</v>
      </c>
      <c r="E139" s="1" t="s">
        <v>362</v>
      </c>
      <c r="F139" s="1" t="s">
        <v>363</v>
      </c>
      <c r="G139" t="s">
        <v>360</v>
      </c>
      <c r="H139" s="1" t="s">
        <v>359</v>
      </c>
      <c r="I139" s="1" t="s">
        <v>39</v>
      </c>
      <c r="J139" s="1"/>
      <c r="K139" s="10" t="s">
        <v>47</v>
      </c>
    </row>
    <row r="140" spans="1:15" x14ac:dyDescent="0.2">
      <c r="A140" s="1"/>
      <c r="B140" s="1" t="s">
        <v>42</v>
      </c>
      <c r="C140" s="4">
        <v>1163</v>
      </c>
      <c r="D140" s="5">
        <f>+C140/C143</f>
        <v>0.3583975346687211</v>
      </c>
      <c r="E140" s="9">
        <f>+Rates!H37</f>
        <v>0.54095869541894581</v>
      </c>
      <c r="F140" s="15">
        <v>-7.2499999999999995E-2</v>
      </c>
      <c r="G140" s="103">
        <f>+D140*E140</f>
        <v>0.19387826279575776</v>
      </c>
      <c r="H140" s="9">
        <f>+F140*D140</f>
        <v>-2.5983821263482278E-2</v>
      </c>
      <c r="I140" s="9">
        <v>0.2525</v>
      </c>
      <c r="J140" s="1"/>
      <c r="K140" s="104" t="s">
        <v>47</v>
      </c>
      <c r="L140" s="105">
        <f>+I140-F140</f>
        <v>0.32500000000000001</v>
      </c>
      <c r="M140" s="105">
        <f>+L140-E140</f>
        <v>-0.2159586954189458</v>
      </c>
      <c r="N140" s="105">
        <f>+M140*7</f>
        <v>-1.5117108679326206</v>
      </c>
      <c r="O140">
        <f>+N140*D140</f>
        <v>-0.5417934481989638</v>
      </c>
    </row>
    <row r="141" spans="1:15" x14ac:dyDescent="0.2">
      <c r="A141" s="1"/>
      <c r="B141" s="1" t="s">
        <v>370</v>
      </c>
      <c r="C141" s="4">
        <v>2082</v>
      </c>
      <c r="D141" s="5">
        <f>+C141/C143</f>
        <v>0.64160246533127885</v>
      </c>
      <c r="E141" s="9">
        <f>+Rates!H72</f>
        <v>0.47645015940488844</v>
      </c>
      <c r="F141" s="9">
        <v>-0.06</v>
      </c>
      <c r="G141" s="103">
        <f>+D141*E141</f>
        <v>0.3056915968816572</v>
      </c>
      <c r="H141" s="9">
        <f>+F141*D141</f>
        <v>-3.8496147919876732E-2</v>
      </c>
      <c r="I141" s="9">
        <v>0.2525</v>
      </c>
      <c r="J141" s="1"/>
      <c r="K141" s="104" t="s">
        <v>47</v>
      </c>
      <c r="L141" s="105">
        <f>+I141-F141</f>
        <v>0.3125</v>
      </c>
      <c r="M141" s="105">
        <f>+L141-E141</f>
        <v>-0.16395015940488844</v>
      </c>
      <c r="N141" s="105">
        <f>+M141*7</f>
        <v>-1.1476511158342191</v>
      </c>
      <c r="O141">
        <f>+N141*D141</f>
        <v>-0.736335785259428</v>
      </c>
    </row>
    <row r="142" spans="1:15" x14ac:dyDescent="0.2">
      <c r="A142" s="1"/>
      <c r="B142" s="1"/>
      <c r="C142" s="9">
        <v>0</v>
      </c>
      <c r="D142" s="7">
        <f>+C142/C143</f>
        <v>0</v>
      </c>
      <c r="E142" s="9"/>
      <c r="F142" s="9" t="s">
        <v>47</v>
      </c>
      <c r="H142" s="1"/>
      <c r="I142" s="14"/>
      <c r="J142" s="1"/>
      <c r="O142">
        <f>SUM(O140:O141)</f>
        <v>-1.2781292334583918</v>
      </c>
    </row>
    <row r="143" spans="1:15" x14ac:dyDescent="0.2">
      <c r="C143" s="4">
        <f>SUM(C140:C142)</f>
        <v>3245</v>
      </c>
      <c r="D143" s="5">
        <f>SUM(D140:D142)</f>
        <v>1</v>
      </c>
      <c r="M143" s="105">
        <f>AVERAGE(M140:M141)</f>
        <v>-0.18995442741191712</v>
      </c>
    </row>
    <row r="144" spans="1:15" x14ac:dyDescent="0.2">
      <c r="O144" t="e">
        <f>+O142+O134</f>
        <v>#REF!</v>
      </c>
    </row>
    <row r="145" spans="2:15" x14ac:dyDescent="0.2">
      <c r="O145" t="e">
        <f>+O144/12</f>
        <v>#REF!</v>
      </c>
    </row>
    <row r="146" spans="2:15" x14ac:dyDescent="0.2">
      <c r="M146" s="105">
        <f>+M143+M135</f>
        <v>-0.18995442741191712</v>
      </c>
    </row>
    <row r="151" spans="2:15" x14ac:dyDescent="0.2">
      <c r="B151" s="10" t="s">
        <v>36</v>
      </c>
      <c r="C151" s="2" t="s">
        <v>3</v>
      </c>
      <c r="D151" s="2" t="s">
        <v>4</v>
      </c>
      <c r="E151" s="1" t="s">
        <v>37</v>
      </c>
      <c r="F151" s="1" t="s">
        <v>38</v>
      </c>
      <c r="G151" s="1" t="s">
        <v>360</v>
      </c>
      <c r="H151" s="1" t="s">
        <v>359</v>
      </c>
      <c r="I151" s="1" t="s">
        <v>373</v>
      </c>
      <c r="J151" s="1"/>
      <c r="K151" s="10" t="s">
        <v>47</v>
      </c>
      <c r="L151" s="105" t="s">
        <v>364</v>
      </c>
      <c r="M151" s="105" t="s">
        <v>366</v>
      </c>
      <c r="N151" s="105" t="s">
        <v>368</v>
      </c>
    </row>
    <row r="152" spans="2:15" x14ac:dyDescent="0.2">
      <c r="B152" s="1" t="s">
        <v>371</v>
      </c>
      <c r="C152" s="4">
        <v>1163</v>
      </c>
      <c r="D152" s="5">
        <f>+C152/C155</f>
        <v>0.3583975346687211</v>
      </c>
      <c r="E152" s="9" t="e">
        <f>+#REF!</f>
        <v>#REF!</v>
      </c>
      <c r="F152" s="15">
        <v>-7.2499999999999995E-2</v>
      </c>
      <c r="G152" s="103" t="e">
        <f>+D152*E152</f>
        <v>#REF!</v>
      </c>
      <c r="H152" s="9">
        <f>+F152*D152</f>
        <v>-2.5983821263482278E-2</v>
      </c>
      <c r="I152" s="9">
        <v>0.28499999999999998</v>
      </c>
      <c r="J152" s="1"/>
      <c r="K152" s="104" t="s">
        <v>47</v>
      </c>
      <c r="L152" s="105">
        <f>+I152-F152</f>
        <v>0.35749999999999998</v>
      </c>
      <c r="M152" s="105" t="e">
        <f>+L152-E152</f>
        <v>#REF!</v>
      </c>
      <c r="N152" s="105" t="e">
        <f>+M152*5</f>
        <v>#REF!</v>
      </c>
      <c r="O152" t="e">
        <f>+N152*D152</f>
        <v>#REF!</v>
      </c>
    </row>
    <row r="153" spans="2:15" x14ac:dyDescent="0.2">
      <c r="B153" s="1" t="s">
        <v>372</v>
      </c>
      <c r="C153" s="4">
        <v>2082</v>
      </c>
      <c r="D153" s="5">
        <f>+C153/C155</f>
        <v>0.64160246533127885</v>
      </c>
      <c r="E153" s="9" t="e">
        <f>+#REF!</f>
        <v>#REF!</v>
      </c>
      <c r="F153" s="15">
        <v>-0.06</v>
      </c>
      <c r="G153" s="103" t="e">
        <f>+D153*E153</f>
        <v>#REF!</v>
      </c>
      <c r="H153" s="9">
        <f>+F153*D153</f>
        <v>-3.8496147919876732E-2</v>
      </c>
      <c r="I153" s="9">
        <v>0.28499999999999998</v>
      </c>
      <c r="J153" s="1"/>
      <c r="K153" s="104" t="s">
        <v>47</v>
      </c>
      <c r="L153" s="105">
        <f>+I153-F153</f>
        <v>0.34499999999999997</v>
      </c>
      <c r="M153" s="105" t="e">
        <f>+L153-E153</f>
        <v>#REF!</v>
      </c>
      <c r="N153" s="105" t="e">
        <f>+M153*5</f>
        <v>#REF!</v>
      </c>
      <c r="O153" t="e">
        <f>+N153*D153</f>
        <v>#REF!</v>
      </c>
    </row>
    <row r="154" spans="2:15" x14ac:dyDescent="0.2">
      <c r="C154" s="6">
        <v>0</v>
      </c>
      <c r="D154" s="7">
        <f>+C154/C155</f>
        <v>0</v>
      </c>
      <c r="O154" t="e">
        <f>SUM(O152:O153)</f>
        <v>#REF!</v>
      </c>
    </row>
    <row r="155" spans="2:15" x14ac:dyDescent="0.2">
      <c r="C155" s="4">
        <f>SUM(C152:C154)</f>
        <v>3245</v>
      </c>
      <c r="D155" s="5">
        <f>SUM(D152:D154)</f>
        <v>1</v>
      </c>
    </row>
    <row r="156" spans="2:15" x14ac:dyDescent="0.2">
      <c r="C156" s="44">
        <f>+C152*F152</f>
        <v>-84.317499999999995</v>
      </c>
    </row>
    <row r="157" spans="2:15" x14ac:dyDescent="0.2">
      <c r="C157" s="44">
        <f>+C153*F153</f>
        <v>-124.92</v>
      </c>
    </row>
    <row r="158" spans="2:15" x14ac:dyDescent="0.2">
      <c r="C158" s="44">
        <f>+C157+C156</f>
        <v>-209.23750000000001</v>
      </c>
      <c r="D158">
        <f>+C158/C155</f>
        <v>-6.4479969183359021E-2</v>
      </c>
      <c r="I158" t="s">
        <v>47</v>
      </c>
    </row>
    <row r="159" spans="2:15" x14ac:dyDescent="0.2">
      <c r="B159" s="10" t="s">
        <v>36</v>
      </c>
      <c r="C159" s="1" t="s">
        <v>47</v>
      </c>
      <c r="D159" s="2" t="s">
        <v>4</v>
      </c>
      <c r="E159" s="1" t="s">
        <v>362</v>
      </c>
      <c r="F159" s="1" t="s">
        <v>363</v>
      </c>
      <c r="G159" t="s">
        <v>360</v>
      </c>
      <c r="H159" s="1" t="s">
        <v>359</v>
      </c>
      <c r="I159" s="1" t="s">
        <v>373</v>
      </c>
      <c r="J159" s="1"/>
      <c r="K159" s="10" t="s">
        <v>47</v>
      </c>
    </row>
    <row r="160" spans="2:15" x14ac:dyDescent="0.2">
      <c r="B160" s="1" t="s">
        <v>371</v>
      </c>
      <c r="C160" s="4">
        <v>1163</v>
      </c>
      <c r="D160" s="5">
        <f>+C160/C163</f>
        <v>0.3583975346687211</v>
      </c>
      <c r="E160" s="9">
        <f>+Rates!H42</f>
        <v>0.62544155449413819</v>
      </c>
      <c r="F160" s="15">
        <v>-7.2499999999999995E-2</v>
      </c>
      <c r="G160" s="103">
        <f>+D160*E160</f>
        <v>0.22415671121007172</v>
      </c>
      <c r="H160" s="9">
        <f>+F160*D160</f>
        <v>-2.5983821263482278E-2</v>
      </c>
      <c r="I160" s="9">
        <v>0.28499999999999998</v>
      </c>
      <c r="J160" s="1"/>
      <c r="K160" s="104" t="s">
        <v>47</v>
      </c>
      <c r="L160" s="105">
        <f>+I160-F160</f>
        <v>0.35749999999999998</v>
      </c>
      <c r="M160" s="105">
        <f>+L160-E160</f>
        <v>-0.2679415544941382</v>
      </c>
      <c r="N160" s="105">
        <f>+M160*7</f>
        <v>-1.8755908814589675</v>
      </c>
      <c r="O160">
        <f>+N160*D160</f>
        <v>-0.67220714796202741</v>
      </c>
    </row>
    <row r="161" spans="2:15" x14ac:dyDescent="0.2">
      <c r="B161" s="1" t="s">
        <v>374</v>
      </c>
      <c r="C161" s="4">
        <v>2082</v>
      </c>
      <c r="D161" s="5">
        <f>+C161/C163</f>
        <v>0.64160246533127885</v>
      </c>
      <c r="E161" s="9">
        <f>+Rates!H77</f>
        <v>0.56031897645414441</v>
      </c>
      <c r="F161" s="9">
        <v>-0.06</v>
      </c>
      <c r="G161" s="103">
        <f>+D161*E161</f>
        <v>0.35950203666487784</v>
      </c>
      <c r="H161" s="9">
        <f>+F161*D161</f>
        <v>-3.8496147919876732E-2</v>
      </c>
      <c r="I161" s="9">
        <v>0.28499999999999998</v>
      </c>
      <c r="J161" s="1"/>
      <c r="K161" s="104" t="s">
        <v>47</v>
      </c>
      <c r="L161" s="105">
        <f>+I161-F161</f>
        <v>0.34499999999999997</v>
      </c>
      <c r="M161" s="105">
        <f>+L161-E161</f>
        <v>-0.21531897645414444</v>
      </c>
      <c r="N161" s="105">
        <f>+M161*7</f>
        <v>-1.507232835179011</v>
      </c>
      <c r="O161">
        <f>+N161*D161</f>
        <v>-0.96704430287910648</v>
      </c>
    </row>
    <row r="162" spans="2:15" x14ac:dyDescent="0.2">
      <c r="B162" s="1"/>
      <c r="C162" s="9">
        <v>0</v>
      </c>
      <c r="D162" s="7">
        <f>+C162/C163</f>
        <v>0</v>
      </c>
      <c r="E162" s="9"/>
      <c r="F162" s="9" t="s">
        <v>47</v>
      </c>
      <c r="H162" s="1"/>
      <c r="I162" s="14"/>
      <c r="J162" s="1"/>
      <c r="O162">
        <f>SUM(O160:O161)</f>
        <v>-1.639251450841134</v>
      </c>
    </row>
    <row r="163" spans="2:15" x14ac:dyDescent="0.2">
      <c r="C163" s="4">
        <f>SUM(C160:C162)</f>
        <v>3245</v>
      </c>
      <c r="D163" s="5">
        <f>SUM(D160:D162)</f>
        <v>1</v>
      </c>
      <c r="M163" s="105">
        <f>AVERAGE(M160:M161)</f>
        <v>-0.24163026547414132</v>
      </c>
    </row>
    <row r="164" spans="2:15" x14ac:dyDescent="0.2">
      <c r="O164" t="e">
        <f>+O162+O154</f>
        <v>#REF!</v>
      </c>
    </row>
    <row r="165" spans="2:15" x14ac:dyDescent="0.2">
      <c r="O165" t="e">
        <f>+O164/12</f>
        <v>#REF!</v>
      </c>
    </row>
    <row r="166" spans="2:15" x14ac:dyDescent="0.2">
      <c r="M166" s="105">
        <f>+M163+M155</f>
        <v>-0.24163026547414132</v>
      </c>
    </row>
  </sheetData>
  <pageMargins left="0.75" right="0.75" top="1" bottom="1" header="0.5" footer="0.5"/>
  <pageSetup orientation="portrait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38"/>
  <sheetViews>
    <sheetView workbookViewId="0">
      <selection activeCell="R24" sqref="R24"/>
    </sheetView>
  </sheetViews>
  <sheetFormatPr defaultRowHeight="12.75" x14ac:dyDescent="0.2"/>
  <cols>
    <col min="1" max="1" width="8.85546875" style="34" customWidth="1"/>
    <col min="2" max="2" width="9.140625" style="34"/>
    <col min="3" max="3" width="10.5703125" style="34" customWidth="1"/>
    <col min="4" max="4" width="8.7109375" style="34" customWidth="1"/>
    <col min="5" max="5" width="11" style="34" customWidth="1"/>
    <col min="6" max="6" width="12.42578125" style="35" customWidth="1"/>
    <col min="7" max="7" width="8" style="35" customWidth="1"/>
    <col min="8" max="8" width="6.42578125" style="34" customWidth="1"/>
    <col min="9" max="9" width="8.85546875" style="34" hidden="1" customWidth="1"/>
    <col min="10" max="13" width="0" style="34" hidden="1" customWidth="1"/>
    <col min="14" max="14" width="0" style="261" hidden="1" customWidth="1"/>
    <col min="15" max="15" width="0" style="34" hidden="1" customWidth="1"/>
    <col min="16" max="16" width="12.28515625" style="113" customWidth="1"/>
    <col min="17" max="17" width="9.140625" style="34"/>
    <col min="18" max="18" width="13.7109375" style="34" customWidth="1"/>
    <col min="19" max="20" width="9.140625" style="34"/>
    <col min="21" max="21" width="13.5703125" style="113" customWidth="1"/>
    <col min="22" max="22" width="42.28515625" style="34" customWidth="1"/>
    <col min="23" max="24" width="9.140625" style="113"/>
    <col min="25" max="25" width="12.42578125" style="34" customWidth="1"/>
    <col min="26" max="16384" width="9.140625" style="34"/>
  </cols>
  <sheetData>
    <row r="1" spans="1:24" x14ac:dyDescent="0.2">
      <c r="A1" s="124" t="s">
        <v>547</v>
      </c>
      <c r="B1" s="18"/>
      <c r="C1" s="18"/>
      <c r="D1" s="19"/>
      <c r="E1" s="19"/>
      <c r="F1" s="16"/>
      <c r="G1" s="16"/>
      <c r="H1" s="18" t="s">
        <v>71</v>
      </c>
      <c r="I1" s="23">
        <v>31</v>
      </c>
      <c r="J1" s="233" t="s">
        <v>497</v>
      </c>
      <c r="K1" s="20"/>
      <c r="L1" s="20"/>
      <c r="M1" s="20"/>
      <c r="N1" s="234"/>
      <c r="O1" s="20"/>
      <c r="P1" s="112"/>
      <c r="Q1" s="17"/>
      <c r="R1" s="36"/>
      <c r="S1" s="36"/>
      <c r="T1" s="36"/>
      <c r="U1" s="235"/>
      <c r="V1" s="36"/>
      <c r="W1" s="111"/>
      <c r="X1" s="111"/>
    </row>
    <row r="2" spans="1:24" x14ac:dyDescent="0.2">
      <c r="A2" s="153" t="s">
        <v>435</v>
      </c>
      <c r="B2" s="153"/>
      <c r="C2" s="153"/>
      <c r="D2" s="19"/>
      <c r="E2" s="19"/>
      <c r="F2" s="16"/>
      <c r="G2" s="16"/>
      <c r="H2" s="18"/>
      <c r="I2" s="23"/>
      <c r="J2" s="233" t="s">
        <v>498</v>
      </c>
      <c r="K2" s="20"/>
      <c r="L2" s="20"/>
      <c r="M2" s="20"/>
      <c r="N2" s="234"/>
      <c r="O2" s="20"/>
      <c r="P2" s="112"/>
      <c r="Q2" s="17"/>
      <c r="R2" s="36"/>
      <c r="S2" s="36"/>
      <c r="T2" s="36"/>
      <c r="U2" s="235"/>
      <c r="V2" s="36"/>
      <c r="W2" s="111"/>
      <c r="X2" s="111"/>
    </row>
    <row r="3" spans="1:24" x14ac:dyDescent="0.2">
      <c r="A3" s="159" t="s">
        <v>436</v>
      </c>
      <c r="B3" s="159"/>
      <c r="C3" s="159"/>
      <c r="D3" s="19"/>
      <c r="E3" s="19"/>
      <c r="F3" s="22" t="s">
        <v>47</v>
      </c>
      <c r="G3" s="16" t="s">
        <v>47</v>
      </c>
      <c r="H3" s="17" t="s">
        <v>47</v>
      </c>
      <c r="I3" s="24"/>
      <c r="J3" s="39" t="s">
        <v>47</v>
      </c>
      <c r="K3" s="20"/>
      <c r="L3" s="39" t="s">
        <v>47</v>
      </c>
      <c r="M3" s="20"/>
      <c r="N3" s="234"/>
      <c r="O3" s="39" t="s">
        <v>47</v>
      </c>
      <c r="P3" s="112"/>
      <c r="Q3" s="17"/>
      <c r="R3" s="36"/>
      <c r="S3" s="36"/>
      <c r="T3" s="36"/>
      <c r="U3" s="235"/>
      <c r="V3" s="36"/>
      <c r="W3" s="111"/>
      <c r="X3" s="111"/>
    </row>
    <row r="4" spans="1:24" x14ac:dyDescent="0.2">
      <c r="A4" s="160" t="s">
        <v>499</v>
      </c>
      <c r="B4" s="161"/>
      <c r="C4" s="161"/>
      <c r="D4" s="19"/>
      <c r="E4" s="19"/>
      <c r="F4" s="40"/>
      <c r="G4" s="16"/>
      <c r="H4" s="40"/>
      <c r="I4" s="24"/>
      <c r="J4" s="40"/>
      <c r="K4" s="20"/>
      <c r="L4" s="40"/>
      <c r="M4" s="17"/>
      <c r="N4" s="234"/>
      <c r="O4" s="17"/>
      <c r="P4" s="112"/>
      <c r="Q4" s="17"/>
      <c r="R4" s="36"/>
      <c r="S4" s="41"/>
      <c r="T4" s="41"/>
      <c r="U4" s="236"/>
      <c r="V4" s="36"/>
      <c r="W4" s="111"/>
      <c r="X4" s="111"/>
    </row>
    <row r="5" spans="1:24" x14ac:dyDescent="0.2">
      <c r="A5" s="16" t="s">
        <v>500</v>
      </c>
      <c r="B5" s="18"/>
      <c r="C5" s="237" t="s">
        <v>501</v>
      </c>
      <c r="D5" s="19"/>
      <c r="E5" s="19"/>
      <c r="F5" s="40"/>
      <c r="G5" s="16"/>
      <c r="H5" s="40"/>
      <c r="I5" s="24"/>
      <c r="J5" s="40"/>
      <c r="K5" s="20"/>
      <c r="L5" s="40"/>
      <c r="M5" s="17"/>
      <c r="N5" s="234"/>
      <c r="O5" s="17"/>
      <c r="P5" s="112"/>
      <c r="Q5" s="17"/>
      <c r="R5" s="36"/>
      <c r="S5" s="41"/>
      <c r="T5" s="41"/>
      <c r="U5" s="236"/>
      <c r="V5" s="36"/>
      <c r="W5" s="111"/>
      <c r="X5" s="111"/>
    </row>
    <row r="6" spans="1:24" x14ac:dyDescent="0.2">
      <c r="A6" s="16"/>
      <c r="B6" s="18"/>
      <c r="C6" s="237" t="s">
        <v>502</v>
      </c>
      <c r="D6" s="19"/>
      <c r="E6" s="19"/>
      <c r="F6" s="40"/>
      <c r="G6" s="16"/>
      <c r="H6" s="40"/>
      <c r="I6" s="24"/>
      <c r="J6" s="40"/>
      <c r="K6" s="20"/>
      <c r="L6" s="40"/>
      <c r="M6" s="17"/>
      <c r="N6" s="234"/>
      <c r="O6" s="17"/>
      <c r="P6" s="112"/>
      <c r="Q6" s="17"/>
      <c r="R6" s="36"/>
      <c r="S6" s="41"/>
      <c r="T6" s="41"/>
      <c r="U6" s="236"/>
      <c r="V6" s="36"/>
      <c r="W6" s="111"/>
      <c r="X6" s="111"/>
    </row>
    <row r="7" spans="1:24" x14ac:dyDescent="0.2">
      <c r="A7" s="16"/>
      <c r="B7" s="18"/>
      <c r="C7" s="237" t="s">
        <v>503</v>
      </c>
      <c r="D7" s="19"/>
      <c r="E7" s="19"/>
      <c r="F7" s="40"/>
      <c r="G7" s="16"/>
      <c r="H7" s="40"/>
      <c r="I7" s="24"/>
      <c r="J7" s="40"/>
      <c r="K7" s="20"/>
      <c r="L7" s="40"/>
      <c r="M7" s="17"/>
      <c r="N7" s="234"/>
      <c r="O7" s="17"/>
      <c r="P7" s="112"/>
      <c r="Q7" s="17"/>
      <c r="R7" s="36"/>
      <c r="S7" s="41"/>
      <c r="T7" s="41"/>
      <c r="U7" s="236"/>
      <c r="V7" s="36"/>
      <c r="W7" s="111"/>
      <c r="X7" s="111"/>
    </row>
    <row r="8" spans="1:24" x14ac:dyDescent="0.2">
      <c r="A8" s="16"/>
      <c r="B8" s="18"/>
      <c r="C8" s="237"/>
      <c r="D8" s="19"/>
      <c r="E8" s="19"/>
      <c r="F8" s="40"/>
      <c r="G8" s="16"/>
      <c r="H8" s="40"/>
      <c r="I8" s="24"/>
      <c r="J8" s="40"/>
      <c r="K8" s="20"/>
      <c r="L8" s="40"/>
      <c r="M8" s="17"/>
      <c r="N8" s="234"/>
      <c r="O8" s="17"/>
      <c r="P8" s="112"/>
      <c r="Q8" s="17"/>
      <c r="R8" s="36"/>
      <c r="S8" s="41"/>
      <c r="T8" s="41"/>
      <c r="U8" s="236"/>
      <c r="V8" s="36"/>
      <c r="W8" s="111"/>
      <c r="X8" s="111"/>
    </row>
    <row r="9" spans="1:24" x14ac:dyDescent="0.2">
      <c r="A9" s="16"/>
      <c r="B9" s="18"/>
      <c r="C9" s="237"/>
      <c r="D9" s="19"/>
      <c r="E9" s="19"/>
      <c r="F9" s="40"/>
      <c r="G9" s="16"/>
      <c r="H9" s="40"/>
      <c r="I9" s="24"/>
      <c r="J9" s="40"/>
      <c r="K9" s="20"/>
      <c r="L9" s="40"/>
      <c r="M9" s="17"/>
      <c r="N9" s="234"/>
      <c r="O9" s="17"/>
      <c r="P9" s="112"/>
      <c r="Q9" s="17"/>
      <c r="R9" s="36"/>
      <c r="S9" s="41"/>
      <c r="T9" s="41"/>
      <c r="U9" s="236"/>
      <c r="V9" s="36"/>
      <c r="W9" s="111"/>
      <c r="X9" s="111"/>
    </row>
    <row r="10" spans="1:24" x14ac:dyDescent="0.2">
      <c r="A10" s="16"/>
      <c r="B10" s="18"/>
      <c r="C10" s="18"/>
      <c r="D10" s="19"/>
      <c r="E10" s="19"/>
      <c r="F10" s="40"/>
      <c r="G10" s="16"/>
      <c r="H10" s="40"/>
      <c r="I10" s="24"/>
      <c r="J10" s="40"/>
      <c r="K10" s="20"/>
      <c r="L10" s="40"/>
      <c r="M10" s="17"/>
      <c r="N10" s="234"/>
      <c r="O10" s="17"/>
      <c r="P10" s="112"/>
      <c r="Q10" s="17"/>
      <c r="R10" s="36"/>
      <c r="S10" s="41"/>
      <c r="T10" s="41"/>
      <c r="U10" s="236"/>
      <c r="V10" s="36"/>
      <c r="W10" s="111"/>
      <c r="X10" s="111"/>
    </row>
    <row r="11" spans="1:24" x14ac:dyDescent="0.2">
      <c r="A11" s="238" t="s">
        <v>49</v>
      </c>
      <c r="B11" s="239" t="s">
        <v>50</v>
      </c>
      <c r="C11" s="239" t="s">
        <v>51</v>
      </c>
      <c r="D11" s="240" t="s">
        <v>52</v>
      </c>
      <c r="E11" s="240"/>
      <c r="F11" s="238" t="s">
        <v>53</v>
      </c>
      <c r="G11" s="238" t="s">
        <v>54</v>
      </c>
      <c r="H11" s="239" t="s">
        <v>55</v>
      </c>
      <c r="I11" s="241" t="s">
        <v>56</v>
      </c>
      <c r="J11" s="239" t="s">
        <v>57</v>
      </c>
      <c r="K11" s="239" t="s">
        <v>58</v>
      </c>
      <c r="L11" s="239" t="s">
        <v>59</v>
      </c>
      <c r="M11" s="239" t="s">
        <v>60</v>
      </c>
      <c r="N11" s="242" t="s">
        <v>62</v>
      </c>
      <c r="O11" s="239" t="s">
        <v>63</v>
      </c>
      <c r="P11" s="264" t="s">
        <v>64</v>
      </c>
      <c r="Q11" s="239" t="s">
        <v>65</v>
      </c>
      <c r="R11" s="238" t="s">
        <v>66</v>
      </c>
      <c r="S11" s="244" t="s">
        <v>505</v>
      </c>
      <c r="T11" s="244" t="s">
        <v>506</v>
      </c>
      <c r="U11" s="245" t="s">
        <v>389</v>
      </c>
      <c r="V11" s="244" t="s">
        <v>541</v>
      </c>
      <c r="W11" s="112"/>
      <c r="X11" s="112"/>
    </row>
    <row r="12" spans="1:24" s="47" customFormat="1" x14ac:dyDescent="0.2">
      <c r="A12" s="16" t="s">
        <v>523</v>
      </c>
      <c r="B12" s="18" t="s">
        <v>508</v>
      </c>
      <c r="C12" s="18" t="s">
        <v>474</v>
      </c>
      <c r="D12" s="19">
        <v>36526</v>
      </c>
      <c r="E12" s="19">
        <v>36830</v>
      </c>
      <c r="F12" s="16" t="s">
        <v>509</v>
      </c>
      <c r="G12" s="16" t="s">
        <v>510</v>
      </c>
      <c r="H12" s="18"/>
      <c r="I12" s="24">
        <f>1.0603/I$1</f>
        <v>3.4203225806451611E-2</v>
      </c>
      <c r="J12" s="20">
        <v>1.6999999999999999E-3</v>
      </c>
      <c r="K12" s="20">
        <v>2.2000000000000001E-3</v>
      </c>
      <c r="L12" s="20">
        <v>0</v>
      </c>
      <c r="M12" s="20">
        <v>0</v>
      </c>
      <c r="N12" s="234">
        <v>5.9300000000000004E-3</v>
      </c>
      <c r="O12" s="20">
        <f>SUM(I12:M12)</f>
        <v>3.8103225806451611E-2</v>
      </c>
      <c r="P12" s="112">
        <v>42789</v>
      </c>
      <c r="Q12" s="18">
        <v>30000</v>
      </c>
      <c r="R12" s="16" t="s">
        <v>511</v>
      </c>
      <c r="S12" s="25">
        <f>I12*I$1*Q12</f>
        <v>31809</v>
      </c>
      <c r="T12" s="25"/>
      <c r="U12" s="246">
        <v>140447</v>
      </c>
      <c r="V12" s="16"/>
      <c r="W12" s="112"/>
      <c r="X12" s="112"/>
    </row>
    <row r="13" spans="1:24" x14ac:dyDescent="0.2">
      <c r="A13" s="26" t="s">
        <v>47</v>
      </c>
      <c r="B13" s="247" t="s">
        <v>47</v>
      </c>
      <c r="C13" s="27" t="s">
        <v>47</v>
      </c>
      <c r="D13" s="28" t="s">
        <v>47</v>
      </c>
      <c r="E13" s="28"/>
      <c r="F13" s="26" t="s">
        <v>47</v>
      </c>
      <c r="G13" s="248" t="s">
        <v>47</v>
      </c>
      <c r="H13" s="247" t="s">
        <v>47</v>
      </c>
      <c r="I13" s="29"/>
      <c r="J13" s="30"/>
      <c r="K13" s="30"/>
      <c r="L13" s="30"/>
      <c r="M13" s="30"/>
      <c r="N13" s="249"/>
      <c r="O13" s="30"/>
      <c r="P13" s="263" t="s">
        <v>47</v>
      </c>
      <c r="Q13" s="247">
        <f>SUM(Q12:Q12)</f>
        <v>30000</v>
      </c>
      <c r="R13" s="26" t="s">
        <v>47</v>
      </c>
      <c r="S13" s="250">
        <f>SUM(S12:S12)</f>
        <v>31809</v>
      </c>
      <c r="T13" s="250">
        <f>SUM(T12:T12)</f>
        <v>0</v>
      </c>
      <c r="U13" s="251"/>
      <c r="V13" s="31"/>
      <c r="W13" s="112"/>
      <c r="X13" s="112"/>
    </row>
    <row r="14" spans="1:24" x14ac:dyDescent="0.2">
      <c r="A14" s="238" t="s">
        <v>49</v>
      </c>
      <c r="B14" s="239" t="s">
        <v>50</v>
      </c>
      <c r="C14" s="239" t="s">
        <v>51</v>
      </c>
      <c r="D14" s="240" t="s">
        <v>52</v>
      </c>
      <c r="E14" s="240"/>
      <c r="F14" s="238" t="s">
        <v>53</v>
      </c>
      <c r="G14" s="238" t="s">
        <v>54</v>
      </c>
      <c r="H14" s="239" t="s">
        <v>55</v>
      </c>
      <c r="I14" s="241" t="s">
        <v>56</v>
      </c>
      <c r="J14" s="239" t="s">
        <v>57</v>
      </c>
      <c r="K14" s="239" t="s">
        <v>58</v>
      </c>
      <c r="L14" s="239" t="s">
        <v>59</v>
      </c>
      <c r="M14" s="239" t="s">
        <v>60</v>
      </c>
      <c r="N14" s="242" t="s">
        <v>62</v>
      </c>
      <c r="O14" s="239" t="s">
        <v>63</v>
      </c>
      <c r="P14" s="264" t="s">
        <v>64</v>
      </c>
      <c r="Q14" s="239" t="s">
        <v>65</v>
      </c>
      <c r="R14" s="238" t="s">
        <v>66</v>
      </c>
      <c r="S14" s="244" t="s">
        <v>524</v>
      </c>
      <c r="T14" s="244" t="s">
        <v>524</v>
      </c>
      <c r="U14" s="245"/>
      <c r="V14" s="244" t="str">
        <f>+V11</f>
        <v>Questions</v>
      </c>
      <c r="W14" s="112"/>
      <c r="X14" s="112"/>
    </row>
    <row r="15" spans="1:24" s="47" customFormat="1" x14ac:dyDescent="0.2">
      <c r="A15" s="16" t="s">
        <v>523</v>
      </c>
      <c r="B15" s="18" t="s">
        <v>525</v>
      </c>
      <c r="C15" s="18" t="s">
        <v>474</v>
      </c>
      <c r="D15" s="19">
        <v>36526</v>
      </c>
      <c r="E15" s="19" t="s">
        <v>532</v>
      </c>
      <c r="F15" s="16" t="s">
        <v>543</v>
      </c>
      <c r="G15" s="16" t="s">
        <v>543</v>
      </c>
      <c r="H15" s="18"/>
      <c r="I15" s="24">
        <v>0</v>
      </c>
      <c r="J15" s="20">
        <v>0</v>
      </c>
      <c r="K15" s="20">
        <v>0</v>
      </c>
      <c r="L15" s="20">
        <v>0</v>
      </c>
      <c r="M15" s="20">
        <v>0</v>
      </c>
      <c r="N15" s="234">
        <v>0</v>
      </c>
      <c r="O15" s="20">
        <f>SUM(I15:M15)</f>
        <v>0</v>
      </c>
      <c r="P15" s="112">
        <v>36907</v>
      </c>
      <c r="Q15" s="18">
        <v>0</v>
      </c>
      <c r="R15" s="16" t="s">
        <v>546</v>
      </c>
      <c r="S15" s="25">
        <f>I15*I$1*Q15</f>
        <v>0</v>
      </c>
      <c r="T15" s="25"/>
      <c r="U15" s="246">
        <v>148659</v>
      </c>
      <c r="V15" s="25"/>
      <c r="W15" s="112"/>
      <c r="X15" s="112"/>
    </row>
    <row r="16" spans="1:24" s="47" customFormat="1" x14ac:dyDescent="0.2">
      <c r="A16" s="16" t="s">
        <v>545</v>
      </c>
      <c r="B16" s="18" t="s">
        <v>525</v>
      </c>
      <c r="C16" s="18" t="s">
        <v>544</v>
      </c>
      <c r="D16" s="19">
        <v>36526</v>
      </c>
      <c r="E16" s="19" t="s">
        <v>532</v>
      </c>
      <c r="F16" s="16" t="s">
        <v>543</v>
      </c>
      <c r="G16" s="16" t="s">
        <v>543</v>
      </c>
      <c r="H16" s="18"/>
      <c r="I16" s="24">
        <v>0</v>
      </c>
      <c r="J16" s="20">
        <v>0</v>
      </c>
      <c r="K16" s="20">
        <v>0</v>
      </c>
      <c r="L16" s="20">
        <v>0</v>
      </c>
      <c r="M16" s="20">
        <v>0</v>
      </c>
      <c r="N16" s="234">
        <v>0</v>
      </c>
      <c r="O16" s="20">
        <f>SUM(I16:M16)</f>
        <v>0</v>
      </c>
      <c r="P16" s="112">
        <v>48049</v>
      </c>
      <c r="Q16" s="18">
        <v>0</v>
      </c>
      <c r="R16" s="16" t="s">
        <v>546</v>
      </c>
      <c r="S16" s="25">
        <f>I16*I$1*Q16</f>
        <v>0</v>
      </c>
      <c r="T16" s="25"/>
      <c r="U16" s="246">
        <v>149173</v>
      </c>
      <c r="V16" s="25"/>
      <c r="W16" s="112"/>
      <c r="X16" s="112"/>
    </row>
    <row r="17" spans="1:24" s="47" customFormat="1" x14ac:dyDescent="0.2">
      <c r="A17" s="16" t="s">
        <v>523</v>
      </c>
      <c r="B17" s="18" t="s">
        <v>525</v>
      </c>
      <c r="C17" s="18" t="s">
        <v>474</v>
      </c>
      <c r="D17" s="19">
        <v>36526</v>
      </c>
      <c r="E17" s="19" t="s">
        <v>532</v>
      </c>
      <c r="F17" s="16" t="s">
        <v>543</v>
      </c>
      <c r="G17" s="16" t="s">
        <v>543</v>
      </c>
      <c r="H17" s="18"/>
      <c r="I17" s="24">
        <v>0</v>
      </c>
      <c r="J17" s="20">
        <v>0</v>
      </c>
      <c r="K17" s="20">
        <v>0</v>
      </c>
      <c r="L17" s="20">
        <v>0</v>
      </c>
      <c r="M17" s="20">
        <v>0</v>
      </c>
      <c r="N17" s="234">
        <v>0</v>
      </c>
      <c r="O17" s="20">
        <f>SUM(I17:M17)</f>
        <v>0</v>
      </c>
      <c r="P17" s="112">
        <v>39999</v>
      </c>
      <c r="Q17" s="18">
        <v>0</v>
      </c>
      <c r="R17" s="16" t="s">
        <v>542</v>
      </c>
      <c r="S17" s="25">
        <f>I17*I$1*Q17</f>
        <v>0</v>
      </c>
      <c r="T17" s="25"/>
      <c r="U17" s="246">
        <v>149337</v>
      </c>
      <c r="V17" s="25"/>
      <c r="W17" s="112"/>
      <c r="X17" s="112"/>
    </row>
    <row r="18" spans="1:24" s="47" customFormat="1" x14ac:dyDescent="0.2">
      <c r="A18" s="16" t="s">
        <v>545</v>
      </c>
      <c r="B18" s="18" t="s">
        <v>525</v>
      </c>
      <c r="C18" s="18" t="s">
        <v>544</v>
      </c>
      <c r="D18" s="19">
        <v>36526</v>
      </c>
      <c r="E18" s="19" t="s">
        <v>532</v>
      </c>
      <c r="F18" s="16" t="s">
        <v>543</v>
      </c>
      <c r="G18" s="16" t="s">
        <v>543</v>
      </c>
      <c r="H18" s="18"/>
      <c r="I18" s="24">
        <v>0</v>
      </c>
      <c r="J18" s="20">
        <v>0</v>
      </c>
      <c r="K18" s="20">
        <v>0</v>
      </c>
      <c r="L18" s="20">
        <v>0</v>
      </c>
      <c r="M18" s="20">
        <v>0</v>
      </c>
      <c r="N18" s="234">
        <v>0</v>
      </c>
      <c r="O18" s="20">
        <f>SUM(I18:M18)</f>
        <v>0</v>
      </c>
      <c r="P18" s="112">
        <v>48050</v>
      </c>
      <c r="Q18" s="18">
        <v>0</v>
      </c>
      <c r="R18" s="16" t="s">
        <v>542</v>
      </c>
      <c r="S18" s="25">
        <f>I18*I$1*Q18</f>
        <v>0</v>
      </c>
      <c r="T18" s="25"/>
      <c r="U18" s="246">
        <v>149338</v>
      </c>
      <c r="V18" s="25"/>
      <c r="W18" s="112"/>
      <c r="X18" s="112"/>
    </row>
    <row r="19" spans="1:24" x14ac:dyDescent="0.2">
      <c r="A19" s="16"/>
      <c r="B19" s="18"/>
      <c r="C19" s="18"/>
      <c r="D19" s="19" t="s">
        <v>47</v>
      </c>
      <c r="E19" s="19"/>
      <c r="F19" s="16"/>
      <c r="G19" s="16"/>
      <c r="H19" s="18"/>
      <c r="I19" s="24"/>
      <c r="J19" s="20"/>
      <c r="K19" s="32"/>
      <c r="L19" s="20"/>
      <c r="M19" s="20"/>
      <c r="N19" s="234"/>
      <c r="O19" s="20"/>
      <c r="P19" s="111"/>
      <c r="Q19" s="41"/>
      <c r="R19" s="123"/>
      <c r="S19" s="265"/>
      <c r="T19" s="258"/>
      <c r="U19" s="259"/>
      <c r="V19" s="258"/>
      <c r="W19" s="111"/>
      <c r="X19" s="111"/>
    </row>
    <row r="20" spans="1:24" x14ac:dyDescent="0.2">
      <c r="A20" s="238" t="s">
        <v>49</v>
      </c>
      <c r="B20" s="239" t="s">
        <v>50</v>
      </c>
      <c r="C20" s="239" t="s">
        <v>51</v>
      </c>
      <c r="D20" s="240" t="s">
        <v>52</v>
      </c>
      <c r="E20" s="240"/>
      <c r="F20" s="238" t="s">
        <v>53</v>
      </c>
      <c r="G20" s="238" t="s">
        <v>54</v>
      </c>
      <c r="H20" s="239" t="s">
        <v>55</v>
      </c>
      <c r="I20" s="241" t="s">
        <v>56</v>
      </c>
      <c r="J20" s="239" t="s">
        <v>57</v>
      </c>
      <c r="K20" s="239" t="s">
        <v>58</v>
      </c>
      <c r="L20" s="239" t="s">
        <v>59</v>
      </c>
      <c r="M20" s="239" t="s">
        <v>60</v>
      </c>
      <c r="N20" s="242" t="s">
        <v>62</v>
      </c>
      <c r="O20" s="239" t="s">
        <v>63</v>
      </c>
      <c r="P20" s="264" t="s">
        <v>64</v>
      </c>
      <c r="Q20" s="239" t="s">
        <v>65</v>
      </c>
      <c r="R20" s="238" t="s">
        <v>66</v>
      </c>
      <c r="S20" s="244" t="s">
        <v>505</v>
      </c>
      <c r="T20" s="244" t="s">
        <v>506</v>
      </c>
      <c r="U20" s="245" t="s">
        <v>389</v>
      </c>
      <c r="V20" s="244" t="s">
        <v>541</v>
      </c>
      <c r="W20" s="112"/>
      <c r="X20" s="112"/>
    </row>
    <row r="21" spans="1:24" s="47" customFormat="1" x14ac:dyDescent="0.2">
      <c r="A21" s="16" t="s">
        <v>523</v>
      </c>
      <c r="B21" s="18" t="s">
        <v>379</v>
      </c>
      <c r="C21" s="18" t="s">
        <v>474</v>
      </c>
      <c r="D21" s="19">
        <v>36526</v>
      </c>
      <c r="E21" s="19" t="s">
        <v>532</v>
      </c>
      <c r="F21" s="16" t="s">
        <v>533</v>
      </c>
      <c r="G21" s="16" t="s">
        <v>533</v>
      </c>
      <c r="H21" s="18" t="s">
        <v>317</v>
      </c>
      <c r="I21" s="24">
        <v>0</v>
      </c>
      <c r="J21" s="20">
        <v>0</v>
      </c>
      <c r="K21" s="20">
        <v>0</v>
      </c>
      <c r="L21" s="20">
        <v>0</v>
      </c>
      <c r="M21" s="20">
        <v>0</v>
      </c>
      <c r="N21" s="234">
        <v>0</v>
      </c>
      <c r="O21" s="20">
        <f>SUM(I21:M21)</f>
        <v>0</v>
      </c>
      <c r="P21" s="112">
        <v>238</v>
      </c>
      <c r="Q21" s="18">
        <v>0</v>
      </c>
      <c r="R21" s="16" t="s">
        <v>540</v>
      </c>
      <c r="S21" s="25">
        <f>I21*I$1*Q21</f>
        <v>0</v>
      </c>
      <c r="T21" s="25"/>
      <c r="U21" s="246">
        <v>149902</v>
      </c>
      <c r="V21" s="16"/>
      <c r="W21" s="112"/>
      <c r="X21" s="112"/>
    </row>
    <row r="22" spans="1:24" x14ac:dyDescent="0.2">
      <c r="A22" s="26" t="s">
        <v>47</v>
      </c>
      <c r="B22" s="247" t="s">
        <v>47</v>
      </c>
      <c r="C22" s="27" t="s">
        <v>47</v>
      </c>
      <c r="D22" s="28" t="s">
        <v>47</v>
      </c>
      <c r="E22" s="28"/>
      <c r="F22" s="26" t="s">
        <v>47</v>
      </c>
      <c r="G22" s="248" t="s">
        <v>47</v>
      </c>
      <c r="H22" s="247" t="s">
        <v>47</v>
      </c>
      <c r="I22" s="29"/>
      <c r="J22" s="30"/>
      <c r="K22" s="30"/>
      <c r="L22" s="30"/>
      <c r="M22" s="30"/>
      <c r="N22" s="249"/>
      <c r="O22" s="30"/>
      <c r="P22" s="263" t="s">
        <v>47</v>
      </c>
      <c r="Q22" s="247">
        <f>SUM(Q21:Q21)</f>
        <v>0</v>
      </c>
      <c r="R22" s="26" t="s">
        <v>47</v>
      </c>
      <c r="S22" s="250">
        <f>SUM(S21:S21)</f>
        <v>0</v>
      </c>
      <c r="T22" s="250">
        <f>SUM(T21:T21)</f>
        <v>0</v>
      </c>
      <c r="U22" s="251"/>
      <c r="V22" s="31"/>
      <c r="W22" s="112"/>
      <c r="X22" s="112"/>
    </row>
    <row r="23" spans="1:24" x14ac:dyDescent="0.2">
      <c r="A23" s="238" t="s">
        <v>49</v>
      </c>
      <c r="B23" s="239" t="s">
        <v>50</v>
      </c>
      <c r="C23" s="239" t="s">
        <v>51</v>
      </c>
      <c r="D23" s="240" t="s">
        <v>52</v>
      </c>
      <c r="E23" s="240"/>
      <c r="F23" s="238" t="s">
        <v>53</v>
      </c>
      <c r="G23" s="238" t="s">
        <v>54</v>
      </c>
      <c r="H23" s="239" t="s">
        <v>55</v>
      </c>
      <c r="I23" s="241" t="s">
        <v>56</v>
      </c>
      <c r="J23" s="239" t="s">
        <v>57</v>
      </c>
      <c r="K23" s="239" t="s">
        <v>58</v>
      </c>
      <c r="L23" s="239" t="s">
        <v>59</v>
      </c>
      <c r="M23" s="239" t="s">
        <v>60</v>
      </c>
      <c r="N23" s="242" t="s">
        <v>62</v>
      </c>
      <c r="O23" s="239" t="s">
        <v>63</v>
      </c>
      <c r="P23" s="264" t="s">
        <v>64</v>
      </c>
      <c r="Q23" s="239" t="s">
        <v>65</v>
      </c>
      <c r="R23" s="238" t="s">
        <v>66</v>
      </c>
      <c r="S23" s="244" t="s">
        <v>505</v>
      </c>
      <c r="T23" s="244" t="s">
        <v>506</v>
      </c>
      <c r="U23" s="245" t="s">
        <v>389</v>
      </c>
      <c r="V23" s="244" t="s">
        <v>541</v>
      </c>
      <c r="W23" s="112"/>
      <c r="X23" s="112"/>
    </row>
    <row r="24" spans="1:24" s="47" customFormat="1" x14ac:dyDescent="0.2">
      <c r="A24" s="16" t="s">
        <v>523</v>
      </c>
      <c r="B24" s="18" t="s">
        <v>22</v>
      </c>
      <c r="C24" s="18" t="s">
        <v>474</v>
      </c>
      <c r="D24" s="19">
        <v>36526</v>
      </c>
      <c r="E24" s="19" t="s">
        <v>532</v>
      </c>
      <c r="F24" s="16" t="s">
        <v>533</v>
      </c>
      <c r="G24" s="16" t="s">
        <v>533</v>
      </c>
      <c r="H24" s="18" t="s">
        <v>317</v>
      </c>
      <c r="I24" s="24">
        <v>0</v>
      </c>
      <c r="J24" s="20">
        <v>0</v>
      </c>
      <c r="K24" s="20">
        <v>0</v>
      </c>
      <c r="L24" s="20">
        <v>0</v>
      </c>
      <c r="M24" s="20">
        <v>0</v>
      </c>
      <c r="N24" s="234">
        <v>0</v>
      </c>
      <c r="O24" s="20">
        <f>SUM(I24:M24)</f>
        <v>0</v>
      </c>
      <c r="P24" s="112">
        <v>3.2846000000000002</v>
      </c>
      <c r="Q24" s="18">
        <v>0</v>
      </c>
      <c r="R24" s="16" t="s">
        <v>540</v>
      </c>
      <c r="S24" s="25">
        <f>I24*I$1*Q24</f>
        <v>0</v>
      </c>
      <c r="T24" s="25"/>
      <c r="U24" s="246">
        <v>149876</v>
      </c>
      <c r="V24" s="16"/>
      <c r="W24" s="112"/>
      <c r="X24" s="112"/>
    </row>
    <row r="25" spans="1:24" x14ac:dyDescent="0.2">
      <c r="A25" s="26" t="s">
        <v>47</v>
      </c>
      <c r="B25" s="247" t="s">
        <v>47</v>
      </c>
      <c r="C25" s="27" t="s">
        <v>47</v>
      </c>
      <c r="D25" s="28" t="s">
        <v>47</v>
      </c>
      <c r="E25" s="28"/>
      <c r="F25" s="26" t="s">
        <v>47</v>
      </c>
      <c r="G25" s="248" t="s">
        <v>47</v>
      </c>
      <c r="H25" s="247" t="s">
        <v>47</v>
      </c>
      <c r="I25" s="29"/>
      <c r="J25" s="30"/>
      <c r="K25" s="30"/>
      <c r="L25" s="30"/>
      <c r="M25" s="30"/>
      <c r="N25" s="249"/>
      <c r="O25" s="30"/>
      <c r="P25" s="263" t="s">
        <v>47</v>
      </c>
      <c r="Q25" s="247">
        <f>SUM(Q24:Q24)</f>
        <v>0</v>
      </c>
      <c r="R25" s="26" t="s">
        <v>47</v>
      </c>
      <c r="S25" s="250">
        <f>SUM(S24:S24)</f>
        <v>0</v>
      </c>
      <c r="T25" s="250">
        <f>SUM(T24:T24)</f>
        <v>0</v>
      </c>
      <c r="U25" s="251"/>
      <c r="V25" s="31"/>
      <c r="W25" s="112"/>
      <c r="X25" s="112"/>
    </row>
    <row r="26" spans="1:24" x14ac:dyDescent="0.2">
      <c r="A26" s="35"/>
      <c r="B26" s="18"/>
      <c r="C26" s="18"/>
      <c r="D26" s="19"/>
      <c r="E26" s="19"/>
      <c r="F26" s="16"/>
      <c r="G26" s="16"/>
      <c r="H26" s="18"/>
      <c r="I26" s="24"/>
      <c r="J26" s="20"/>
      <c r="K26" s="20"/>
      <c r="L26" s="20"/>
      <c r="M26" s="20"/>
      <c r="N26" s="234"/>
      <c r="O26" s="20"/>
      <c r="P26" s="111"/>
      <c r="Q26" s="260"/>
      <c r="R26" s="123"/>
      <c r="S26" s="36"/>
      <c r="T26" s="36"/>
      <c r="U26" s="235"/>
      <c r="V26" s="36"/>
      <c r="W26" s="111"/>
      <c r="X26" s="111"/>
    </row>
    <row r="27" spans="1:24" x14ac:dyDescent="0.2">
      <c r="A27" s="35"/>
      <c r="B27" s="18"/>
      <c r="C27" s="18"/>
      <c r="D27" s="19"/>
      <c r="E27" s="19"/>
      <c r="F27" s="16"/>
      <c r="G27" s="16"/>
      <c r="H27" s="18"/>
      <c r="I27" s="20"/>
      <c r="J27" s="20"/>
      <c r="K27" s="20"/>
      <c r="L27" s="20"/>
      <c r="M27" s="20"/>
      <c r="N27" s="234"/>
      <c r="O27" s="20"/>
      <c r="P27" s="111"/>
      <c r="Q27" s="260"/>
      <c r="R27" s="36"/>
      <c r="S27" s="36"/>
      <c r="T27" s="36"/>
      <c r="U27" s="235"/>
      <c r="V27" s="36"/>
      <c r="W27" s="111"/>
      <c r="X27" s="111"/>
    </row>
    <row r="28" spans="1:24" x14ac:dyDescent="0.2">
      <c r="A28" s="35"/>
      <c r="B28" s="18"/>
      <c r="C28" s="18"/>
      <c r="D28" s="19"/>
      <c r="E28" s="19"/>
      <c r="F28" s="16"/>
      <c r="G28" s="16"/>
      <c r="H28" s="18"/>
      <c r="I28" s="24"/>
      <c r="J28" s="20"/>
      <c r="K28" s="20"/>
      <c r="L28" s="20"/>
      <c r="M28" s="20"/>
      <c r="N28" s="234"/>
      <c r="O28" s="20"/>
      <c r="P28" s="111"/>
      <c r="Q28" s="260"/>
      <c r="R28" s="36"/>
      <c r="S28" s="36"/>
      <c r="T28" s="36"/>
      <c r="U28" s="235"/>
      <c r="V28" s="36"/>
      <c r="W28" s="111"/>
      <c r="X28" s="111"/>
    </row>
    <row r="29" spans="1:24" x14ac:dyDescent="0.2">
      <c r="A29" s="35" t="s">
        <v>539</v>
      </c>
      <c r="B29" s="18"/>
      <c r="C29" s="18"/>
      <c r="D29" s="19"/>
      <c r="E29" s="19"/>
      <c r="F29" s="16"/>
      <c r="G29" s="16"/>
      <c r="H29" s="18"/>
      <c r="I29" s="20"/>
      <c r="J29" s="20"/>
      <c r="K29" s="20"/>
      <c r="L29" s="20"/>
      <c r="M29" s="20"/>
      <c r="N29" s="234"/>
      <c r="O29" s="20"/>
      <c r="P29" s="111"/>
      <c r="Q29" s="260"/>
      <c r="R29" s="36"/>
      <c r="S29" s="36"/>
      <c r="T29" s="36"/>
      <c r="U29" s="235"/>
      <c r="V29" s="36"/>
      <c r="W29" s="111"/>
      <c r="X29" s="111"/>
    </row>
    <row r="30" spans="1:24" x14ac:dyDescent="0.2">
      <c r="A30" s="35"/>
      <c r="B30" s="16" t="s">
        <v>538</v>
      </c>
      <c r="C30" s="18"/>
      <c r="D30" s="19"/>
      <c r="E30" s="19"/>
      <c r="F30" s="16"/>
      <c r="G30" s="16"/>
      <c r="H30" s="18"/>
      <c r="I30" s="24"/>
      <c r="J30" s="20"/>
      <c r="K30" s="20"/>
      <c r="L30" s="20"/>
      <c r="M30" s="20"/>
      <c r="N30" s="234"/>
      <c r="O30" s="20"/>
      <c r="P30" s="111"/>
      <c r="Q30" s="260"/>
      <c r="R30" s="36"/>
      <c r="S30" s="36"/>
      <c r="T30" s="36"/>
      <c r="U30" s="235"/>
      <c r="V30" s="36"/>
      <c r="W30" s="111"/>
      <c r="X30" s="111"/>
    </row>
    <row r="31" spans="1:24" x14ac:dyDescent="0.2">
      <c r="A31" s="35"/>
      <c r="B31" s="18" t="s">
        <v>377</v>
      </c>
      <c r="C31" s="112">
        <v>149776</v>
      </c>
      <c r="D31" s="19"/>
      <c r="E31" s="19"/>
      <c r="F31" s="16"/>
      <c r="G31" s="16"/>
      <c r="H31" s="18"/>
      <c r="I31" s="20"/>
      <c r="J31" s="20"/>
      <c r="K31" s="20"/>
      <c r="L31" s="20"/>
      <c r="M31" s="20"/>
      <c r="N31" s="234"/>
      <c r="O31" s="20"/>
      <c r="P31" s="111"/>
      <c r="Q31" s="260"/>
      <c r="R31" s="36"/>
      <c r="S31" s="36"/>
      <c r="T31" s="36"/>
      <c r="U31" s="235"/>
      <c r="V31" s="36"/>
      <c r="W31" s="111"/>
      <c r="X31" s="111"/>
    </row>
    <row r="32" spans="1:24" x14ac:dyDescent="0.2">
      <c r="A32" s="35"/>
      <c r="B32" s="18" t="s">
        <v>537</v>
      </c>
      <c r="C32" s="112">
        <v>149775</v>
      </c>
      <c r="D32" s="19"/>
      <c r="E32" s="19"/>
      <c r="F32" s="16"/>
      <c r="G32" s="16"/>
      <c r="H32" s="18"/>
      <c r="I32" s="20"/>
      <c r="J32" s="20"/>
      <c r="K32" s="20"/>
      <c r="L32" s="20"/>
      <c r="M32" s="20"/>
      <c r="N32" s="234"/>
      <c r="O32" s="20"/>
      <c r="P32" s="111"/>
      <c r="Q32" s="260"/>
      <c r="R32" s="36"/>
      <c r="S32" s="36"/>
      <c r="T32" s="36"/>
      <c r="U32" s="235"/>
      <c r="V32" s="36"/>
      <c r="W32" s="123"/>
      <c r="X32" s="111"/>
    </row>
    <row r="33" spans="1:24" x14ac:dyDescent="0.2">
      <c r="A33" s="35"/>
      <c r="B33" s="18"/>
      <c r="C33" s="18"/>
      <c r="D33" s="19"/>
      <c r="E33" s="19"/>
      <c r="F33" s="16"/>
      <c r="G33" s="16"/>
      <c r="H33" s="18"/>
      <c r="I33" s="20"/>
      <c r="J33" s="20"/>
      <c r="K33" s="20"/>
      <c r="L33" s="20"/>
      <c r="M33" s="20"/>
      <c r="N33" s="234"/>
      <c r="O33" s="20"/>
      <c r="P33" s="111"/>
      <c r="Q33" s="260"/>
      <c r="R33" s="36"/>
      <c r="S33" s="36"/>
      <c r="T33" s="36"/>
      <c r="U33" s="235"/>
      <c r="V33" s="36"/>
      <c r="W33" s="111"/>
      <c r="X33" s="111"/>
    </row>
    <row r="34" spans="1:24" x14ac:dyDescent="0.2">
      <c r="A34" s="35"/>
      <c r="B34" s="18"/>
      <c r="C34" s="18"/>
      <c r="D34" s="19"/>
      <c r="E34" s="19"/>
      <c r="F34" s="16"/>
      <c r="G34" s="16"/>
      <c r="H34" s="18"/>
      <c r="I34" s="20"/>
      <c r="J34" s="20"/>
      <c r="K34" s="20"/>
      <c r="L34" s="20"/>
      <c r="M34" s="20"/>
      <c r="N34" s="234"/>
      <c r="O34" s="20"/>
      <c r="P34" s="111"/>
      <c r="Q34" s="260"/>
      <c r="R34" s="36"/>
      <c r="S34" s="36"/>
      <c r="T34" s="36"/>
      <c r="U34" s="235"/>
      <c r="V34" s="36"/>
      <c r="W34" s="111"/>
      <c r="X34" s="111"/>
    </row>
    <row r="35" spans="1:24" x14ac:dyDescent="0.2">
      <c r="A35" s="35"/>
      <c r="B35" s="18"/>
      <c r="C35" s="18"/>
      <c r="D35" s="19"/>
      <c r="E35" s="19"/>
      <c r="F35" s="16"/>
      <c r="G35" s="16"/>
      <c r="H35" s="18"/>
      <c r="I35" s="24"/>
      <c r="J35" s="20"/>
      <c r="K35" s="20"/>
      <c r="L35" s="20"/>
      <c r="M35" s="20"/>
      <c r="N35" s="234"/>
      <c r="O35" s="20"/>
      <c r="P35" s="111"/>
      <c r="Q35" s="260"/>
      <c r="R35" s="123"/>
      <c r="S35" s="36"/>
      <c r="T35" s="36"/>
      <c r="U35" s="235"/>
      <c r="V35" s="36"/>
      <c r="W35" s="111"/>
      <c r="X35" s="111"/>
    </row>
    <row r="36" spans="1:24" x14ac:dyDescent="0.2">
      <c r="A36" s="35"/>
      <c r="B36" s="18"/>
      <c r="C36" s="18"/>
      <c r="D36" s="19"/>
      <c r="E36" s="19"/>
      <c r="F36" s="16"/>
      <c r="G36" s="16"/>
      <c r="H36" s="18"/>
      <c r="I36" s="24"/>
      <c r="J36" s="20"/>
      <c r="K36" s="20"/>
      <c r="L36" s="20"/>
      <c r="M36" s="20"/>
      <c r="N36" s="234"/>
      <c r="O36" s="20"/>
      <c r="P36" s="111"/>
      <c r="Q36" s="260"/>
      <c r="R36" s="123"/>
      <c r="S36" s="36"/>
      <c r="T36" s="36"/>
      <c r="U36" s="235"/>
      <c r="V36" s="36"/>
      <c r="W36" s="111"/>
      <c r="X36" s="111"/>
    </row>
    <row r="37" spans="1:24" x14ac:dyDescent="0.2">
      <c r="P37" s="262"/>
      <c r="Q37" s="46"/>
      <c r="R37" s="46"/>
      <c r="S37" s="46"/>
      <c r="T37" s="46"/>
      <c r="U37" s="262"/>
      <c r="V37" s="46"/>
      <c r="W37" s="262"/>
    </row>
    <row r="38" spans="1:24" x14ac:dyDescent="0.2">
      <c r="P38" s="262"/>
      <c r="Q38" s="46"/>
      <c r="R38" s="46"/>
      <c r="S38" s="46"/>
      <c r="T38" s="46"/>
      <c r="U38" s="262"/>
      <c r="V38" s="46"/>
      <c r="W38" s="262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V155"/>
  <sheetViews>
    <sheetView topLeftCell="B98" workbookViewId="0">
      <selection activeCell="D110" sqref="D109:D110"/>
    </sheetView>
  </sheetViews>
  <sheetFormatPr defaultRowHeight="12.75" x14ac:dyDescent="0.2"/>
  <cols>
    <col min="1" max="1" width="8.85546875" style="34" customWidth="1"/>
    <col min="2" max="2" width="9.140625" style="34"/>
    <col min="3" max="3" width="10.5703125" style="34" customWidth="1"/>
    <col min="4" max="4" width="8.7109375" style="34" customWidth="1"/>
    <col min="5" max="5" width="11" style="34" customWidth="1"/>
    <col min="6" max="6" width="12.42578125" style="35" customWidth="1"/>
    <col min="7" max="7" width="8" style="35" customWidth="1"/>
    <col min="8" max="8" width="6.42578125" style="34" customWidth="1"/>
    <col min="9" max="9" width="8.85546875" style="34" customWidth="1"/>
    <col min="10" max="13" width="0" style="34" hidden="1" customWidth="1"/>
    <col min="14" max="14" width="0" style="261" hidden="1" customWidth="1"/>
    <col min="15" max="15" width="0" style="34" hidden="1" customWidth="1"/>
    <col min="16" max="16" width="12.28515625" style="34" customWidth="1"/>
    <col min="17" max="17" width="9.140625" style="34"/>
    <col min="18" max="18" width="13.7109375" style="34" customWidth="1"/>
    <col min="19" max="19" width="12.85546875" style="47" customWidth="1"/>
    <col min="20" max="20" width="13.5703125" style="113" customWidth="1"/>
    <col min="21" max="22" width="9.140625" style="113"/>
    <col min="23" max="23" width="12.42578125" style="34" customWidth="1"/>
    <col min="24" max="16384" width="9.140625" style="34"/>
  </cols>
  <sheetData>
    <row r="1" spans="1:22" x14ac:dyDescent="0.2">
      <c r="A1" s="124" t="s">
        <v>807</v>
      </c>
      <c r="B1" s="18"/>
      <c r="C1" s="18"/>
      <c r="D1" s="19"/>
      <c r="E1" s="19"/>
      <c r="F1" s="16" t="s">
        <v>683</v>
      </c>
      <c r="G1" s="16">
        <v>1</v>
      </c>
      <c r="H1" s="18" t="s">
        <v>71</v>
      </c>
      <c r="I1" s="23">
        <v>28</v>
      </c>
      <c r="J1" s="233" t="s">
        <v>497</v>
      </c>
      <c r="K1" s="20"/>
      <c r="L1" s="20"/>
      <c r="M1" s="20"/>
      <c r="N1" s="234"/>
      <c r="O1" s="20"/>
      <c r="P1" s="33"/>
      <c r="Q1" s="17"/>
      <c r="R1" s="36"/>
      <c r="S1" s="36"/>
      <c r="T1" s="235"/>
      <c r="U1" s="111"/>
      <c r="V1" s="111"/>
    </row>
    <row r="2" spans="1:22" x14ac:dyDescent="0.2">
      <c r="A2" s="16" t="s">
        <v>435</v>
      </c>
      <c r="B2" s="16"/>
      <c r="C2" s="16"/>
      <c r="D2" s="19"/>
      <c r="E2" s="19"/>
      <c r="F2" s="16"/>
      <c r="G2" s="16"/>
      <c r="H2" s="18"/>
      <c r="I2" s="23"/>
      <c r="J2" s="233" t="s">
        <v>498</v>
      </c>
      <c r="K2" s="20"/>
      <c r="L2" s="20"/>
      <c r="M2" s="20"/>
      <c r="N2" s="234"/>
      <c r="O2" s="20"/>
      <c r="P2" s="33"/>
      <c r="Q2" s="17"/>
      <c r="R2" s="36"/>
      <c r="S2" s="36"/>
      <c r="T2" s="235"/>
      <c r="U2" s="111"/>
      <c r="V2" s="111"/>
    </row>
    <row r="3" spans="1:22" x14ac:dyDescent="0.2">
      <c r="A3" s="16" t="s">
        <v>436</v>
      </c>
      <c r="B3" s="16"/>
      <c r="C3" s="16"/>
      <c r="D3" s="19"/>
      <c r="E3" s="19"/>
      <c r="F3" s="22" t="s">
        <v>47</v>
      </c>
      <c r="G3" s="16" t="s">
        <v>47</v>
      </c>
      <c r="H3" s="17" t="s">
        <v>47</v>
      </c>
      <c r="I3" s="24"/>
      <c r="J3" s="39" t="s">
        <v>47</v>
      </c>
      <c r="K3" s="20"/>
      <c r="L3" s="39" t="s">
        <v>47</v>
      </c>
      <c r="M3" s="20"/>
      <c r="N3" s="234"/>
      <c r="O3" s="39" t="s">
        <v>47</v>
      </c>
      <c r="P3" s="33"/>
      <c r="Q3" s="17"/>
      <c r="R3" s="36"/>
      <c r="S3" s="36"/>
      <c r="T3" s="235"/>
      <c r="U3" s="111"/>
      <c r="V3" s="111"/>
    </row>
    <row r="4" spans="1:22" x14ac:dyDescent="0.2">
      <c r="A4" s="16" t="s">
        <v>499</v>
      </c>
      <c r="B4" s="18"/>
      <c r="C4" s="18"/>
      <c r="D4" s="19"/>
      <c r="E4" s="19"/>
      <c r="F4" s="40"/>
      <c r="G4" s="16"/>
      <c r="H4" s="40"/>
      <c r="I4" s="24"/>
      <c r="J4" s="40"/>
      <c r="K4" s="20"/>
      <c r="L4" s="40"/>
      <c r="M4" s="17"/>
      <c r="N4" s="234"/>
      <c r="O4" s="17"/>
      <c r="P4" s="33"/>
      <c r="Q4" s="17"/>
      <c r="R4" s="36"/>
      <c r="S4" s="36"/>
      <c r="T4" s="236"/>
      <c r="U4" s="111"/>
      <c r="V4" s="111"/>
    </row>
    <row r="5" spans="1:22" x14ac:dyDescent="0.2">
      <c r="A5" s="16" t="s">
        <v>500</v>
      </c>
      <c r="B5" s="18"/>
      <c r="C5" s="237"/>
      <c r="D5" s="19"/>
      <c r="E5" s="19"/>
      <c r="F5" s="40"/>
      <c r="G5" s="16"/>
      <c r="H5" s="40"/>
      <c r="I5" s="24"/>
      <c r="J5" s="40"/>
      <c r="K5" s="20"/>
      <c r="L5" s="40"/>
      <c r="M5" s="17"/>
      <c r="N5" s="234"/>
      <c r="O5" s="17"/>
      <c r="P5" s="33"/>
      <c r="Q5" s="17"/>
      <c r="R5" s="36"/>
      <c r="S5" s="36"/>
      <c r="T5" s="236"/>
      <c r="U5" s="111"/>
      <c r="V5" s="111"/>
    </row>
    <row r="6" spans="1:22" x14ac:dyDescent="0.2">
      <c r="A6" s="16"/>
      <c r="B6" s="18"/>
      <c r="C6" s="237"/>
      <c r="D6" s="19"/>
      <c r="E6" s="19"/>
      <c r="F6" s="40"/>
      <c r="G6" s="16"/>
      <c r="H6" s="40"/>
      <c r="I6" s="24"/>
      <c r="J6" s="40"/>
      <c r="K6" s="20"/>
      <c r="L6" s="40"/>
      <c r="M6" s="17"/>
      <c r="N6" s="234"/>
      <c r="O6" s="17"/>
      <c r="P6" s="33"/>
      <c r="Q6" s="17"/>
      <c r="R6" s="36"/>
      <c r="S6" s="36"/>
      <c r="T6" s="236"/>
      <c r="U6" s="111"/>
      <c r="V6" s="111"/>
    </row>
    <row r="7" spans="1:22" x14ac:dyDescent="0.2">
      <c r="A7" s="16"/>
      <c r="B7" s="18"/>
      <c r="C7" s="237"/>
      <c r="D7" s="19"/>
      <c r="E7" s="19"/>
      <c r="F7" s="40"/>
      <c r="G7" s="16"/>
      <c r="H7" s="40"/>
      <c r="I7" s="24"/>
      <c r="J7" s="40"/>
      <c r="K7" s="20"/>
      <c r="L7" s="40"/>
      <c r="M7" s="17"/>
      <c r="N7" s="234"/>
      <c r="O7" s="17"/>
      <c r="P7" s="33"/>
      <c r="Q7" s="17"/>
      <c r="R7" s="36"/>
      <c r="S7" s="36"/>
      <c r="T7" s="236"/>
      <c r="U7" s="111"/>
      <c r="V7" s="111"/>
    </row>
    <row r="8" spans="1:22" x14ac:dyDescent="0.2">
      <c r="A8" s="16"/>
      <c r="B8" s="18"/>
      <c r="C8" s="237"/>
      <c r="D8" s="19"/>
      <c r="E8" s="19"/>
      <c r="F8" s="40"/>
      <c r="G8" s="16"/>
      <c r="H8" s="40"/>
      <c r="I8" s="24"/>
      <c r="J8" s="40"/>
      <c r="K8" s="20"/>
      <c r="L8" s="40"/>
      <c r="M8" s="17"/>
      <c r="N8" s="234"/>
      <c r="O8" s="17"/>
      <c r="P8" s="33"/>
      <c r="Q8" s="17"/>
      <c r="R8" s="36"/>
      <c r="S8" s="36"/>
      <c r="T8" s="236"/>
      <c r="U8" s="111"/>
      <c r="V8" s="111"/>
    </row>
    <row r="9" spans="1:22" x14ac:dyDescent="0.2">
      <c r="A9" s="16"/>
      <c r="B9" s="18"/>
      <c r="C9" s="237"/>
      <c r="D9" s="19"/>
      <c r="E9" s="19"/>
      <c r="F9" s="40"/>
      <c r="G9" s="16"/>
      <c r="H9" s="40"/>
      <c r="I9" s="24"/>
      <c r="J9" s="40"/>
      <c r="K9" s="20"/>
      <c r="L9" s="40"/>
      <c r="M9" s="17"/>
      <c r="N9" s="234"/>
      <c r="O9" s="17"/>
      <c r="P9" s="33"/>
      <c r="Q9" s="17"/>
      <c r="R9" s="36"/>
      <c r="S9" s="36"/>
      <c r="T9" s="236"/>
      <c r="U9" s="111"/>
      <c r="V9" s="111"/>
    </row>
    <row r="10" spans="1:22" x14ac:dyDescent="0.2">
      <c r="A10" s="16"/>
      <c r="B10" s="18"/>
      <c r="C10" s="18"/>
      <c r="D10" s="19"/>
      <c r="E10" s="19"/>
      <c r="F10" s="40"/>
      <c r="G10" s="16"/>
      <c r="H10" s="40"/>
      <c r="I10" s="24"/>
      <c r="J10" s="40"/>
      <c r="K10" s="20"/>
      <c r="L10" s="40"/>
      <c r="M10" s="17"/>
      <c r="N10" s="234"/>
      <c r="O10" s="17"/>
      <c r="P10" s="33"/>
      <c r="Q10" s="17"/>
      <c r="R10" s="36"/>
      <c r="S10" s="36"/>
      <c r="T10" s="236"/>
      <c r="U10" s="111"/>
      <c r="V10" s="111"/>
    </row>
    <row r="11" spans="1:22" x14ac:dyDescent="0.2">
      <c r="A11" s="274"/>
      <c r="B11" s="260"/>
      <c r="C11" s="123"/>
      <c r="D11" s="275"/>
      <c r="E11" s="275"/>
      <c r="F11" s="274"/>
      <c r="G11" s="365"/>
      <c r="H11" s="260"/>
      <c r="I11" s="276"/>
      <c r="J11" s="32"/>
      <c r="K11" s="32"/>
      <c r="L11" s="32"/>
      <c r="M11" s="32"/>
      <c r="N11" s="366"/>
      <c r="O11" s="32"/>
      <c r="P11" s="367"/>
      <c r="Q11" s="260"/>
      <c r="R11" s="274"/>
      <c r="S11" s="36"/>
      <c r="T11" s="236"/>
      <c r="U11" s="112"/>
      <c r="V11" s="112"/>
    </row>
    <row r="12" spans="1:22" s="378" customFormat="1" x14ac:dyDescent="0.2">
      <c r="A12" s="368" t="s">
        <v>49</v>
      </c>
      <c r="B12" s="369" t="s">
        <v>50</v>
      </c>
      <c r="C12" s="369" t="s">
        <v>51</v>
      </c>
      <c r="D12" s="370" t="s">
        <v>52</v>
      </c>
      <c r="E12" s="370"/>
      <c r="F12" s="368" t="s">
        <v>53</v>
      </c>
      <c r="G12" s="368" t="s">
        <v>54</v>
      </c>
      <c r="H12" s="369" t="s">
        <v>55</v>
      </c>
      <c r="I12" s="371" t="s">
        <v>56</v>
      </c>
      <c r="J12" s="369" t="s">
        <v>57</v>
      </c>
      <c r="K12" s="369" t="s">
        <v>58</v>
      </c>
      <c r="L12" s="369" t="s">
        <v>59</v>
      </c>
      <c r="M12" s="369" t="s">
        <v>60</v>
      </c>
      <c r="N12" s="372" t="s">
        <v>62</v>
      </c>
      <c r="O12" s="369" t="s">
        <v>63</v>
      </c>
      <c r="P12" s="373" t="s">
        <v>504</v>
      </c>
      <c r="Q12" s="369" t="s">
        <v>65</v>
      </c>
      <c r="R12" s="368" t="s">
        <v>66</v>
      </c>
      <c r="S12" s="374" t="s">
        <v>505</v>
      </c>
      <c r="T12" s="376" t="s">
        <v>507</v>
      </c>
      <c r="U12" s="377"/>
      <c r="V12" s="377"/>
    </row>
    <row r="13" spans="1:22" s="47" customFormat="1" x14ac:dyDescent="0.2">
      <c r="A13" s="16" t="s">
        <v>451</v>
      </c>
      <c r="B13" s="18" t="s">
        <v>508</v>
      </c>
      <c r="C13" s="18" t="s">
        <v>508</v>
      </c>
      <c r="D13" s="19">
        <v>34274</v>
      </c>
      <c r="E13" s="19">
        <v>37042</v>
      </c>
      <c r="F13" s="16" t="s">
        <v>28</v>
      </c>
      <c r="G13" s="16" t="s">
        <v>593</v>
      </c>
      <c r="H13" s="18" t="s">
        <v>68</v>
      </c>
      <c r="I13" s="24">
        <f>1.0603/I$1</f>
        <v>3.7867857142857141E-2</v>
      </c>
      <c r="J13" s="20">
        <v>0</v>
      </c>
      <c r="K13" s="20">
        <v>0</v>
      </c>
      <c r="L13" s="20">
        <v>0</v>
      </c>
      <c r="M13" s="20">
        <v>0</v>
      </c>
      <c r="N13" s="234">
        <v>0</v>
      </c>
      <c r="O13" s="20">
        <f t="shared" ref="O13:O19" si="0">SUM(I13:M13)</f>
        <v>3.7867857142857141E-2</v>
      </c>
      <c r="P13" s="33">
        <v>37393</v>
      </c>
      <c r="Q13" s="18">
        <v>20000</v>
      </c>
      <c r="R13" s="16" t="s">
        <v>660</v>
      </c>
      <c r="S13" s="25">
        <f t="shared" ref="S13:S19" si="1">I13*I$1*Q13</f>
        <v>21206</v>
      </c>
      <c r="T13" s="246">
        <v>92346</v>
      </c>
      <c r="U13" s="112"/>
      <c r="V13" s="112"/>
    </row>
    <row r="14" spans="1:22" s="47" customFormat="1" x14ac:dyDescent="0.2">
      <c r="A14" s="16" t="s">
        <v>451</v>
      </c>
      <c r="B14" s="18" t="s">
        <v>508</v>
      </c>
      <c r="C14" s="18" t="s">
        <v>474</v>
      </c>
      <c r="D14" s="19">
        <v>36557</v>
      </c>
      <c r="E14" s="19">
        <v>37195</v>
      </c>
      <c r="F14" s="16" t="s">
        <v>509</v>
      </c>
      <c r="G14" s="16" t="s">
        <v>510</v>
      </c>
      <c r="H14" s="18"/>
      <c r="I14" s="24">
        <f>1.0603/I$1</f>
        <v>3.7867857142857141E-2</v>
      </c>
      <c r="J14" s="20">
        <v>0</v>
      </c>
      <c r="K14" s="20">
        <v>0</v>
      </c>
      <c r="L14" s="20">
        <v>0</v>
      </c>
      <c r="M14" s="20">
        <v>0</v>
      </c>
      <c r="N14" s="234">
        <v>0</v>
      </c>
      <c r="O14" s="20">
        <f t="shared" si="0"/>
        <v>3.7867857142857141E-2</v>
      </c>
      <c r="P14" s="33">
        <v>42789</v>
      </c>
      <c r="Q14" s="18">
        <v>30000</v>
      </c>
      <c r="R14" s="16" t="s">
        <v>511</v>
      </c>
      <c r="S14" s="25">
        <f t="shared" si="1"/>
        <v>31809</v>
      </c>
      <c r="T14" s="246">
        <v>156388</v>
      </c>
      <c r="U14" s="112"/>
      <c r="V14" s="112"/>
    </row>
    <row r="15" spans="1:22" s="47" customFormat="1" x14ac:dyDescent="0.2">
      <c r="A15" s="16" t="s">
        <v>451</v>
      </c>
      <c r="B15" s="18" t="s">
        <v>508</v>
      </c>
      <c r="C15" s="18" t="s">
        <v>474</v>
      </c>
      <c r="D15" s="19">
        <v>36557</v>
      </c>
      <c r="E15" s="19">
        <v>37103</v>
      </c>
      <c r="F15" s="16" t="s">
        <v>512</v>
      </c>
      <c r="G15" s="16" t="s">
        <v>510</v>
      </c>
      <c r="H15" s="18"/>
      <c r="I15" s="24">
        <f>1.0603/I$1</f>
        <v>3.7867857142857141E-2</v>
      </c>
      <c r="J15" s="20">
        <v>0</v>
      </c>
      <c r="K15" s="20">
        <v>0</v>
      </c>
      <c r="L15" s="20">
        <v>0</v>
      </c>
      <c r="M15" s="20">
        <v>0</v>
      </c>
      <c r="N15" s="234">
        <v>0</v>
      </c>
      <c r="O15" s="20">
        <f t="shared" si="0"/>
        <v>3.7867857142857141E-2</v>
      </c>
      <c r="P15" s="33">
        <v>50250</v>
      </c>
      <c r="Q15" s="18">
        <v>20000</v>
      </c>
      <c r="R15" s="16" t="s">
        <v>513</v>
      </c>
      <c r="S15" s="25">
        <f t="shared" si="1"/>
        <v>21206</v>
      </c>
      <c r="T15" s="246">
        <v>156399</v>
      </c>
      <c r="U15" s="112"/>
      <c r="V15" s="112"/>
    </row>
    <row r="16" spans="1:22" s="47" customFormat="1" x14ac:dyDescent="0.2">
      <c r="A16" s="16" t="s">
        <v>451</v>
      </c>
      <c r="B16" s="18" t="s">
        <v>508</v>
      </c>
      <c r="C16" s="18" t="s">
        <v>474</v>
      </c>
      <c r="D16" s="19">
        <v>36557</v>
      </c>
      <c r="E16" s="19">
        <v>37955</v>
      </c>
      <c r="F16" s="16" t="s">
        <v>515</v>
      </c>
      <c r="G16" s="16" t="s">
        <v>516</v>
      </c>
      <c r="H16" s="18"/>
      <c r="I16" s="24">
        <f>1.0603/I$1</f>
        <v>3.7867857142857141E-2</v>
      </c>
      <c r="J16" s="20">
        <v>0</v>
      </c>
      <c r="K16" s="20">
        <v>0</v>
      </c>
      <c r="L16" s="20">
        <v>0</v>
      </c>
      <c r="M16" s="20">
        <v>0</v>
      </c>
      <c r="N16" s="234">
        <v>0</v>
      </c>
      <c r="O16" s="20">
        <f t="shared" si="0"/>
        <v>3.7867857142857141E-2</v>
      </c>
      <c r="P16" s="33">
        <v>62408</v>
      </c>
      <c r="Q16" s="18">
        <v>40000</v>
      </c>
      <c r="R16" s="16" t="s">
        <v>517</v>
      </c>
      <c r="S16" s="25">
        <f t="shared" si="1"/>
        <v>42412</v>
      </c>
      <c r="T16" s="246">
        <v>156526</v>
      </c>
      <c r="U16" s="112"/>
      <c r="V16" s="112"/>
    </row>
    <row r="17" spans="1:22" s="47" customFormat="1" x14ac:dyDescent="0.2">
      <c r="A17" s="16" t="s">
        <v>451</v>
      </c>
      <c r="B17" s="18" t="s">
        <v>508</v>
      </c>
      <c r="C17" s="18" t="s">
        <v>474</v>
      </c>
      <c r="D17" s="19">
        <v>36557</v>
      </c>
      <c r="E17" s="19">
        <v>38291</v>
      </c>
      <c r="F17" s="16" t="s">
        <v>518</v>
      </c>
      <c r="G17" s="16" t="s">
        <v>510</v>
      </c>
      <c r="H17" s="18"/>
      <c r="I17" s="24">
        <f>1.0603/I$1</f>
        <v>3.7867857142857141E-2</v>
      </c>
      <c r="J17" s="20">
        <v>0</v>
      </c>
      <c r="K17" s="20">
        <v>0</v>
      </c>
      <c r="L17" s="20">
        <v>0</v>
      </c>
      <c r="M17" s="20">
        <v>0</v>
      </c>
      <c r="N17" s="234">
        <v>0</v>
      </c>
      <c r="O17" s="20">
        <f t="shared" si="0"/>
        <v>3.7867857142857141E-2</v>
      </c>
      <c r="P17" s="33">
        <v>63922</v>
      </c>
      <c r="Q17" s="18">
        <v>25654</v>
      </c>
      <c r="R17" s="37" t="s">
        <v>718</v>
      </c>
      <c r="S17" s="25">
        <f t="shared" si="1"/>
        <v>27200.9362</v>
      </c>
      <c r="T17" s="246">
        <v>156540</v>
      </c>
      <c r="U17" s="112"/>
      <c r="V17" s="112"/>
    </row>
    <row r="18" spans="1:22" s="47" customFormat="1" x14ac:dyDescent="0.2">
      <c r="A18" s="16" t="s">
        <v>451</v>
      </c>
      <c r="B18" s="18" t="s">
        <v>508</v>
      </c>
      <c r="C18" s="18" t="s">
        <v>508</v>
      </c>
      <c r="D18" s="19">
        <v>36434</v>
      </c>
      <c r="E18" s="19">
        <v>37164</v>
      </c>
      <c r="F18" s="16" t="s">
        <v>658</v>
      </c>
      <c r="G18" s="16" t="s">
        <v>433</v>
      </c>
      <c r="H18" s="18" t="s">
        <v>68</v>
      </c>
      <c r="I18" s="24">
        <v>1.4999999999999999E-2</v>
      </c>
      <c r="J18" s="20">
        <v>0</v>
      </c>
      <c r="K18" s="20">
        <v>0</v>
      </c>
      <c r="L18" s="20">
        <v>0</v>
      </c>
      <c r="M18" s="20">
        <v>0</v>
      </c>
      <c r="N18" s="234">
        <v>0</v>
      </c>
      <c r="O18" s="20">
        <f t="shared" si="0"/>
        <v>1.4999999999999999E-2</v>
      </c>
      <c r="P18" s="33">
        <v>64937</v>
      </c>
      <c r="Q18" s="18">
        <v>10000</v>
      </c>
      <c r="R18" s="16" t="s">
        <v>682</v>
      </c>
      <c r="S18" s="25">
        <f t="shared" si="1"/>
        <v>4200</v>
      </c>
      <c r="T18" s="246">
        <v>118000</v>
      </c>
      <c r="U18" s="112"/>
      <c r="V18" s="112"/>
    </row>
    <row r="19" spans="1:22" s="47" customFormat="1" x14ac:dyDescent="0.2">
      <c r="A19" s="16" t="s">
        <v>451</v>
      </c>
      <c r="B19" s="18" t="s">
        <v>508</v>
      </c>
      <c r="C19" s="18" t="s">
        <v>508</v>
      </c>
      <c r="D19" s="19">
        <v>36617</v>
      </c>
      <c r="E19" s="19">
        <v>36981</v>
      </c>
      <c r="F19" s="16" t="s">
        <v>457</v>
      </c>
      <c r="G19" s="16" t="s">
        <v>659</v>
      </c>
      <c r="H19" s="18" t="s">
        <v>68</v>
      </c>
      <c r="I19" s="24">
        <f>1.6199/I$1</f>
        <v>5.7853571428571428E-2</v>
      </c>
      <c r="J19" s="20">
        <v>0</v>
      </c>
      <c r="K19" s="20">
        <v>0</v>
      </c>
      <c r="L19" s="20">
        <v>0</v>
      </c>
      <c r="M19" s="20">
        <v>0</v>
      </c>
      <c r="N19" s="234">
        <v>0</v>
      </c>
      <c r="O19" s="20">
        <f t="shared" si="0"/>
        <v>5.7853571428571428E-2</v>
      </c>
      <c r="P19" s="33">
        <v>66973</v>
      </c>
      <c r="Q19" s="18">
        <v>10000</v>
      </c>
      <c r="R19" s="16" t="s">
        <v>594</v>
      </c>
      <c r="S19" s="25">
        <f t="shared" si="1"/>
        <v>16198.999999999998</v>
      </c>
      <c r="T19" s="246">
        <v>231728</v>
      </c>
      <c r="U19" s="112"/>
      <c r="V19" s="112"/>
    </row>
    <row r="20" spans="1:22" s="47" customFormat="1" x14ac:dyDescent="0.2">
      <c r="A20" s="16"/>
      <c r="B20" s="18"/>
      <c r="C20" s="18"/>
      <c r="D20" s="19"/>
      <c r="E20" s="19"/>
      <c r="F20" s="16"/>
      <c r="G20" s="16"/>
      <c r="H20" s="18"/>
      <c r="I20" s="24"/>
      <c r="J20" s="20"/>
      <c r="K20" s="20"/>
      <c r="L20" s="20"/>
      <c r="M20" s="20"/>
      <c r="N20" s="234"/>
      <c r="O20" s="20"/>
      <c r="P20" s="33"/>
      <c r="Q20" s="18"/>
      <c r="R20" s="16"/>
      <c r="S20" s="25"/>
      <c r="T20" s="246"/>
      <c r="U20" s="112"/>
      <c r="V20" s="112"/>
    </row>
    <row r="21" spans="1:22" s="47" customFormat="1" x14ac:dyDescent="0.2">
      <c r="A21" s="16" t="s">
        <v>451</v>
      </c>
      <c r="B21" s="18" t="s">
        <v>508</v>
      </c>
      <c r="C21" s="18" t="s">
        <v>474</v>
      </c>
      <c r="D21" s="19">
        <v>36557</v>
      </c>
      <c r="E21" s="19">
        <v>37134</v>
      </c>
      <c r="F21" s="16" t="s">
        <v>519</v>
      </c>
      <c r="G21" s="16" t="s">
        <v>520</v>
      </c>
      <c r="H21" s="18"/>
      <c r="I21" s="24">
        <v>6.5000000000000002E-2</v>
      </c>
      <c r="J21" s="20">
        <v>0</v>
      </c>
      <c r="K21" s="20">
        <v>0</v>
      </c>
      <c r="L21" s="20">
        <v>0</v>
      </c>
      <c r="M21" s="20">
        <v>0</v>
      </c>
      <c r="N21" s="234">
        <v>0</v>
      </c>
      <c r="O21" s="20">
        <f>SUM(I21:M21)</f>
        <v>6.5000000000000002E-2</v>
      </c>
      <c r="P21" s="33">
        <v>64502</v>
      </c>
      <c r="Q21" s="18">
        <v>29000</v>
      </c>
      <c r="R21" s="16" t="s">
        <v>521</v>
      </c>
      <c r="S21" s="25">
        <f>I21*I$1*Q21</f>
        <v>52780</v>
      </c>
      <c r="T21" s="246">
        <v>158356</v>
      </c>
      <c r="U21" s="451" t="s">
        <v>589</v>
      </c>
      <c r="V21" s="112"/>
    </row>
    <row r="22" spans="1:22" s="47" customFormat="1" x14ac:dyDescent="0.2">
      <c r="A22" s="16"/>
      <c r="B22" s="18"/>
      <c r="C22" s="18"/>
      <c r="D22" s="19"/>
      <c r="E22" s="19"/>
      <c r="F22" s="16"/>
      <c r="G22" s="16"/>
      <c r="H22" s="18"/>
      <c r="I22" s="24"/>
      <c r="J22" s="20"/>
      <c r="K22" s="20"/>
      <c r="L22" s="20"/>
      <c r="M22" s="20"/>
      <c r="N22" s="234"/>
      <c r="O22" s="20"/>
      <c r="P22" s="33"/>
      <c r="Q22" s="18"/>
      <c r="R22" s="16"/>
      <c r="S22" s="25"/>
      <c r="T22" s="246"/>
      <c r="U22" s="112"/>
      <c r="V22" s="112"/>
    </row>
    <row r="23" spans="1:22" s="47" customFormat="1" x14ac:dyDescent="0.2">
      <c r="A23" s="16" t="s">
        <v>451</v>
      </c>
      <c r="B23" s="18" t="s">
        <v>508</v>
      </c>
      <c r="C23" s="18" t="s">
        <v>508</v>
      </c>
      <c r="D23" s="19">
        <v>34274</v>
      </c>
      <c r="E23" s="19">
        <v>40117</v>
      </c>
      <c r="F23" s="16" t="s">
        <v>593</v>
      </c>
      <c r="G23" s="16" t="s">
        <v>239</v>
      </c>
      <c r="H23" s="18" t="s">
        <v>68</v>
      </c>
      <c r="I23" s="24">
        <f>3.145/I$1</f>
        <v>0.11232142857142857</v>
      </c>
      <c r="J23" s="20">
        <v>0</v>
      </c>
      <c r="K23" s="20">
        <v>0</v>
      </c>
      <c r="L23" s="20">
        <v>0</v>
      </c>
      <c r="M23" s="20">
        <v>0</v>
      </c>
      <c r="N23" s="234">
        <v>0</v>
      </c>
      <c r="O23" s="20">
        <f>SUM(I23:M23)</f>
        <v>0.11232142857142857</v>
      </c>
      <c r="P23" s="33">
        <v>37861</v>
      </c>
      <c r="Q23" s="18">
        <v>15000</v>
      </c>
      <c r="R23" s="16" t="s">
        <v>661</v>
      </c>
      <c r="S23" s="25">
        <f t="shared" ref="S23:S28" si="2">I23*I$1*Q23</f>
        <v>47175</v>
      </c>
      <c r="T23" s="246">
        <v>93034</v>
      </c>
      <c r="U23" s="112"/>
      <c r="V23" s="112"/>
    </row>
    <row r="24" spans="1:22" s="47" customFormat="1" x14ac:dyDescent="0.2">
      <c r="A24" s="16" t="s">
        <v>451</v>
      </c>
      <c r="B24" s="18" t="s">
        <v>508</v>
      </c>
      <c r="C24" s="18" t="s">
        <v>474</v>
      </c>
      <c r="D24" s="19">
        <v>36557</v>
      </c>
      <c r="E24" s="19">
        <v>38472</v>
      </c>
      <c r="F24" s="16" t="s">
        <v>510</v>
      </c>
      <c r="G24" s="16" t="s">
        <v>239</v>
      </c>
      <c r="H24" s="18"/>
      <c r="I24" s="24">
        <f>3.145/I$1</f>
        <v>0.11232142857142857</v>
      </c>
      <c r="J24" s="20">
        <v>0</v>
      </c>
      <c r="K24" s="20">
        <v>0</v>
      </c>
      <c r="L24" s="20">
        <v>0</v>
      </c>
      <c r="M24" s="20">
        <v>0</v>
      </c>
      <c r="N24" s="234">
        <v>0</v>
      </c>
      <c r="O24" s="20">
        <f>SUM(I24:M24)</f>
        <v>0.11232142857142857</v>
      </c>
      <c r="P24" s="33">
        <v>58654</v>
      </c>
      <c r="Q24" s="18">
        <v>15000</v>
      </c>
      <c r="R24" s="16" t="s">
        <v>514</v>
      </c>
      <c r="S24" s="25">
        <f t="shared" si="2"/>
        <v>47175</v>
      </c>
      <c r="T24" s="246">
        <v>156408</v>
      </c>
      <c r="U24" s="112"/>
      <c r="V24" s="112"/>
    </row>
    <row r="25" spans="1:22" s="47" customFormat="1" x14ac:dyDescent="0.2">
      <c r="A25" s="16" t="s">
        <v>451</v>
      </c>
      <c r="B25" s="18" t="s">
        <v>508</v>
      </c>
      <c r="C25" s="18" t="s">
        <v>474</v>
      </c>
      <c r="D25" s="19">
        <v>36557</v>
      </c>
      <c r="E25" s="19">
        <v>37346</v>
      </c>
      <c r="F25" s="16" t="s">
        <v>510</v>
      </c>
      <c r="G25" s="16" t="s">
        <v>239</v>
      </c>
      <c r="H25" s="18"/>
      <c r="I25" s="24">
        <f>2.6805/I$1</f>
        <v>9.5732142857142849E-2</v>
      </c>
      <c r="J25" s="20">
        <v>0</v>
      </c>
      <c r="K25" s="20">
        <v>0</v>
      </c>
      <c r="L25" s="20">
        <v>0</v>
      </c>
      <c r="M25" s="20">
        <v>0</v>
      </c>
      <c r="N25" s="234">
        <v>0</v>
      </c>
      <c r="O25" s="20">
        <f>SUM(I25:M25)</f>
        <v>9.5732142857142849E-2</v>
      </c>
      <c r="P25" s="33">
        <v>63115</v>
      </c>
      <c r="Q25" s="18">
        <v>30000</v>
      </c>
      <c r="R25" s="37" t="s">
        <v>717</v>
      </c>
      <c r="S25" s="25">
        <f t="shared" si="2"/>
        <v>80415</v>
      </c>
      <c r="T25" s="246">
        <v>156532</v>
      </c>
      <c r="U25" s="112"/>
      <c r="V25" s="112"/>
    </row>
    <row r="26" spans="1:22" s="47" customFormat="1" x14ac:dyDescent="0.2">
      <c r="A26" s="16" t="s">
        <v>451</v>
      </c>
      <c r="B26" s="18" t="s">
        <v>508</v>
      </c>
      <c r="C26" s="18" t="s">
        <v>675</v>
      </c>
      <c r="D26" s="19">
        <v>36746</v>
      </c>
      <c r="E26" s="19">
        <v>37103</v>
      </c>
      <c r="F26" s="16" t="s">
        <v>510</v>
      </c>
      <c r="G26" s="16" t="s">
        <v>239</v>
      </c>
      <c r="H26" s="18"/>
      <c r="I26" s="24">
        <f>3.14/I$1</f>
        <v>0.11214285714285714</v>
      </c>
      <c r="J26" s="20"/>
      <c r="K26" s="20"/>
      <c r="L26" s="20"/>
      <c r="M26" s="20"/>
      <c r="N26" s="234"/>
      <c r="O26" s="20"/>
      <c r="P26" s="33">
        <v>69119</v>
      </c>
      <c r="Q26" s="18">
        <v>142</v>
      </c>
      <c r="R26" s="37" t="s">
        <v>716</v>
      </c>
      <c r="S26" s="25">
        <f t="shared" si="2"/>
        <v>445.88</v>
      </c>
      <c r="T26" s="246">
        <v>360720</v>
      </c>
      <c r="U26" s="451"/>
      <c r="V26" s="112"/>
    </row>
    <row r="27" spans="1:22" s="47" customFormat="1" x14ac:dyDescent="0.2">
      <c r="A27" s="16" t="s">
        <v>451</v>
      </c>
      <c r="B27" s="18" t="s">
        <v>508</v>
      </c>
      <c r="C27" s="18" t="s">
        <v>306</v>
      </c>
      <c r="D27" s="19">
        <v>36831</v>
      </c>
      <c r="E27" s="19">
        <v>36981</v>
      </c>
      <c r="F27" s="16" t="s">
        <v>239</v>
      </c>
      <c r="G27" s="16" t="s">
        <v>510</v>
      </c>
      <c r="H27" s="18"/>
      <c r="I27" s="24">
        <f>1.4782/I$1</f>
        <v>5.2792857142857141E-2</v>
      </c>
      <c r="J27" s="20"/>
      <c r="K27" s="20"/>
      <c r="L27" s="20"/>
      <c r="M27" s="20"/>
      <c r="N27" s="234"/>
      <c r="O27" s="20"/>
      <c r="P27" s="33">
        <v>69165</v>
      </c>
      <c r="Q27" s="18">
        <v>50000</v>
      </c>
      <c r="R27" s="16" t="s">
        <v>719</v>
      </c>
      <c r="S27" s="25">
        <f t="shared" si="2"/>
        <v>73910</v>
      </c>
      <c r="T27" s="252" t="s">
        <v>720</v>
      </c>
      <c r="U27" s="451"/>
      <c r="V27" s="112"/>
    </row>
    <row r="28" spans="1:22" s="500" customFormat="1" x14ac:dyDescent="0.2">
      <c r="A28" s="489" t="s">
        <v>451</v>
      </c>
      <c r="B28" s="490" t="s">
        <v>508</v>
      </c>
      <c r="C28" s="490" t="s">
        <v>724</v>
      </c>
      <c r="D28" s="491">
        <v>36923</v>
      </c>
      <c r="E28" s="491">
        <v>36950</v>
      </c>
      <c r="F28" s="489" t="s">
        <v>239</v>
      </c>
      <c r="G28" s="489" t="s">
        <v>510</v>
      </c>
      <c r="H28" s="490" t="s">
        <v>592</v>
      </c>
      <c r="I28" s="492">
        <f>1.12/I$1</f>
        <v>0.04</v>
      </c>
      <c r="J28" s="493"/>
      <c r="K28" s="493"/>
      <c r="L28" s="493"/>
      <c r="M28" s="493"/>
      <c r="N28" s="494"/>
      <c r="O28" s="493"/>
      <c r="P28" s="495">
        <v>67144</v>
      </c>
      <c r="Q28" s="490">
        <v>25000</v>
      </c>
      <c r="R28" s="489" t="s">
        <v>812</v>
      </c>
      <c r="S28" s="496">
        <f t="shared" si="2"/>
        <v>28000.000000000004</v>
      </c>
      <c r="T28" s="497">
        <v>592084</v>
      </c>
      <c r="U28" s="498"/>
      <c r="V28" s="499"/>
    </row>
    <row r="29" spans="1:22" s="47" customFormat="1" x14ac:dyDescent="0.2">
      <c r="A29" s="16" t="s">
        <v>451</v>
      </c>
      <c r="B29" s="18" t="s">
        <v>508</v>
      </c>
      <c r="C29" s="18" t="s">
        <v>724</v>
      </c>
      <c r="D29" s="19">
        <v>36831</v>
      </c>
      <c r="E29" s="19">
        <v>36981</v>
      </c>
      <c r="F29" s="16" t="s">
        <v>239</v>
      </c>
      <c r="G29" s="16" t="s">
        <v>510</v>
      </c>
      <c r="H29" s="18" t="s">
        <v>592</v>
      </c>
      <c r="I29" s="24">
        <f>1.2/I$1</f>
        <v>4.2857142857142858E-2</v>
      </c>
      <c r="J29" s="20"/>
      <c r="K29" s="20"/>
      <c r="L29" s="20"/>
      <c r="M29" s="20"/>
      <c r="N29" s="234"/>
      <c r="O29" s="20"/>
      <c r="P29" s="33">
        <v>0</v>
      </c>
      <c r="Q29" s="18">
        <v>25000</v>
      </c>
      <c r="R29" s="16" t="s">
        <v>725</v>
      </c>
      <c r="S29" s="25"/>
      <c r="T29" s="252"/>
      <c r="U29" s="451"/>
      <c r="V29" s="112"/>
    </row>
    <row r="30" spans="1:22" s="47" customFormat="1" x14ac:dyDescent="0.2">
      <c r="A30" s="16"/>
      <c r="B30" s="18"/>
      <c r="C30" s="18"/>
      <c r="D30" s="19"/>
      <c r="E30" s="19"/>
      <c r="F30" s="37"/>
      <c r="G30" s="37"/>
      <c r="H30" s="18"/>
      <c r="I30" s="24"/>
      <c r="J30" s="20"/>
      <c r="K30" s="20"/>
      <c r="L30" s="20"/>
      <c r="M30" s="20"/>
      <c r="N30" s="234"/>
      <c r="O30" s="20"/>
      <c r="P30" s="33"/>
      <c r="Q30" s="359"/>
      <c r="R30" s="37"/>
      <c r="S30" s="25"/>
      <c r="T30" s="246"/>
      <c r="U30" s="112"/>
      <c r="V30" s="112"/>
    </row>
    <row r="31" spans="1:22" s="46" customFormat="1" x14ac:dyDescent="0.2">
      <c r="A31" s="274" t="s">
        <v>47</v>
      </c>
      <c r="B31" s="260" t="s">
        <v>47</v>
      </c>
      <c r="C31" s="123" t="s">
        <v>47</v>
      </c>
      <c r="D31" s="275" t="s">
        <v>47</v>
      </c>
      <c r="E31" s="275"/>
      <c r="F31" s="274" t="s">
        <v>47</v>
      </c>
      <c r="G31" s="365" t="s">
        <v>47</v>
      </c>
      <c r="H31" s="260" t="s">
        <v>47</v>
      </c>
      <c r="I31" s="276"/>
      <c r="J31" s="32"/>
      <c r="K31" s="32"/>
      <c r="L31" s="32"/>
      <c r="M31" s="32"/>
      <c r="N31" s="366"/>
      <c r="O31" s="32"/>
      <c r="P31" s="367" t="s">
        <v>47</v>
      </c>
      <c r="Q31" s="123">
        <f>SUM(Q13:Q30)</f>
        <v>344796</v>
      </c>
      <c r="R31" s="274" t="s">
        <v>536</v>
      </c>
      <c r="S31" s="36">
        <f>SUM(S13:S30)</f>
        <v>494133.8162</v>
      </c>
      <c r="T31" s="236"/>
      <c r="U31" s="111"/>
      <c r="V31" s="111"/>
    </row>
    <row r="32" spans="1:22" s="46" customFormat="1" x14ac:dyDescent="0.2">
      <c r="A32" s="274"/>
      <c r="B32" s="260"/>
      <c r="C32" s="123"/>
      <c r="D32" s="275"/>
      <c r="E32" s="275"/>
      <c r="F32" s="274"/>
      <c r="G32" s="365"/>
      <c r="H32" s="260"/>
      <c r="I32" s="276"/>
      <c r="J32" s="32"/>
      <c r="K32" s="32"/>
      <c r="L32" s="32"/>
      <c r="M32" s="32"/>
      <c r="N32" s="366"/>
      <c r="O32" s="32"/>
      <c r="P32" s="367"/>
      <c r="Q32" s="260"/>
      <c r="R32" s="274" t="s">
        <v>665</v>
      </c>
      <c r="S32" s="36">
        <v>0</v>
      </c>
      <c r="T32" s="236"/>
      <c r="U32" s="111"/>
      <c r="V32" s="111"/>
    </row>
    <row r="33" spans="1:22" ht="13.5" thickBot="1" x14ac:dyDescent="0.25">
      <c r="A33" s="274"/>
      <c r="B33" s="260"/>
      <c r="C33" s="123"/>
      <c r="D33" s="275"/>
      <c r="E33" s="275"/>
      <c r="F33" s="274"/>
      <c r="G33" s="365"/>
      <c r="H33" s="260"/>
      <c r="I33" s="276"/>
      <c r="J33" s="32"/>
      <c r="K33" s="32"/>
      <c r="L33" s="32"/>
      <c r="M33" s="32"/>
      <c r="N33" s="366"/>
      <c r="O33" s="32"/>
      <c r="P33" s="367"/>
      <c r="Q33" s="260"/>
      <c r="R33" s="274" t="s">
        <v>666</v>
      </c>
      <c r="S33" s="398">
        <f>+S31-S32</f>
        <v>494133.8162</v>
      </c>
      <c r="T33" s="236"/>
      <c r="U33" s="112"/>
      <c r="V33" s="112"/>
    </row>
    <row r="34" spans="1:22" ht="13.5" thickTop="1" x14ac:dyDescent="0.2">
      <c r="A34" s="274"/>
      <c r="B34" s="260"/>
      <c r="C34" s="123"/>
      <c r="D34" s="275"/>
      <c r="E34" s="275"/>
      <c r="F34" s="274"/>
      <c r="G34" s="365"/>
      <c r="H34" s="260"/>
      <c r="I34" s="276"/>
      <c r="J34" s="32"/>
      <c r="K34" s="32"/>
      <c r="L34" s="32"/>
      <c r="M34" s="32"/>
      <c r="N34" s="366"/>
      <c r="O34" s="32"/>
      <c r="P34" s="367"/>
      <c r="Q34" s="260"/>
      <c r="R34" s="274"/>
      <c r="S34" s="36"/>
      <c r="T34" s="236"/>
      <c r="U34" s="112"/>
      <c r="V34" s="112"/>
    </row>
    <row r="35" spans="1:22" s="378" customFormat="1" x14ac:dyDescent="0.2">
      <c r="A35" s="368" t="s">
        <v>49</v>
      </c>
      <c r="B35" s="369" t="s">
        <v>50</v>
      </c>
      <c r="C35" s="369" t="s">
        <v>51</v>
      </c>
      <c r="D35" s="370" t="s">
        <v>52</v>
      </c>
      <c r="E35" s="370"/>
      <c r="F35" s="368" t="s">
        <v>53</v>
      </c>
      <c r="G35" s="368" t="s">
        <v>54</v>
      </c>
      <c r="H35" s="369" t="s">
        <v>55</v>
      </c>
      <c r="I35" s="371" t="s">
        <v>56</v>
      </c>
      <c r="J35" s="369" t="s">
        <v>57</v>
      </c>
      <c r="K35" s="369" t="s">
        <v>58</v>
      </c>
      <c r="L35" s="369" t="s">
        <v>59</v>
      </c>
      <c r="M35" s="369" t="s">
        <v>60</v>
      </c>
      <c r="N35" s="372" t="s">
        <v>62</v>
      </c>
      <c r="O35" s="369" t="s">
        <v>63</v>
      </c>
      <c r="P35" s="373" t="s">
        <v>504</v>
      </c>
      <c r="Q35" s="369" t="s">
        <v>65</v>
      </c>
      <c r="R35" s="368" t="s">
        <v>66</v>
      </c>
      <c r="S35" s="374" t="s">
        <v>505</v>
      </c>
      <c r="T35" s="376" t="s">
        <v>507</v>
      </c>
      <c r="U35" s="377"/>
      <c r="V35" s="377"/>
    </row>
    <row r="36" spans="1:22" s="47" customFormat="1" x14ac:dyDescent="0.2">
      <c r="A36" s="16" t="s">
        <v>704</v>
      </c>
      <c r="B36" s="18" t="s">
        <v>698</v>
      </c>
      <c r="C36" s="18" t="s">
        <v>698</v>
      </c>
      <c r="D36" s="19" t="s">
        <v>312</v>
      </c>
      <c r="E36" s="19" t="s">
        <v>312</v>
      </c>
      <c r="F36" s="16" t="s">
        <v>700</v>
      </c>
      <c r="G36" s="16" t="s">
        <v>700</v>
      </c>
      <c r="H36" s="18" t="s">
        <v>68</v>
      </c>
      <c r="I36" s="24">
        <v>0.37530000000000002</v>
      </c>
      <c r="J36" s="20">
        <v>0</v>
      </c>
      <c r="K36" s="20">
        <v>0</v>
      </c>
      <c r="L36" s="20">
        <v>0</v>
      </c>
      <c r="M36" s="20">
        <v>0</v>
      </c>
      <c r="N36" s="234">
        <v>0</v>
      </c>
      <c r="O36" s="20">
        <f t="shared" ref="O36:O41" si="3">SUM(I36:M36)</f>
        <v>0.37530000000000002</v>
      </c>
      <c r="P36" s="33">
        <v>5085</v>
      </c>
      <c r="Q36" s="18">
        <v>1722</v>
      </c>
      <c r="R36" s="16"/>
      <c r="S36" s="25">
        <f t="shared" ref="S36:S41" si="4">I36*I$1*Q36</f>
        <v>18095.464800000002</v>
      </c>
      <c r="T36" s="246"/>
      <c r="U36" s="112"/>
      <c r="V36" s="112"/>
    </row>
    <row r="37" spans="1:22" s="47" customFormat="1" x14ac:dyDescent="0.2">
      <c r="A37" s="16" t="s">
        <v>704</v>
      </c>
      <c r="B37" s="18" t="s">
        <v>698</v>
      </c>
      <c r="C37" s="18" t="s">
        <v>698</v>
      </c>
      <c r="D37" s="19" t="s">
        <v>312</v>
      </c>
      <c r="E37" s="19" t="s">
        <v>312</v>
      </c>
      <c r="F37" s="16" t="s">
        <v>700</v>
      </c>
      <c r="G37" s="16" t="s">
        <v>700</v>
      </c>
      <c r="H37" s="18" t="s">
        <v>68</v>
      </c>
      <c r="I37" s="24">
        <v>0.37530000000000002</v>
      </c>
      <c r="J37" s="20">
        <v>0</v>
      </c>
      <c r="K37" s="20">
        <v>0</v>
      </c>
      <c r="L37" s="20">
        <v>0</v>
      </c>
      <c r="M37" s="20">
        <v>0</v>
      </c>
      <c r="N37" s="234">
        <v>0</v>
      </c>
      <c r="O37" s="20">
        <f t="shared" si="3"/>
        <v>0.37530000000000002</v>
      </c>
      <c r="P37" s="33">
        <v>5085</v>
      </c>
      <c r="Q37" s="18">
        <v>1000</v>
      </c>
      <c r="R37" s="16"/>
      <c r="S37" s="25">
        <f t="shared" si="4"/>
        <v>10508.4</v>
      </c>
      <c r="T37" s="246"/>
      <c r="U37" s="112"/>
      <c r="V37" s="112"/>
    </row>
    <row r="38" spans="1:22" s="47" customFormat="1" x14ac:dyDescent="0.2">
      <c r="A38" s="16" t="s">
        <v>704</v>
      </c>
      <c r="B38" s="18" t="s">
        <v>698</v>
      </c>
      <c r="C38" s="18" t="s">
        <v>698</v>
      </c>
      <c r="D38" s="19" t="s">
        <v>312</v>
      </c>
      <c r="E38" s="19" t="s">
        <v>312</v>
      </c>
      <c r="F38" s="16" t="s">
        <v>700</v>
      </c>
      <c r="G38" s="16" t="s">
        <v>700</v>
      </c>
      <c r="H38" s="18" t="s">
        <v>68</v>
      </c>
      <c r="I38" s="24">
        <v>5.8999999999999997E-2</v>
      </c>
      <c r="J38" s="20">
        <v>0</v>
      </c>
      <c r="K38" s="20">
        <v>0</v>
      </c>
      <c r="L38" s="20">
        <v>0</v>
      </c>
      <c r="M38" s="20">
        <v>0</v>
      </c>
      <c r="N38" s="234">
        <v>0</v>
      </c>
      <c r="O38" s="20">
        <f t="shared" si="3"/>
        <v>5.8999999999999997E-2</v>
      </c>
      <c r="P38" s="33">
        <v>5085</v>
      </c>
      <c r="Q38" s="18">
        <v>122</v>
      </c>
      <c r="R38" s="16"/>
      <c r="S38" s="25">
        <f t="shared" si="4"/>
        <v>201.54399999999998</v>
      </c>
      <c r="T38" s="246"/>
      <c r="U38" s="112"/>
      <c r="V38" s="112"/>
    </row>
    <row r="39" spans="1:22" s="47" customFormat="1" x14ac:dyDescent="0.2">
      <c r="A39" s="16" t="s">
        <v>704</v>
      </c>
      <c r="B39" s="18" t="s">
        <v>698</v>
      </c>
      <c r="C39" s="18" t="s">
        <v>698</v>
      </c>
      <c r="D39" s="19" t="s">
        <v>312</v>
      </c>
      <c r="E39" s="19" t="s">
        <v>312</v>
      </c>
      <c r="F39" s="16" t="s">
        <v>700</v>
      </c>
      <c r="G39" s="16" t="s">
        <v>700</v>
      </c>
      <c r="H39" s="18" t="s">
        <v>68</v>
      </c>
      <c r="I39" s="24">
        <v>0.39229999999999998</v>
      </c>
      <c r="J39" s="20">
        <v>0</v>
      </c>
      <c r="K39" s="20">
        <v>0</v>
      </c>
      <c r="L39" s="20">
        <v>0</v>
      </c>
      <c r="M39" s="20">
        <v>0</v>
      </c>
      <c r="N39" s="234">
        <v>0</v>
      </c>
      <c r="O39" s="20">
        <f t="shared" si="3"/>
        <v>0.39229999999999998</v>
      </c>
      <c r="P39" s="33">
        <v>5626</v>
      </c>
      <c r="Q39" s="18">
        <v>350</v>
      </c>
      <c r="R39" s="16"/>
      <c r="S39" s="25">
        <f t="shared" si="4"/>
        <v>3844.5399999999995</v>
      </c>
      <c r="T39" s="246"/>
      <c r="U39" s="112"/>
      <c r="V39" s="112"/>
    </row>
    <row r="40" spans="1:22" s="47" customFormat="1" x14ac:dyDescent="0.2">
      <c r="A40" s="16" t="s">
        <v>704</v>
      </c>
      <c r="B40" s="18" t="s">
        <v>698</v>
      </c>
      <c r="C40" s="18" t="s">
        <v>698</v>
      </c>
      <c r="D40" s="19" t="s">
        <v>312</v>
      </c>
      <c r="E40" s="19" t="s">
        <v>312</v>
      </c>
      <c r="F40" s="16" t="s">
        <v>700</v>
      </c>
      <c r="G40" s="16" t="s">
        <v>700</v>
      </c>
      <c r="H40" s="18" t="s">
        <v>68</v>
      </c>
      <c r="I40" s="24">
        <v>0.44979999999999998</v>
      </c>
      <c r="J40" s="20">
        <v>0</v>
      </c>
      <c r="K40" s="20">
        <v>0</v>
      </c>
      <c r="L40" s="20">
        <v>0</v>
      </c>
      <c r="M40" s="20">
        <v>0</v>
      </c>
      <c r="N40" s="234">
        <v>0</v>
      </c>
      <c r="O40" s="20">
        <f t="shared" si="3"/>
        <v>0.44979999999999998</v>
      </c>
      <c r="P40" s="33">
        <v>5626</v>
      </c>
      <c r="Q40" s="18">
        <v>138</v>
      </c>
      <c r="R40" s="16"/>
      <c r="S40" s="25">
        <f t="shared" si="4"/>
        <v>1738.0272</v>
      </c>
      <c r="T40" s="246"/>
      <c r="U40" s="112"/>
      <c r="V40" s="112"/>
    </row>
    <row r="41" spans="1:22" s="47" customFormat="1" x14ac:dyDescent="0.2">
      <c r="A41" s="16" t="s">
        <v>704</v>
      </c>
      <c r="B41" s="18" t="s">
        <v>698</v>
      </c>
      <c r="C41" s="18" t="s">
        <v>698</v>
      </c>
      <c r="D41" s="19" t="s">
        <v>312</v>
      </c>
      <c r="E41" s="19" t="s">
        <v>312</v>
      </c>
      <c r="F41" s="16" t="s">
        <v>700</v>
      </c>
      <c r="G41" s="16" t="s">
        <v>700</v>
      </c>
      <c r="H41" s="18" t="s">
        <v>68</v>
      </c>
      <c r="I41" s="24">
        <v>0.76839999999999997</v>
      </c>
      <c r="J41" s="20">
        <v>0</v>
      </c>
      <c r="K41" s="20">
        <v>0</v>
      </c>
      <c r="L41" s="20">
        <v>0</v>
      </c>
      <c r="M41" s="20">
        <v>0</v>
      </c>
      <c r="N41" s="234">
        <v>0</v>
      </c>
      <c r="O41" s="20">
        <f t="shared" si="3"/>
        <v>0.76839999999999997</v>
      </c>
      <c r="P41" s="33">
        <v>5626</v>
      </c>
      <c r="Q41" s="18">
        <v>75</v>
      </c>
      <c r="R41" s="16"/>
      <c r="S41" s="25">
        <f t="shared" si="4"/>
        <v>1613.64</v>
      </c>
      <c r="T41" s="246"/>
      <c r="U41" s="112"/>
      <c r="V41" s="112"/>
    </row>
    <row r="42" spans="1:22" s="47" customFormat="1" x14ac:dyDescent="0.2">
      <c r="A42" s="16" t="s">
        <v>705</v>
      </c>
      <c r="B42" s="18" t="s">
        <v>698</v>
      </c>
      <c r="C42" s="18" t="s">
        <v>698</v>
      </c>
      <c r="D42" s="19" t="s">
        <v>312</v>
      </c>
      <c r="E42" s="19" t="s">
        <v>312</v>
      </c>
      <c r="F42" s="16" t="s">
        <v>700</v>
      </c>
      <c r="G42" s="16" t="s">
        <v>700</v>
      </c>
      <c r="H42" s="18" t="s">
        <v>68</v>
      </c>
      <c r="I42" s="24">
        <v>0.37530000000000002</v>
      </c>
      <c r="J42" s="20">
        <v>0</v>
      </c>
      <c r="K42" s="20">
        <v>0</v>
      </c>
      <c r="L42" s="20">
        <v>0</v>
      </c>
      <c r="M42" s="20">
        <v>0</v>
      </c>
      <c r="N42" s="234">
        <v>0</v>
      </c>
      <c r="O42" s="20">
        <f>SUM(I42:M42)</f>
        <v>0.37530000000000002</v>
      </c>
      <c r="P42" s="33">
        <v>5879</v>
      </c>
      <c r="Q42" s="18">
        <v>2002</v>
      </c>
      <c r="R42" s="16"/>
      <c r="S42" s="25">
        <f>I42*I$1*Q42</f>
        <v>21037.816800000001</v>
      </c>
      <c r="T42" s="246"/>
      <c r="U42" s="112"/>
      <c r="V42" s="112"/>
    </row>
    <row r="43" spans="1:22" s="47" customFormat="1" x14ac:dyDescent="0.2">
      <c r="A43" s="16" t="s">
        <v>705</v>
      </c>
      <c r="B43" s="18" t="s">
        <v>698</v>
      </c>
      <c r="C43" s="18" t="s">
        <v>698</v>
      </c>
      <c r="D43" s="19" t="s">
        <v>312</v>
      </c>
      <c r="E43" s="19" t="s">
        <v>312</v>
      </c>
      <c r="F43" s="16" t="s">
        <v>700</v>
      </c>
      <c r="G43" s="16" t="s">
        <v>700</v>
      </c>
      <c r="H43" s="18" t="s">
        <v>68</v>
      </c>
      <c r="I43" s="24">
        <v>0.27</v>
      </c>
      <c r="J43" s="20">
        <v>0</v>
      </c>
      <c r="K43" s="20">
        <v>0</v>
      </c>
      <c r="L43" s="20">
        <v>0</v>
      </c>
      <c r="M43" s="20">
        <v>0</v>
      </c>
      <c r="N43" s="234">
        <v>0</v>
      </c>
      <c r="O43" s="20">
        <f>SUM(I43:M43)</f>
        <v>0.27</v>
      </c>
      <c r="P43" s="33">
        <v>5925</v>
      </c>
      <c r="Q43" s="18">
        <v>22852</v>
      </c>
      <c r="R43" s="16"/>
      <c r="S43" s="25">
        <f>I43*I$1*Q43</f>
        <v>172761.12000000002</v>
      </c>
      <c r="T43" s="246"/>
      <c r="U43" s="112"/>
      <c r="V43" s="112"/>
    </row>
    <row r="44" spans="1:22" s="47" customFormat="1" x14ac:dyDescent="0.2">
      <c r="A44" s="16" t="s">
        <v>705</v>
      </c>
      <c r="B44" s="18" t="s">
        <v>698</v>
      </c>
      <c r="C44" s="18" t="s">
        <v>698</v>
      </c>
      <c r="D44" s="19" t="s">
        <v>312</v>
      </c>
      <c r="E44" s="19" t="s">
        <v>312</v>
      </c>
      <c r="F44" s="16" t="s">
        <v>700</v>
      </c>
      <c r="G44" s="16" t="s">
        <v>700</v>
      </c>
      <c r="H44" s="18" t="s">
        <v>68</v>
      </c>
      <c r="I44" s="24">
        <v>0.37530000000000002</v>
      </c>
      <c r="J44" s="20">
        <v>0</v>
      </c>
      <c r="K44" s="20">
        <v>0</v>
      </c>
      <c r="L44" s="20">
        <v>0</v>
      </c>
      <c r="M44" s="20">
        <v>0</v>
      </c>
      <c r="N44" s="234">
        <v>0</v>
      </c>
      <c r="O44" s="20">
        <f>SUM(I44:M44)</f>
        <v>0.37530000000000002</v>
      </c>
      <c r="P44" s="33">
        <v>6020</v>
      </c>
      <c r="Q44" s="18">
        <v>1100</v>
      </c>
      <c r="R44" s="16"/>
      <c r="S44" s="25">
        <f>I44*I$1*Q44</f>
        <v>11559.24</v>
      </c>
      <c r="T44" s="246"/>
      <c r="U44" s="112"/>
      <c r="V44" s="112"/>
    </row>
    <row r="45" spans="1:22" s="47" customFormat="1" x14ac:dyDescent="0.2">
      <c r="A45" s="16" t="s">
        <v>705</v>
      </c>
      <c r="B45" s="18" t="s">
        <v>698</v>
      </c>
      <c r="C45" s="18" t="s">
        <v>698</v>
      </c>
      <c r="D45" s="19" t="s">
        <v>312</v>
      </c>
      <c r="E45" s="19" t="s">
        <v>312</v>
      </c>
      <c r="F45" s="16" t="s">
        <v>700</v>
      </c>
      <c r="G45" s="16" t="s">
        <v>700</v>
      </c>
      <c r="H45" s="18" t="s">
        <v>68</v>
      </c>
      <c r="I45" s="24">
        <v>0.28999999999999998</v>
      </c>
      <c r="J45" s="20">
        <v>0</v>
      </c>
      <c r="K45" s="20">
        <v>0</v>
      </c>
      <c r="L45" s="20">
        <v>0</v>
      </c>
      <c r="M45" s="20">
        <v>0</v>
      </c>
      <c r="N45" s="234">
        <v>0</v>
      </c>
      <c r="O45" s="20">
        <f>SUM(I45:M45)</f>
        <v>0.28999999999999998</v>
      </c>
      <c r="P45" s="33">
        <v>6020</v>
      </c>
      <c r="Q45" s="18">
        <v>3500</v>
      </c>
      <c r="R45" s="16"/>
      <c r="S45" s="25">
        <f>I45*I$1*Q45</f>
        <v>28419.999999999996</v>
      </c>
      <c r="T45" s="246"/>
      <c r="U45" s="112"/>
      <c r="V45" s="112"/>
    </row>
    <row r="46" spans="1:22" s="47" customFormat="1" x14ac:dyDescent="0.2">
      <c r="A46" s="16" t="s">
        <v>705</v>
      </c>
      <c r="B46" s="18" t="s">
        <v>698</v>
      </c>
      <c r="C46" s="18" t="s">
        <v>698</v>
      </c>
      <c r="D46" s="19" t="s">
        <v>312</v>
      </c>
      <c r="E46" s="19" t="s">
        <v>312</v>
      </c>
      <c r="F46" s="16" t="s">
        <v>700</v>
      </c>
      <c r="G46" s="16" t="s">
        <v>700</v>
      </c>
      <c r="H46" s="18" t="s">
        <v>68</v>
      </c>
      <c r="I46" s="24">
        <v>0.37530000000000002</v>
      </c>
      <c r="J46" s="20">
        <v>0</v>
      </c>
      <c r="K46" s="20">
        <v>0</v>
      </c>
      <c r="L46" s="20">
        <v>0</v>
      </c>
      <c r="M46" s="20">
        <v>0</v>
      </c>
      <c r="N46" s="234">
        <v>0</v>
      </c>
      <c r="O46" s="20">
        <f>SUM(I46:M46)</f>
        <v>0.37530000000000002</v>
      </c>
      <c r="P46" s="33">
        <v>6089</v>
      </c>
      <c r="Q46" s="18">
        <v>6669</v>
      </c>
      <c r="R46" s="16"/>
      <c r="S46" s="25">
        <f>I46*I$1*Q46</f>
        <v>70080.5196</v>
      </c>
      <c r="T46" s="246"/>
      <c r="U46" s="112"/>
      <c r="V46" s="112"/>
    </row>
    <row r="47" spans="1:22" s="47" customFormat="1" x14ac:dyDescent="0.2">
      <c r="A47" s="16"/>
      <c r="B47" s="18"/>
      <c r="C47" s="18"/>
      <c r="D47" s="19"/>
      <c r="E47" s="19"/>
      <c r="F47" s="37"/>
      <c r="G47" s="37"/>
      <c r="H47" s="18"/>
      <c r="I47" s="24"/>
      <c r="J47" s="20"/>
      <c r="K47" s="20"/>
      <c r="L47" s="20"/>
      <c r="M47" s="20"/>
      <c r="N47" s="234"/>
      <c r="O47" s="20"/>
      <c r="P47" s="33"/>
      <c r="Q47" s="359"/>
      <c r="R47" s="37"/>
      <c r="S47" s="25"/>
      <c r="T47" s="246"/>
      <c r="U47" s="112"/>
      <c r="V47" s="112"/>
    </row>
    <row r="48" spans="1:22" s="46" customFormat="1" x14ac:dyDescent="0.2">
      <c r="A48" s="274" t="s">
        <v>47</v>
      </c>
      <c r="B48" s="260" t="s">
        <v>47</v>
      </c>
      <c r="C48" s="123" t="s">
        <v>47</v>
      </c>
      <c r="D48" s="275" t="s">
        <v>47</v>
      </c>
      <c r="E48" s="275"/>
      <c r="F48" s="274" t="s">
        <v>47</v>
      </c>
      <c r="G48" s="365" t="s">
        <v>47</v>
      </c>
      <c r="H48" s="260" t="s">
        <v>47</v>
      </c>
      <c r="I48" s="276"/>
      <c r="J48" s="32"/>
      <c r="K48" s="32"/>
      <c r="L48" s="32"/>
      <c r="M48" s="32"/>
      <c r="N48" s="366"/>
      <c r="O48" s="32"/>
      <c r="P48" s="367" t="s">
        <v>47</v>
      </c>
      <c r="Q48" s="123">
        <f>SUM(Q36:Q47)</f>
        <v>39530</v>
      </c>
      <c r="R48" s="274" t="s">
        <v>536</v>
      </c>
      <c r="S48" s="36">
        <f>SUM(S36:S47)</f>
        <v>339860.3124</v>
      </c>
      <c r="T48" s="236"/>
      <c r="U48" s="111"/>
      <c r="V48" s="111"/>
    </row>
    <row r="49" spans="1:22" s="46" customFormat="1" x14ac:dyDescent="0.2">
      <c r="A49" s="274"/>
      <c r="B49" s="260"/>
      <c r="C49" s="123"/>
      <c r="D49" s="275"/>
      <c r="E49" s="275"/>
      <c r="F49" s="274"/>
      <c r="G49" s="365"/>
      <c r="H49" s="260"/>
      <c r="I49" s="276"/>
      <c r="J49" s="32"/>
      <c r="K49" s="32"/>
      <c r="L49" s="32"/>
      <c r="M49" s="32"/>
      <c r="N49" s="366"/>
      <c r="O49" s="32"/>
      <c r="P49" s="367"/>
      <c r="Q49" s="260"/>
      <c r="R49" s="274" t="s">
        <v>665</v>
      </c>
      <c r="S49" s="36">
        <f>SUM(S36:S41)</f>
        <v>36001.616000000002</v>
      </c>
      <c r="T49" s="236"/>
      <c r="U49" s="111"/>
      <c r="V49" s="111"/>
    </row>
    <row r="50" spans="1:22" ht="13.5" thickBot="1" x14ac:dyDescent="0.25">
      <c r="A50" s="274"/>
      <c r="B50" s="260"/>
      <c r="C50" s="123"/>
      <c r="D50" s="275"/>
      <c r="E50" s="275"/>
      <c r="F50" s="274"/>
      <c r="G50" s="365"/>
      <c r="H50" s="260"/>
      <c r="I50" s="276"/>
      <c r="J50" s="32"/>
      <c r="K50" s="32"/>
      <c r="L50" s="32"/>
      <c r="M50" s="32"/>
      <c r="N50" s="366"/>
      <c r="O50" s="32"/>
      <c r="P50" s="367"/>
      <c r="Q50" s="260"/>
      <c r="R50" s="274" t="s">
        <v>666</v>
      </c>
      <c r="S50" s="398">
        <f>+S48-S49</f>
        <v>303858.69640000002</v>
      </c>
      <c r="T50" s="236"/>
      <c r="U50" s="112"/>
      <c r="V50" s="112"/>
    </row>
    <row r="51" spans="1:22" ht="13.5" thickTop="1" x14ac:dyDescent="0.2">
      <c r="A51" s="274"/>
      <c r="B51" s="260"/>
      <c r="C51" s="123"/>
      <c r="D51" s="275"/>
      <c r="E51" s="275"/>
      <c r="F51" s="274"/>
      <c r="G51" s="365"/>
      <c r="H51" s="260"/>
      <c r="I51" s="276"/>
      <c r="J51" s="32"/>
      <c r="K51" s="32"/>
      <c r="L51" s="32"/>
      <c r="M51" s="32"/>
      <c r="N51" s="366"/>
      <c r="O51" s="32"/>
      <c r="P51" s="367"/>
      <c r="Q51" s="260"/>
      <c r="R51" s="274"/>
      <c r="S51" s="36"/>
      <c r="T51" s="236"/>
      <c r="U51" s="112"/>
      <c r="V51" s="112"/>
    </row>
    <row r="52" spans="1:22" s="386" customFormat="1" x14ac:dyDescent="0.2">
      <c r="A52" s="379" t="s">
        <v>49</v>
      </c>
      <c r="B52" s="380" t="s">
        <v>50</v>
      </c>
      <c r="C52" s="380" t="s">
        <v>51</v>
      </c>
      <c r="D52" s="381" t="s">
        <v>52</v>
      </c>
      <c r="E52" s="381"/>
      <c r="F52" s="379" t="s">
        <v>53</v>
      </c>
      <c r="G52" s="379" t="s">
        <v>54</v>
      </c>
      <c r="H52" s="380" t="s">
        <v>55</v>
      </c>
      <c r="I52" s="382" t="s">
        <v>56</v>
      </c>
      <c r="J52" s="380" t="s">
        <v>57</v>
      </c>
      <c r="K52" s="380" t="s">
        <v>58</v>
      </c>
      <c r="L52" s="380" t="s">
        <v>59</v>
      </c>
      <c r="M52" s="380" t="s">
        <v>60</v>
      </c>
      <c r="N52" s="387" t="s">
        <v>62</v>
      </c>
      <c r="O52" s="380" t="s">
        <v>63</v>
      </c>
      <c r="P52" s="384" t="s">
        <v>64</v>
      </c>
      <c r="Q52" s="380" t="s">
        <v>65</v>
      </c>
      <c r="R52" s="379" t="s">
        <v>66</v>
      </c>
      <c r="S52" s="374" t="s">
        <v>472</v>
      </c>
      <c r="T52" s="377"/>
      <c r="U52" s="377"/>
    </row>
    <row r="53" spans="1:22" s="47" customFormat="1" x14ac:dyDescent="0.2">
      <c r="A53" s="16" t="s">
        <v>418</v>
      </c>
      <c r="B53" s="16" t="s">
        <v>706</v>
      </c>
      <c r="C53" s="18" t="s">
        <v>707</v>
      </c>
      <c r="D53" s="19">
        <v>36251</v>
      </c>
      <c r="E53" s="19">
        <v>37346</v>
      </c>
      <c r="F53" s="16" t="s">
        <v>709</v>
      </c>
      <c r="G53" s="16" t="s">
        <v>708</v>
      </c>
      <c r="H53" s="18" t="s">
        <v>47</v>
      </c>
      <c r="I53" s="20">
        <f>6.38/I$1</f>
        <v>0.22785714285714284</v>
      </c>
      <c r="J53" s="20">
        <v>3.0000000000000001E-3</v>
      </c>
      <c r="K53" s="20">
        <v>2.2000000000000001E-3</v>
      </c>
      <c r="L53" s="20">
        <v>0</v>
      </c>
      <c r="M53" s="20">
        <v>0</v>
      </c>
      <c r="N53" s="21">
        <v>0</v>
      </c>
      <c r="O53" s="20">
        <f>SUM(I53:M53)</f>
        <v>0.23305714285714285</v>
      </c>
      <c r="P53" s="33">
        <v>28223</v>
      </c>
      <c r="Q53" s="18">
        <v>29750</v>
      </c>
      <c r="R53" s="16" t="s">
        <v>710</v>
      </c>
      <c r="S53" s="106">
        <f>I53*I$1*Q53</f>
        <v>189805</v>
      </c>
      <c r="T53" s="415" t="s">
        <v>711</v>
      </c>
      <c r="U53" s="112"/>
    </row>
    <row r="54" spans="1:22" s="47" customFormat="1" x14ac:dyDescent="0.2">
      <c r="A54" s="16" t="s">
        <v>49</v>
      </c>
      <c r="B54" s="16" t="s">
        <v>706</v>
      </c>
      <c r="C54" s="18" t="s">
        <v>808</v>
      </c>
      <c r="D54" s="19">
        <v>36923</v>
      </c>
      <c r="E54" s="19">
        <v>37802</v>
      </c>
      <c r="F54" s="16"/>
      <c r="G54" s="16"/>
      <c r="H54" s="18" t="s">
        <v>47</v>
      </c>
      <c r="I54" s="20">
        <f>1.3566/I1</f>
        <v>4.845E-2</v>
      </c>
      <c r="J54" s="20">
        <v>3.0000000000000001E-3</v>
      </c>
      <c r="K54" s="20">
        <v>2.2000000000000001E-3</v>
      </c>
      <c r="L54" s="20">
        <v>0</v>
      </c>
      <c r="M54" s="20">
        <v>0</v>
      </c>
      <c r="N54" s="21">
        <v>0</v>
      </c>
      <c r="O54" s="20">
        <f>SUM(I54:M54)</f>
        <v>5.3650000000000003E-2</v>
      </c>
      <c r="P54" s="33">
        <v>28754</v>
      </c>
      <c r="Q54" s="18">
        <v>15000</v>
      </c>
      <c r="R54" s="16" t="s">
        <v>782</v>
      </c>
      <c r="S54" s="106">
        <f>I54*I$1*Q54</f>
        <v>20349</v>
      </c>
      <c r="T54" s="415">
        <v>592256</v>
      </c>
      <c r="U54" s="112"/>
    </row>
    <row r="55" spans="1:22" s="47" customFormat="1" x14ac:dyDescent="0.2">
      <c r="A55" s="16"/>
      <c r="B55" s="18"/>
      <c r="C55" s="18"/>
      <c r="D55" s="19"/>
      <c r="E55" s="19"/>
      <c r="F55" s="16"/>
      <c r="G55" s="16"/>
      <c r="H55" s="18"/>
      <c r="I55" s="24"/>
      <c r="J55" s="20"/>
      <c r="K55" s="32"/>
      <c r="L55" s="20"/>
      <c r="M55" s="20"/>
      <c r="N55" s="21"/>
      <c r="O55" s="20"/>
      <c r="P55" s="33"/>
      <c r="Q55" s="18"/>
      <c r="R55" s="18"/>
      <c r="S55" s="231"/>
      <c r="T55" s="112"/>
      <c r="U55" s="112"/>
    </row>
    <row r="56" spans="1:22" s="47" customFormat="1" x14ac:dyDescent="0.2">
      <c r="A56" s="16"/>
      <c r="B56" s="18"/>
      <c r="C56" s="18"/>
      <c r="D56" s="19"/>
      <c r="E56" s="19"/>
      <c r="F56" s="16"/>
      <c r="G56" s="16"/>
      <c r="H56" s="18"/>
      <c r="I56" s="24"/>
      <c r="J56" s="20"/>
      <c r="K56" s="20"/>
      <c r="L56" s="20"/>
      <c r="M56" s="20"/>
      <c r="N56" s="234"/>
      <c r="O56" s="20"/>
      <c r="P56" s="232"/>
      <c r="Q56" s="123">
        <f>SUM(Q53:Q55)</f>
        <v>44750</v>
      </c>
      <c r="R56" s="274" t="s">
        <v>536</v>
      </c>
      <c r="S56" s="36">
        <f>SUM(S53:S55)</f>
        <v>210154</v>
      </c>
      <c r="T56" s="252"/>
      <c r="U56" s="112"/>
      <c r="V56" s="112"/>
    </row>
    <row r="57" spans="1:22" s="47" customFormat="1" x14ac:dyDescent="0.2">
      <c r="A57" s="16"/>
      <c r="B57" s="18"/>
      <c r="C57" s="18"/>
      <c r="D57" s="19"/>
      <c r="E57" s="19"/>
      <c r="F57" s="16"/>
      <c r="G57" s="16"/>
      <c r="H57" s="18"/>
      <c r="I57" s="24"/>
      <c r="J57" s="20"/>
      <c r="K57" s="20"/>
      <c r="L57" s="20"/>
      <c r="M57" s="20"/>
      <c r="N57" s="234"/>
      <c r="O57" s="20"/>
      <c r="P57" s="232"/>
      <c r="Q57" s="260"/>
      <c r="R57" s="274" t="s">
        <v>665</v>
      </c>
      <c r="S57" s="36">
        <f>+S53</f>
        <v>189805</v>
      </c>
      <c r="T57" s="252"/>
      <c r="U57" s="112"/>
      <c r="V57" s="112"/>
    </row>
    <row r="58" spans="1:22" s="47" customFormat="1" ht="13.5" thickBot="1" x14ac:dyDescent="0.25">
      <c r="A58" s="16"/>
      <c r="B58" s="18"/>
      <c r="C58" s="18"/>
      <c r="D58" s="19"/>
      <c r="E58" s="19"/>
      <c r="F58" s="16"/>
      <c r="G58" s="16"/>
      <c r="H58" s="18"/>
      <c r="I58" s="24"/>
      <c r="J58" s="20"/>
      <c r="K58" s="20"/>
      <c r="L58" s="20"/>
      <c r="M58" s="20"/>
      <c r="N58" s="234"/>
      <c r="O58" s="20"/>
      <c r="P58" s="232"/>
      <c r="Q58" s="260"/>
      <c r="R58" s="274" t="s">
        <v>666</v>
      </c>
      <c r="S58" s="398">
        <f>+S56-S57</f>
        <v>20349</v>
      </c>
      <c r="T58" s="252"/>
      <c r="U58" s="112"/>
      <c r="V58" s="112"/>
    </row>
    <row r="59" spans="1:22" s="134" customFormat="1" ht="13.5" thickTop="1" x14ac:dyDescent="0.2">
      <c r="A59" s="26"/>
      <c r="B59" s="27"/>
      <c r="C59" s="27"/>
      <c r="D59" s="28"/>
      <c r="E59" s="28"/>
      <c r="F59" s="26"/>
      <c r="G59" s="26"/>
      <c r="H59" s="27"/>
      <c r="I59" s="29"/>
      <c r="J59" s="30"/>
      <c r="K59" s="30"/>
      <c r="L59" s="30"/>
      <c r="M59" s="30"/>
      <c r="N59" s="249"/>
      <c r="O59" s="30"/>
      <c r="P59" s="421"/>
      <c r="Q59" s="27"/>
      <c r="R59" s="26"/>
      <c r="S59" s="31"/>
      <c r="T59" s="422"/>
      <c r="U59" s="423"/>
      <c r="V59" s="423"/>
    </row>
    <row r="60" spans="1:22" s="47" customFormat="1" x14ac:dyDescent="0.2">
      <c r="A60" s="223" t="s">
        <v>49</v>
      </c>
      <c r="B60" s="224" t="s">
        <v>50</v>
      </c>
      <c r="C60" s="224" t="s">
        <v>51</v>
      </c>
      <c r="D60" s="225" t="s">
        <v>52</v>
      </c>
      <c r="E60" s="225"/>
      <c r="F60" s="223" t="s">
        <v>53</v>
      </c>
      <c r="G60" s="223" t="s">
        <v>54</v>
      </c>
      <c r="H60" s="224" t="s">
        <v>55</v>
      </c>
      <c r="I60" s="226" t="s">
        <v>56</v>
      </c>
      <c r="J60" s="224" t="s">
        <v>57</v>
      </c>
      <c r="K60" s="224" t="s">
        <v>58</v>
      </c>
      <c r="L60" s="224" t="s">
        <v>59</v>
      </c>
      <c r="M60" s="224" t="s">
        <v>60</v>
      </c>
      <c r="N60" s="227" t="s">
        <v>62</v>
      </c>
      <c r="O60" s="224" t="s">
        <v>63</v>
      </c>
      <c r="P60" s="228" t="s">
        <v>64</v>
      </c>
      <c r="Q60" s="224" t="s">
        <v>65</v>
      </c>
      <c r="R60" s="223" t="s">
        <v>66</v>
      </c>
      <c r="S60" s="229" t="s">
        <v>472</v>
      </c>
      <c r="T60" s="112"/>
      <c r="U60" s="112"/>
    </row>
    <row r="61" spans="1:22" s="47" customFormat="1" ht="13.5" customHeight="1" x14ac:dyDescent="0.2">
      <c r="A61" s="16" t="s">
        <v>418</v>
      </c>
      <c r="B61" s="18" t="s">
        <v>475</v>
      </c>
      <c r="C61" s="18"/>
      <c r="D61" s="19"/>
      <c r="E61" s="19"/>
      <c r="F61" s="16"/>
      <c r="G61" s="16"/>
      <c r="H61" s="18"/>
      <c r="I61" s="24"/>
      <c r="J61" s="20">
        <v>0</v>
      </c>
      <c r="K61" s="20">
        <v>0</v>
      </c>
      <c r="L61" s="20">
        <v>0</v>
      </c>
      <c r="M61" s="20">
        <v>0</v>
      </c>
      <c r="N61" s="21">
        <v>8.0000000000000002E-3</v>
      </c>
      <c r="O61" s="20">
        <f>SUM(I61:M61)</f>
        <v>0</v>
      </c>
      <c r="P61" s="33"/>
      <c r="Q61" s="18"/>
      <c r="R61" s="16"/>
      <c r="S61" s="106"/>
      <c r="T61" s="112"/>
      <c r="U61" s="112"/>
    </row>
    <row r="63" spans="1:22" s="47" customFormat="1" x14ac:dyDescent="0.2">
      <c r="A63" s="16"/>
      <c r="B63" s="18"/>
      <c r="C63" s="18"/>
      <c r="D63" s="19"/>
      <c r="E63" s="19"/>
      <c r="F63" s="16"/>
      <c r="G63" s="16"/>
      <c r="H63" s="18"/>
      <c r="I63" s="24"/>
      <c r="J63" s="20"/>
      <c r="K63" s="32"/>
      <c r="L63" s="20"/>
      <c r="M63" s="20"/>
      <c r="N63" s="21"/>
      <c r="O63" s="20"/>
      <c r="P63" s="33"/>
      <c r="Q63" s="18"/>
      <c r="R63" s="18"/>
      <c r="S63" s="25"/>
      <c r="T63" s="112"/>
      <c r="U63" s="112"/>
    </row>
    <row r="64" spans="1:22" s="47" customFormat="1" x14ac:dyDescent="0.2">
      <c r="A64" s="16"/>
      <c r="B64" s="18"/>
      <c r="C64" s="18"/>
      <c r="D64" s="19"/>
      <c r="E64" s="19"/>
      <c r="F64" s="16"/>
      <c r="G64" s="16"/>
      <c r="H64" s="18"/>
      <c r="I64" s="24"/>
      <c r="J64" s="20"/>
      <c r="K64" s="20"/>
      <c r="L64" s="20"/>
      <c r="M64" s="20"/>
      <c r="N64" s="234"/>
      <c r="O64" s="20"/>
      <c r="P64" s="232"/>
      <c r="Q64" s="123">
        <f>SUM(Q61:Q63)</f>
        <v>0</v>
      </c>
      <c r="R64" s="274" t="s">
        <v>536</v>
      </c>
      <c r="S64" s="36">
        <f>SUM(S61:S63)</f>
        <v>0</v>
      </c>
      <c r="T64" s="252"/>
      <c r="U64" s="112"/>
      <c r="V64" s="112"/>
    </row>
    <row r="65" spans="1:22" s="47" customFormat="1" x14ac:dyDescent="0.2">
      <c r="A65" s="16"/>
      <c r="B65" s="18"/>
      <c r="C65" s="18"/>
      <c r="D65" s="19"/>
      <c r="E65" s="19"/>
      <c r="F65" s="16"/>
      <c r="G65" s="16"/>
      <c r="H65" s="18"/>
      <c r="I65" s="24"/>
      <c r="J65" s="20"/>
      <c r="K65" s="20"/>
      <c r="L65" s="20"/>
      <c r="M65" s="20"/>
      <c r="N65" s="234"/>
      <c r="O65" s="20"/>
      <c r="P65" s="232"/>
      <c r="Q65" s="260"/>
      <c r="R65" s="274" t="s">
        <v>665</v>
      </c>
      <c r="S65" s="36">
        <f>SUM(S61:S61)</f>
        <v>0</v>
      </c>
      <c r="T65" s="252"/>
      <c r="U65" s="112"/>
      <c r="V65" s="112"/>
    </row>
    <row r="66" spans="1:22" s="47" customFormat="1" ht="13.5" thickBot="1" x14ac:dyDescent="0.25">
      <c r="A66" s="16"/>
      <c r="B66" s="18"/>
      <c r="C66" s="18"/>
      <c r="D66" s="19"/>
      <c r="E66" s="19"/>
      <c r="F66" s="16"/>
      <c r="G66" s="16"/>
      <c r="H66" s="18"/>
      <c r="I66" s="24"/>
      <c r="J66" s="20"/>
      <c r="K66" s="20"/>
      <c r="L66" s="20"/>
      <c r="M66" s="20"/>
      <c r="N66" s="234"/>
      <c r="O66" s="20"/>
      <c r="P66" s="232"/>
      <c r="Q66" s="260"/>
      <c r="R66" s="274" t="s">
        <v>666</v>
      </c>
      <c r="S66" s="398">
        <f>+S64-S65</f>
        <v>0</v>
      </c>
      <c r="T66" s="252"/>
      <c r="U66" s="112"/>
      <c r="V66" s="112"/>
    </row>
    <row r="67" spans="1:22" s="47" customFormat="1" ht="13.5" thickTop="1" x14ac:dyDescent="0.2">
      <c r="A67" s="16"/>
      <c r="B67" s="18"/>
      <c r="C67" s="18"/>
      <c r="D67" s="19"/>
      <c r="E67" s="19"/>
      <c r="F67" s="16"/>
      <c r="G67" s="16"/>
      <c r="H67" s="18"/>
      <c r="I67" s="24"/>
      <c r="J67" s="20"/>
      <c r="K67" s="20"/>
      <c r="L67" s="20"/>
      <c r="M67" s="20"/>
      <c r="N67" s="234"/>
      <c r="O67" s="20"/>
      <c r="P67" s="232"/>
      <c r="Q67" s="18"/>
      <c r="R67" s="16"/>
      <c r="S67" s="25"/>
      <c r="T67" s="252"/>
      <c r="U67" s="112"/>
      <c r="V67" s="112"/>
    </row>
    <row r="68" spans="1:22" s="47" customFormat="1" x14ac:dyDescent="0.2">
      <c r="A68" s="16"/>
      <c r="B68" s="18"/>
      <c r="C68" s="18"/>
      <c r="D68" s="19"/>
      <c r="E68" s="19"/>
      <c r="F68" s="16"/>
      <c r="G68" s="16"/>
      <c r="H68" s="18"/>
      <c r="I68" s="24"/>
      <c r="J68" s="20"/>
      <c r="K68" s="20"/>
      <c r="L68" s="20"/>
      <c r="M68" s="20"/>
      <c r="N68" s="234"/>
      <c r="O68" s="20"/>
      <c r="P68" s="232"/>
      <c r="Q68" s="18"/>
      <c r="R68" s="16"/>
      <c r="S68" s="25"/>
      <c r="T68" s="252"/>
      <c r="U68" s="112"/>
      <c r="V68" s="112"/>
    </row>
    <row r="69" spans="1:22" s="386" customFormat="1" x14ac:dyDescent="0.2">
      <c r="A69" s="379" t="s">
        <v>49</v>
      </c>
      <c r="B69" s="380" t="s">
        <v>50</v>
      </c>
      <c r="C69" s="380" t="s">
        <v>51</v>
      </c>
      <c r="D69" s="381" t="s">
        <v>52</v>
      </c>
      <c r="E69" s="381"/>
      <c r="F69" s="379" t="s">
        <v>53</v>
      </c>
      <c r="G69" s="379" t="s">
        <v>54</v>
      </c>
      <c r="H69" s="380" t="s">
        <v>55</v>
      </c>
      <c r="I69" s="382" t="s">
        <v>56</v>
      </c>
      <c r="J69" s="380" t="s">
        <v>57</v>
      </c>
      <c r="K69" s="380" t="s">
        <v>58</v>
      </c>
      <c r="L69" s="380" t="s">
        <v>59</v>
      </c>
      <c r="M69" s="380" t="s">
        <v>60</v>
      </c>
      <c r="N69" s="387" t="s">
        <v>62</v>
      </c>
      <c r="O69" s="380" t="s">
        <v>63</v>
      </c>
      <c r="P69" s="384" t="s">
        <v>64</v>
      </c>
      <c r="Q69" s="380" t="s">
        <v>65</v>
      </c>
      <c r="R69" s="379" t="s">
        <v>66</v>
      </c>
      <c r="S69" s="374" t="s">
        <v>472</v>
      </c>
      <c r="T69" s="377"/>
      <c r="U69" s="377"/>
    </row>
    <row r="70" spans="1:22" s="47" customFormat="1" x14ac:dyDescent="0.2">
      <c r="A70" s="16"/>
      <c r="B70" s="16"/>
      <c r="C70" s="18"/>
      <c r="D70" s="19"/>
      <c r="E70" s="19"/>
      <c r="F70" s="16"/>
      <c r="G70" s="16"/>
      <c r="H70" s="18"/>
      <c r="I70" s="24"/>
      <c r="J70" s="20"/>
      <c r="K70" s="20"/>
      <c r="L70" s="20"/>
      <c r="M70" s="20"/>
      <c r="N70" s="21"/>
      <c r="O70" s="20"/>
      <c r="P70" s="232"/>
      <c r="Q70" s="18"/>
      <c r="R70" s="16"/>
      <c r="S70" s="106"/>
      <c r="T70" s="112"/>
      <c r="U70" s="112"/>
    </row>
    <row r="71" spans="1:22" s="47" customFormat="1" x14ac:dyDescent="0.2">
      <c r="A71" s="16"/>
      <c r="B71" s="16"/>
      <c r="C71" s="18"/>
      <c r="D71" s="19"/>
      <c r="E71" s="19"/>
      <c r="F71" s="16"/>
      <c r="G71" s="16"/>
      <c r="H71" s="18"/>
      <c r="I71" s="24"/>
      <c r="J71" s="20"/>
      <c r="K71" s="20"/>
      <c r="L71" s="20"/>
      <c r="M71" s="20"/>
      <c r="N71" s="21"/>
      <c r="O71" s="20"/>
      <c r="P71" s="33"/>
      <c r="Q71" s="18"/>
      <c r="R71" s="16"/>
      <c r="S71" s="106"/>
      <c r="T71" s="112"/>
      <c r="U71" s="112"/>
    </row>
    <row r="72" spans="1:22" s="47" customFormat="1" x14ac:dyDescent="0.2">
      <c r="A72" s="16"/>
      <c r="B72" s="18"/>
      <c r="C72" s="18"/>
      <c r="D72" s="19"/>
      <c r="E72" s="19"/>
      <c r="F72" s="16"/>
      <c r="G72" s="16"/>
      <c r="H72" s="18"/>
      <c r="I72" s="24"/>
      <c r="J72" s="20"/>
      <c r="K72" s="32"/>
      <c r="L72" s="20"/>
      <c r="M72" s="20"/>
      <c r="N72" s="21"/>
      <c r="O72" s="20"/>
      <c r="P72" s="33"/>
      <c r="Q72" s="18"/>
      <c r="R72" s="18"/>
      <c r="S72" s="231"/>
      <c r="T72" s="112"/>
      <c r="U72" s="112"/>
    </row>
    <row r="73" spans="1:22" s="47" customFormat="1" x14ac:dyDescent="0.2">
      <c r="A73" s="16"/>
      <c r="B73" s="18"/>
      <c r="C73" s="18"/>
      <c r="D73" s="19"/>
      <c r="E73" s="19"/>
      <c r="F73" s="16"/>
      <c r="G73" s="16"/>
      <c r="H73" s="18"/>
      <c r="I73" s="24"/>
      <c r="J73" s="20"/>
      <c r="K73" s="20"/>
      <c r="L73" s="20"/>
      <c r="M73" s="20"/>
      <c r="N73" s="234"/>
      <c r="O73" s="20"/>
      <c r="P73" s="232"/>
      <c r="Q73" s="123">
        <f>SUM(Q70:Q72)</f>
        <v>0</v>
      </c>
      <c r="R73" s="274" t="s">
        <v>536</v>
      </c>
      <c r="S73" s="36">
        <f>SUM(S70:S72)</f>
        <v>0</v>
      </c>
      <c r="T73" s="252"/>
      <c r="U73" s="112"/>
      <c r="V73" s="112"/>
    </row>
    <row r="74" spans="1:22" s="47" customFormat="1" x14ac:dyDescent="0.2">
      <c r="A74" s="16"/>
      <c r="B74" s="18"/>
      <c r="C74" s="18"/>
      <c r="D74" s="19"/>
      <c r="E74" s="19"/>
      <c r="F74" s="16"/>
      <c r="G74" s="16"/>
      <c r="H74" s="18"/>
      <c r="I74" s="24"/>
      <c r="J74" s="20"/>
      <c r="K74" s="20"/>
      <c r="L74" s="20"/>
      <c r="M74" s="20"/>
      <c r="N74" s="234"/>
      <c r="O74" s="20"/>
      <c r="P74" s="232"/>
      <c r="Q74" s="260"/>
      <c r="R74" s="274" t="s">
        <v>665</v>
      </c>
      <c r="S74" s="36">
        <f>SUM(S70:S71)</f>
        <v>0</v>
      </c>
      <c r="T74" s="252"/>
      <c r="U74" s="112"/>
      <c r="V74" s="112"/>
    </row>
    <row r="75" spans="1:22" s="47" customFormat="1" ht="13.5" thickBot="1" x14ac:dyDescent="0.25">
      <c r="A75" s="16"/>
      <c r="B75" s="18"/>
      <c r="C75" s="18"/>
      <c r="D75" s="19"/>
      <c r="E75" s="19"/>
      <c r="F75" s="16"/>
      <c r="G75" s="16"/>
      <c r="H75" s="18"/>
      <c r="I75" s="24"/>
      <c r="J75" s="20"/>
      <c r="K75" s="20"/>
      <c r="L75" s="20"/>
      <c r="M75" s="20"/>
      <c r="N75" s="234"/>
      <c r="O75" s="20"/>
      <c r="P75" s="232"/>
      <c r="Q75" s="260"/>
      <c r="R75" s="274" t="s">
        <v>666</v>
      </c>
      <c r="S75" s="398">
        <f>+S73-S74</f>
        <v>0</v>
      </c>
      <c r="T75" s="252"/>
      <c r="U75" s="112"/>
      <c r="V75" s="112"/>
    </row>
    <row r="76" spans="1:22" s="47" customFormat="1" ht="13.5" thickTop="1" x14ac:dyDescent="0.2">
      <c r="A76" s="16"/>
      <c r="B76" s="18"/>
      <c r="C76" s="18"/>
      <c r="D76" s="19"/>
      <c r="E76" s="19"/>
      <c r="F76" s="16"/>
      <c r="G76" s="16"/>
      <c r="H76" s="18"/>
      <c r="I76" s="24"/>
      <c r="J76" s="20"/>
      <c r="K76" s="20"/>
      <c r="L76" s="20"/>
      <c r="M76" s="20"/>
      <c r="N76" s="234"/>
      <c r="O76" s="20"/>
      <c r="P76" s="232"/>
      <c r="Q76" s="18"/>
      <c r="R76" s="16"/>
      <c r="S76" s="25"/>
      <c r="T76" s="252"/>
      <c r="U76" s="112"/>
      <c r="V76" s="112"/>
    </row>
    <row r="77" spans="1:22" s="386" customFormat="1" x14ac:dyDescent="0.2">
      <c r="A77" s="379" t="s">
        <v>49</v>
      </c>
      <c r="B77" s="380" t="s">
        <v>50</v>
      </c>
      <c r="C77" s="380" t="s">
        <v>51</v>
      </c>
      <c r="D77" s="381" t="s">
        <v>52</v>
      </c>
      <c r="E77" s="381"/>
      <c r="F77" s="379" t="s">
        <v>53</v>
      </c>
      <c r="G77" s="379" t="s">
        <v>54</v>
      </c>
      <c r="H77" s="380" t="s">
        <v>55</v>
      </c>
      <c r="I77" s="382" t="s">
        <v>56</v>
      </c>
      <c r="J77" s="380" t="s">
        <v>57</v>
      </c>
      <c r="K77" s="380" t="s">
        <v>58</v>
      </c>
      <c r="L77" s="380" t="s">
        <v>59</v>
      </c>
      <c r="M77" s="380" t="s">
        <v>60</v>
      </c>
      <c r="N77" s="387" t="s">
        <v>62</v>
      </c>
      <c r="O77" s="380" t="s">
        <v>63</v>
      </c>
      <c r="P77" s="384" t="s">
        <v>64</v>
      </c>
      <c r="Q77" s="380" t="s">
        <v>65</v>
      </c>
      <c r="R77" s="379" t="s">
        <v>66</v>
      </c>
      <c r="S77" s="374" t="s">
        <v>472</v>
      </c>
      <c r="T77" s="377"/>
      <c r="U77" s="377"/>
    </row>
    <row r="78" spans="1:22" s="47" customFormat="1" x14ac:dyDescent="0.2">
      <c r="A78" s="16" t="s">
        <v>656</v>
      </c>
      <c r="B78" s="16" t="s">
        <v>699</v>
      </c>
      <c r="C78" s="18" t="s">
        <v>699</v>
      </c>
      <c r="D78" s="19" t="s">
        <v>700</v>
      </c>
      <c r="E78" s="19" t="s">
        <v>700</v>
      </c>
      <c r="F78" s="16" t="s">
        <v>312</v>
      </c>
      <c r="G78" s="16" t="s">
        <v>312</v>
      </c>
      <c r="H78" s="18" t="s">
        <v>47</v>
      </c>
      <c r="I78" s="24">
        <v>7.2900000000000006E-2</v>
      </c>
      <c r="J78" s="20">
        <v>3.0000000000000001E-3</v>
      </c>
      <c r="K78" s="20">
        <v>2.2000000000000001E-3</v>
      </c>
      <c r="L78" s="20">
        <v>0</v>
      </c>
      <c r="M78" s="20">
        <v>0</v>
      </c>
      <c r="N78" s="21">
        <v>0</v>
      </c>
      <c r="O78" s="20">
        <f>SUM(I78:M78)</f>
        <v>7.8100000000000003E-2</v>
      </c>
      <c r="P78" s="33" t="s">
        <v>701</v>
      </c>
      <c r="Q78" s="18">
        <v>25000</v>
      </c>
      <c r="R78" s="16"/>
      <c r="S78" s="106">
        <f>I78*I$1*Q78</f>
        <v>51030.000000000007</v>
      </c>
      <c r="T78" s="112"/>
      <c r="U78" s="112"/>
    </row>
    <row r="79" spans="1:22" s="47" customFormat="1" x14ac:dyDescent="0.2">
      <c r="A79" s="16"/>
      <c r="B79" s="16"/>
      <c r="C79" s="18"/>
      <c r="D79" s="19"/>
      <c r="E79" s="19"/>
      <c r="F79" s="16"/>
      <c r="G79" s="16"/>
      <c r="H79" s="18"/>
      <c r="I79" s="24"/>
      <c r="J79" s="20"/>
      <c r="K79" s="20"/>
      <c r="L79" s="20"/>
      <c r="M79" s="20"/>
      <c r="N79" s="21"/>
      <c r="O79" s="20"/>
      <c r="P79" s="33"/>
      <c r="Q79" s="18"/>
      <c r="R79" s="16"/>
      <c r="S79" s="106"/>
      <c r="T79" s="112"/>
      <c r="U79" s="112"/>
    </row>
    <row r="80" spans="1:22" s="47" customFormat="1" x14ac:dyDescent="0.2">
      <c r="A80" s="16"/>
      <c r="B80" s="18"/>
      <c r="C80" s="18"/>
      <c r="D80" s="19"/>
      <c r="E80" s="19"/>
      <c r="F80" s="16"/>
      <c r="G80" s="16"/>
      <c r="H80" s="18"/>
      <c r="I80" s="24"/>
      <c r="J80" s="20"/>
      <c r="K80" s="32"/>
      <c r="L80" s="20"/>
      <c r="M80" s="20"/>
      <c r="N80" s="21"/>
      <c r="O80" s="20"/>
      <c r="P80" s="33"/>
      <c r="Q80" s="18"/>
      <c r="R80" s="18"/>
      <c r="S80" s="231"/>
      <c r="T80" s="112"/>
      <c r="U80" s="112"/>
    </row>
    <row r="81" spans="1:22" s="47" customFormat="1" x14ac:dyDescent="0.2">
      <c r="A81" s="16"/>
      <c r="B81" s="18"/>
      <c r="C81" s="18"/>
      <c r="D81" s="19"/>
      <c r="E81" s="19"/>
      <c r="F81" s="16"/>
      <c r="G81" s="16"/>
      <c r="H81" s="18"/>
      <c r="I81" s="24"/>
      <c r="J81" s="20"/>
      <c r="K81" s="20"/>
      <c r="L81" s="20"/>
      <c r="M81" s="20"/>
      <c r="N81" s="234"/>
      <c r="O81" s="20"/>
      <c r="P81" s="232"/>
      <c r="Q81" s="123">
        <f>SUM(Q78:Q80)</f>
        <v>25000</v>
      </c>
      <c r="R81" s="274" t="s">
        <v>536</v>
      </c>
      <c r="S81" s="36">
        <f>SUM(S78:S80)</f>
        <v>51030.000000000007</v>
      </c>
      <c r="T81" s="252"/>
      <c r="U81" s="112"/>
      <c r="V81" s="112"/>
    </row>
    <row r="82" spans="1:22" s="47" customFormat="1" x14ac:dyDescent="0.2">
      <c r="A82" s="16"/>
      <c r="B82" s="18"/>
      <c r="C82" s="18"/>
      <c r="D82" s="19"/>
      <c r="E82" s="19"/>
      <c r="F82" s="16"/>
      <c r="G82" s="16"/>
      <c r="H82" s="18"/>
      <c r="I82" s="24"/>
      <c r="J82" s="20"/>
      <c r="K82" s="20"/>
      <c r="L82" s="20"/>
      <c r="M82" s="20"/>
      <c r="N82" s="234"/>
      <c r="O82" s="20"/>
      <c r="P82" s="232"/>
      <c r="Q82" s="260"/>
      <c r="R82" s="274" t="s">
        <v>665</v>
      </c>
      <c r="S82" s="36">
        <v>0</v>
      </c>
      <c r="T82" s="252"/>
      <c r="U82" s="112"/>
      <c r="V82" s="112"/>
    </row>
    <row r="83" spans="1:22" s="47" customFormat="1" ht="13.5" thickBot="1" x14ac:dyDescent="0.25">
      <c r="A83" s="16"/>
      <c r="B83" s="18"/>
      <c r="C83" s="18"/>
      <c r="D83" s="19"/>
      <c r="E83" s="19"/>
      <c r="F83" s="16"/>
      <c r="G83" s="16"/>
      <c r="H83" s="18"/>
      <c r="I83" s="24"/>
      <c r="J83" s="20"/>
      <c r="K83" s="20"/>
      <c r="L83" s="20"/>
      <c r="M83" s="20"/>
      <c r="N83" s="234"/>
      <c r="O83" s="20"/>
      <c r="P83" s="232"/>
      <c r="Q83" s="260"/>
      <c r="R83" s="274" t="s">
        <v>666</v>
      </c>
      <c r="S83" s="398">
        <f>+S81-S82</f>
        <v>51030.000000000007</v>
      </c>
      <c r="T83" s="252"/>
      <c r="U83" s="112"/>
      <c r="V83" s="112"/>
    </row>
    <row r="84" spans="1:22" s="47" customFormat="1" ht="13.5" thickTop="1" x14ac:dyDescent="0.2">
      <c r="A84" s="16"/>
      <c r="B84" s="18"/>
      <c r="C84" s="18"/>
      <c r="D84" s="19"/>
      <c r="E84" s="19"/>
      <c r="F84" s="16"/>
      <c r="G84" s="16"/>
      <c r="H84" s="18"/>
      <c r="I84" s="24"/>
      <c r="J84" s="20"/>
      <c r="K84" s="20"/>
      <c r="L84" s="20"/>
      <c r="M84" s="20"/>
      <c r="N84" s="234"/>
      <c r="O84" s="20"/>
      <c r="P84" s="232"/>
      <c r="Q84" s="260"/>
      <c r="R84" s="274"/>
      <c r="S84" s="36"/>
      <c r="T84" s="252"/>
      <c r="U84" s="112"/>
      <c r="V84" s="112"/>
    </row>
    <row r="85" spans="1:22" s="386" customFormat="1" x14ac:dyDescent="0.2">
      <c r="A85" s="379" t="s">
        <v>49</v>
      </c>
      <c r="B85" s="380" t="s">
        <v>50</v>
      </c>
      <c r="C85" s="380" t="s">
        <v>51</v>
      </c>
      <c r="D85" s="381" t="s">
        <v>52</v>
      </c>
      <c r="E85" s="381"/>
      <c r="F85" s="379" t="s">
        <v>53</v>
      </c>
      <c r="G85" s="379" t="s">
        <v>54</v>
      </c>
      <c r="H85" s="380" t="s">
        <v>528</v>
      </c>
      <c r="I85" s="382" t="s">
        <v>56</v>
      </c>
      <c r="J85" s="380" t="s">
        <v>57</v>
      </c>
      <c r="K85" s="380" t="s">
        <v>58</v>
      </c>
      <c r="L85" s="380" t="s">
        <v>59</v>
      </c>
      <c r="M85" s="380" t="s">
        <v>60</v>
      </c>
      <c r="N85" s="383" t="s">
        <v>62</v>
      </c>
      <c r="O85" s="380" t="s">
        <v>63</v>
      </c>
      <c r="P85" s="384" t="s">
        <v>504</v>
      </c>
      <c r="Q85" s="380" t="s">
        <v>65</v>
      </c>
      <c r="R85" s="379" t="s">
        <v>66</v>
      </c>
      <c r="S85" s="374" t="s">
        <v>505</v>
      </c>
      <c r="T85" s="385" t="s">
        <v>507</v>
      </c>
      <c r="U85" s="377"/>
      <c r="V85" s="377"/>
    </row>
    <row r="86" spans="1:22" x14ac:dyDescent="0.2">
      <c r="A86" s="16" t="s">
        <v>451</v>
      </c>
      <c r="B86" s="18" t="s">
        <v>564</v>
      </c>
      <c r="C86" s="18" t="s">
        <v>451</v>
      </c>
      <c r="D86" s="19">
        <v>36892</v>
      </c>
      <c r="E86" s="19">
        <v>36981</v>
      </c>
      <c r="F86" s="16"/>
      <c r="G86" s="16"/>
      <c r="H86" s="18" t="s">
        <v>555</v>
      </c>
      <c r="I86" s="24">
        <f>4.28/I$1</f>
        <v>0.15285714285714286</v>
      </c>
      <c r="J86" s="20"/>
      <c r="K86" s="32"/>
      <c r="L86" s="20"/>
      <c r="M86" s="20"/>
      <c r="N86" s="234"/>
      <c r="O86" s="20"/>
      <c r="P86" s="33">
        <v>4862</v>
      </c>
      <c r="Q86" s="18">
        <v>40217</v>
      </c>
      <c r="R86" s="18"/>
      <c r="S86" s="25">
        <f>I86*I$1*Q86</f>
        <v>172128.76</v>
      </c>
      <c r="T86" s="246">
        <v>549296</v>
      </c>
      <c r="U86" s="112"/>
      <c r="V86" s="112"/>
    </row>
    <row r="87" spans="1:22" x14ac:dyDescent="0.2">
      <c r="A87" s="16" t="s">
        <v>451</v>
      </c>
      <c r="B87" s="18" t="s">
        <v>564</v>
      </c>
      <c r="C87" s="18" t="s">
        <v>474</v>
      </c>
      <c r="D87" s="19"/>
      <c r="E87" s="19"/>
      <c r="F87" s="16"/>
      <c r="G87" s="16"/>
      <c r="H87" s="18"/>
      <c r="I87" s="24">
        <f>4.28/I$1</f>
        <v>0.15285714285714286</v>
      </c>
      <c r="J87" s="20"/>
      <c r="K87" s="32"/>
      <c r="L87" s="20"/>
      <c r="M87" s="20"/>
      <c r="N87" s="234"/>
      <c r="O87" s="20"/>
      <c r="P87" s="33">
        <v>712131</v>
      </c>
      <c r="Q87" s="18">
        <v>3850</v>
      </c>
      <c r="R87" s="18"/>
      <c r="S87" s="25">
        <f>I87*I$1*Q87</f>
        <v>16478</v>
      </c>
      <c r="T87" s="246">
        <v>234462</v>
      </c>
      <c r="U87" s="112"/>
      <c r="V87" s="112"/>
    </row>
    <row r="88" spans="1:22" x14ac:dyDescent="0.2">
      <c r="A88" s="16"/>
      <c r="B88" s="18"/>
      <c r="C88" s="18"/>
      <c r="D88" s="19"/>
      <c r="E88" s="19"/>
      <c r="F88" s="16"/>
      <c r="G88" s="16"/>
      <c r="H88" s="18"/>
      <c r="I88" s="24"/>
      <c r="J88" s="20"/>
      <c r="K88" s="32"/>
      <c r="L88" s="20"/>
      <c r="M88" s="20"/>
      <c r="N88" s="234"/>
      <c r="O88" s="20"/>
      <c r="P88" s="33"/>
      <c r="Q88" s="17"/>
      <c r="R88" s="18"/>
      <c r="S88" s="106"/>
      <c r="T88" s="246"/>
      <c r="U88" s="112"/>
      <c r="V88" s="112"/>
    </row>
    <row r="89" spans="1:22" s="75" customFormat="1" x14ac:dyDescent="0.2">
      <c r="A89" s="274"/>
      <c r="B89" s="123"/>
      <c r="C89" s="123"/>
      <c r="D89" s="275"/>
      <c r="E89" s="275"/>
      <c r="F89" s="274"/>
      <c r="G89" s="274"/>
      <c r="H89" s="123"/>
      <c r="I89" s="276"/>
      <c r="J89" s="32"/>
      <c r="K89" s="32"/>
      <c r="L89" s="32"/>
      <c r="M89" s="32"/>
      <c r="N89" s="366"/>
      <c r="O89" s="32"/>
      <c r="P89" s="388"/>
      <c r="Q89" s="123">
        <f>SUM(Q86:Q88)</f>
        <v>44067</v>
      </c>
      <c r="R89" s="274" t="s">
        <v>536</v>
      </c>
      <c r="S89" s="36">
        <f>SUM(S86:S88)</f>
        <v>188606.76</v>
      </c>
      <c r="T89" s="259"/>
      <c r="U89" s="111"/>
      <c r="V89" s="111"/>
    </row>
    <row r="90" spans="1:22" s="47" customFormat="1" x14ac:dyDescent="0.2">
      <c r="A90" s="16"/>
      <c r="B90" s="18"/>
      <c r="C90" s="18"/>
      <c r="D90" s="19"/>
      <c r="E90" s="19"/>
      <c r="F90" s="16"/>
      <c r="G90" s="16"/>
      <c r="H90" s="18"/>
      <c r="I90" s="24"/>
      <c r="J90" s="20"/>
      <c r="K90" s="20"/>
      <c r="L90" s="20"/>
      <c r="M90" s="20"/>
      <c r="N90" s="234"/>
      <c r="O90" s="20"/>
      <c r="P90" s="232"/>
      <c r="Q90" s="260"/>
      <c r="R90" s="274" t="s">
        <v>665</v>
      </c>
      <c r="S90" s="36">
        <v>0</v>
      </c>
      <c r="T90" s="252"/>
      <c r="U90" s="112"/>
      <c r="V90" s="112"/>
    </row>
    <row r="91" spans="1:22" s="47" customFormat="1" ht="13.5" thickBot="1" x14ac:dyDescent="0.25">
      <c r="A91" s="16"/>
      <c r="B91" s="18"/>
      <c r="C91" s="18"/>
      <c r="D91" s="19"/>
      <c r="E91" s="19"/>
      <c r="F91" s="16"/>
      <c r="G91" s="16"/>
      <c r="H91" s="18"/>
      <c r="I91" s="24"/>
      <c r="J91" s="20"/>
      <c r="K91" s="20"/>
      <c r="L91" s="20"/>
      <c r="M91" s="20"/>
      <c r="N91" s="234"/>
      <c r="O91" s="20"/>
      <c r="P91" s="232"/>
      <c r="Q91" s="260"/>
      <c r="R91" s="274" t="s">
        <v>666</v>
      </c>
      <c r="S91" s="399">
        <f>+S89-S90</f>
        <v>188606.76</v>
      </c>
      <c r="T91" s="252"/>
      <c r="U91" s="112"/>
      <c r="V91" s="112"/>
    </row>
    <row r="92" spans="1:22" s="47" customFormat="1" ht="13.5" thickTop="1" x14ac:dyDescent="0.2">
      <c r="A92" s="16"/>
      <c r="B92" s="18"/>
      <c r="C92" s="18"/>
      <c r="D92" s="19"/>
      <c r="E92" s="19"/>
      <c r="F92" s="16"/>
      <c r="G92" s="16"/>
      <c r="H92" s="18"/>
      <c r="I92" s="24"/>
      <c r="J92" s="20"/>
      <c r="K92" s="20"/>
      <c r="L92" s="20"/>
      <c r="M92" s="20"/>
      <c r="N92" s="234"/>
      <c r="O92" s="20"/>
      <c r="P92" s="232"/>
      <c r="Q92" s="18"/>
      <c r="R92" s="16"/>
      <c r="S92" s="25"/>
      <c r="T92" s="252"/>
      <c r="U92" s="112"/>
      <c r="V92" s="112"/>
    </row>
    <row r="93" spans="1:22" s="386" customFormat="1" x14ac:dyDescent="0.2">
      <c r="A93" s="379" t="s">
        <v>49</v>
      </c>
      <c r="B93" s="380" t="s">
        <v>50</v>
      </c>
      <c r="C93" s="380" t="s">
        <v>51</v>
      </c>
      <c r="D93" s="381" t="s">
        <v>52</v>
      </c>
      <c r="E93" s="381"/>
      <c r="F93" s="379" t="s">
        <v>53</v>
      </c>
      <c r="G93" s="379" t="s">
        <v>54</v>
      </c>
      <c r="H93" s="380" t="s">
        <v>55</v>
      </c>
      <c r="I93" s="382" t="s">
        <v>56</v>
      </c>
      <c r="J93" s="380" t="s">
        <v>57</v>
      </c>
      <c r="K93" s="380" t="s">
        <v>58</v>
      </c>
      <c r="L93" s="380" t="s">
        <v>59</v>
      </c>
      <c r="M93" s="380" t="s">
        <v>60</v>
      </c>
      <c r="N93" s="387" t="s">
        <v>62</v>
      </c>
      <c r="O93" s="380" t="s">
        <v>63</v>
      </c>
      <c r="P93" s="384" t="s">
        <v>64</v>
      </c>
      <c r="Q93" s="380" t="s">
        <v>65</v>
      </c>
      <c r="R93" s="379" t="s">
        <v>66</v>
      </c>
      <c r="S93" s="374" t="s">
        <v>472</v>
      </c>
      <c r="T93" s="377"/>
      <c r="U93" s="377"/>
    </row>
    <row r="94" spans="1:22" s="47" customFormat="1" x14ac:dyDescent="0.2">
      <c r="A94" s="16" t="s">
        <v>418</v>
      </c>
      <c r="B94" s="18" t="s">
        <v>73</v>
      </c>
      <c r="C94" s="18" t="s">
        <v>437</v>
      </c>
      <c r="D94" s="19">
        <v>36526</v>
      </c>
      <c r="E94" s="19">
        <v>37560</v>
      </c>
      <c r="F94" s="16" t="s">
        <v>494</v>
      </c>
      <c r="G94" s="16" t="s">
        <v>494</v>
      </c>
      <c r="H94" s="18" t="s">
        <v>68</v>
      </c>
      <c r="I94" s="24">
        <f>5.2701/I$1</f>
        <v>0.18821785714285716</v>
      </c>
      <c r="J94" s="20">
        <v>0</v>
      </c>
      <c r="K94" s="20">
        <v>0</v>
      </c>
      <c r="L94" s="20">
        <v>0</v>
      </c>
      <c r="M94" s="20">
        <v>0</v>
      </c>
      <c r="N94" s="21">
        <v>3.6900000000000002E-2</v>
      </c>
      <c r="O94" s="20">
        <v>0</v>
      </c>
      <c r="P94" s="232">
        <v>1440</v>
      </c>
      <c r="Q94" s="18">
        <v>4803</v>
      </c>
      <c r="R94" s="25" t="s">
        <v>47</v>
      </c>
      <c r="S94" s="25">
        <f>+I94*Q94*I1</f>
        <v>25312.290300000001</v>
      </c>
      <c r="T94" s="112">
        <v>251724</v>
      </c>
      <c r="U94" s="112"/>
      <c r="V94" s="47" t="s">
        <v>477</v>
      </c>
    </row>
    <row r="95" spans="1:22" s="47" customFormat="1" x14ac:dyDescent="0.2">
      <c r="A95" s="16" t="s">
        <v>418</v>
      </c>
      <c r="B95" s="18" t="s">
        <v>73</v>
      </c>
      <c r="C95" s="18" t="s">
        <v>437</v>
      </c>
      <c r="D95" s="19">
        <v>36526</v>
      </c>
      <c r="E95" s="19">
        <v>37560</v>
      </c>
      <c r="F95" s="16" t="s">
        <v>494</v>
      </c>
      <c r="G95" s="16" t="s">
        <v>494</v>
      </c>
      <c r="H95" s="18" t="s">
        <v>68</v>
      </c>
      <c r="I95" s="24">
        <f>5.45/I$1</f>
        <v>0.19464285714285715</v>
      </c>
      <c r="J95" s="20">
        <v>0</v>
      </c>
      <c r="K95" s="20">
        <v>0</v>
      </c>
      <c r="L95" s="20">
        <v>0</v>
      </c>
      <c r="M95" s="20">
        <v>0</v>
      </c>
      <c r="N95" s="21">
        <v>3.6900000000000002E-2</v>
      </c>
      <c r="O95" s="20">
        <v>0</v>
      </c>
      <c r="P95" s="232">
        <v>1548</v>
      </c>
      <c r="Q95" s="18">
        <v>3841</v>
      </c>
      <c r="R95" s="25" t="s">
        <v>47</v>
      </c>
      <c r="S95" s="25">
        <f>+I95*Q95*I1</f>
        <v>20933.45</v>
      </c>
      <c r="T95" s="112">
        <v>251745</v>
      </c>
      <c r="U95" s="112"/>
      <c r="V95" s="47" t="s">
        <v>477</v>
      </c>
    </row>
    <row r="96" spans="1:22" s="47" customFormat="1" x14ac:dyDescent="0.2">
      <c r="A96" s="16" t="s">
        <v>418</v>
      </c>
      <c r="B96" s="18" t="s">
        <v>73</v>
      </c>
      <c r="C96" s="18" t="s">
        <v>437</v>
      </c>
      <c r="D96" s="19">
        <v>36039</v>
      </c>
      <c r="E96" s="19">
        <v>37560</v>
      </c>
      <c r="F96" s="16" t="s">
        <v>438</v>
      </c>
      <c r="G96" s="16"/>
      <c r="H96" s="18" t="s">
        <v>68</v>
      </c>
      <c r="I96" s="24">
        <v>1.8499999999999999E-2</v>
      </c>
      <c r="J96" s="20">
        <v>0</v>
      </c>
      <c r="K96" s="20">
        <v>0</v>
      </c>
      <c r="L96" s="20">
        <v>0</v>
      </c>
      <c r="M96" s="20">
        <v>0</v>
      </c>
      <c r="N96" s="21">
        <v>3.6900000000000002E-2</v>
      </c>
      <c r="O96" s="20">
        <v>0</v>
      </c>
      <c r="P96" s="33">
        <v>2210</v>
      </c>
      <c r="Q96" s="18">
        <v>709765</v>
      </c>
      <c r="R96" s="25" t="s">
        <v>476</v>
      </c>
      <c r="S96" s="25">
        <f>+Q96*I96</f>
        <v>13130.6525</v>
      </c>
      <c r="T96" s="112">
        <v>251751</v>
      </c>
      <c r="U96" s="112">
        <v>96005270</v>
      </c>
      <c r="V96" s="47" t="s">
        <v>477</v>
      </c>
    </row>
    <row r="97" spans="1:22" s="47" customFormat="1" x14ac:dyDescent="0.2">
      <c r="A97" s="16" t="s">
        <v>418</v>
      </c>
      <c r="B97" s="18" t="s">
        <v>73</v>
      </c>
      <c r="C97" s="18" t="s">
        <v>437</v>
      </c>
      <c r="D97" s="19">
        <v>36039</v>
      </c>
      <c r="E97" s="19">
        <v>37560</v>
      </c>
      <c r="F97" s="16" t="s">
        <v>438</v>
      </c>
      <c r="G97" s="16"/>
      <c r="H97" s="18" t="s">
        <v>68</v>
      </c>
      <c r="I97" s="24">
        <f>1.15/I$1</f>
        <v>4.1071428571428571E-2</v>
      </c>
      <c r="J97" s="20">
        <v>0</v>
      </c>
      <c r="K97" s="20">
        <v>0</v>
      </c>
      <c r="L97" s="20">
        <v>0</v>
      </c>
      <c r="M97" s="20">
        <v>0</v>
      </c>
      <c r="N97" s="21">
        <v>3.6900000000000002E-2</v>
      </c>
      <c r="O97" s="20">
        <v>0</v>
      </c>
      <c r="P97" s="33">
        <v>2210</v>
      </c>
      <c r="Q97" s="18">
        <v>14388</v>
      </c>
      <c r="R97" s="25" t="s">
        <v>476</v>
      </c>
      <c r="S97" s="25">
        <f>+I97*Q97*I1</f>
        <v>16546.2</v>
      </c>
      <c r="T97" s="112">
        <v>251751</v>
      </c>
      <c r="U97" s="112">
        <v>96005270</v>
      </c>
      <c r="V97" s="47" t="s">
        <v>477</v>
      </c>
    </row>
    <row r="98" spans="1:22" s="47" customFormat="1" x14ac:dyDescent="0.2">
      <c r="A98" s="16" t="s">
        <v>418</v>
      </c>
      <c r="B98" s="18" t="s">
        <v>73</v>
      </c>
      <c r="C98" s="18" t="s">
        <v>681</v>
      </c>
      <c r="D98" s="19">
        <v>36039</v>
      </c>
      <c r="E98" s="19">
        <v>37560</v>
      </c>
      <c r="F98" s="16" t="s">
        <v>438</v>
      </c>
      <c r="G98" s="16"/>
      <c r="H98" s="18" t="s">
        <v>68</v>
      </c>
      <c r="I98" s="24">
        <v>1.8499999999999999E-2</v>
      </c>
      <c r="J98" s="20">
        <v>0</v>
      </c>
      <c r="K98" s="20">
        <v>0</v>
      </c>
      <c r="L98" s="20">
        <v>0</v>
      </c>
      <c r="M98" s="20">
        <v>0</v>
      </c>
      <c r="N98" s="21">
        <v>3.6900000000000002E-2</v>
      </c>
      <c r="O98" s="20">
        <v>0</v>
      </c>
      <c r="P98" s="33">
        <v>2076</v>
      </c>
      <c r="Q98" s="18">
        <v>11827</v>
      </c>
      <c r="R98" s="25" t="s">
        <v>496</v>
      </c>
      <c r="S98" s="25">
        <f>+I98*Q98</f>
        <v>218.79949999999999</v>
      </c>
      <c r="T98" s="112">
        <v>251691</v>
      </c>
      <c r="U98" s="112">
        <v>96006727</v>
      </c>
    </row>
    <row r="99" spans="1:22" s="47" customFormat="1" x14ac:dyDescent="0.2">
      <c r="A99" s="16" t="s">
        <v>418</v>
      </c>
      <c r="B99" s="18" t="s">
        <v>73</v>
      </c>
      <c r="C99" s="18" t="s">
        <v>681</v>
      </c>
      <c r="D99" s="19">
        <v>36039</v>
      </c>
      <c r="E99" s="19">
        <v>37560</v>
      </c>
      <c r="F99" s="16" t="s">
        <v>438</v>
      </c>
      <c r="G99" s="16"/>
      <c r="H99" s="18"/>
      <c r="I99" s="24">
        <f>1.15/I$1</f>
        <v>4.1071428571428571E-2</v>
      </c>
      <c r="J99" s="20"/>
      <c r="K99" s="20"/>
      <c r="L99" s="20"/>
      <c r="M99" s="20"/>
      <c r="N99" s="21"/>
      <c r="O99" s="20"/>
      <c r="P99" s="33">
        <v>2076</v>
      </c>
      <c r="Q99" s="18">
        <v>209</v>
      </c>
      <c r="R99" s="25" t="s">
        <v>496</v>
      </c>
      <c r="S99" s="25">
        <f>+I99*Q99*I1</f>
        <v>240.35000000000002</v>
      </c>
      <c r="T99" s="112">
        <v>251691</v>
      </c>
      <c r="U99" s="112"/>
    </row>
    <row r="100" spans="1:22" s="47" customFormat="1" x14ac:dyDescent="0.2">
      <c r="A100" s="16" t="s">
        <v>418</v>
      </c>
      <c r="B100" s="18" t="s">
        <v>73</v>
      </c>
      <c r="C100" s="18" t="s">
        <v>681</v>
      </c>
      <c r="D100" s="19">
        <v>36039</v>
      </c>
      <c r="E100" s="19">
        <v>37560</v>
      </c>
      <c r="F100" s="16" t="s">
        <v>494</v>
      </c>
      <c r="G100" s="16" t="s">
        <v>494</v>
      </c>
      <c r="H100" s="18" t="s">
        <v>68</v>
      </c>
      <c r="I100" s="24">
        <f>5.61/I$1</f>
        <v>0.20035714285714287</v>
      </c>
      <c r="J100" s="20">
        <v>0</v>
      </c>
      <c r="K100" s="20">
        <v>0</v>
      </c>
      <c r="L100" s="20">
        <v>0</v>
      </c>
      <c r="M100" s="20">
        <v>0</v>
      </c>
      <c r="N100" s="21">
        <v>3.6900000000000002E-2</v>
      </c>
      <c r="O100" s="20">
        <v>0</v>
      </c>
      <c r="P100" s="33">
        <v>1339</v>
      </c>
      <c r="Q100" s="18">
        <v>90</v>
      </c>
      <c r="R100" s="25" t="s">
        <v>495</v>
      </c>
      <c r="S100" s="25">
        <f>+I100*Q100*I1</f>
        <v>504.90000000000003</v>
      </c>
      <c r="T100" s="112">
        <v>251714</v>
      </c>
      <c r="U100" s="112"/>
    </row>
    <row r="101" spans="1:22" s="47" customFormat="1" ht="12" customHeight="1" x14ac:dyDescent="0.2">
      <c r="A101" s="16" t="s">
        <v>67</v>
      </c>
      <c r="B101" s="18" t="s">
        <v>447</v>
      </c>
      <c r="C101" s="18" t="s">
        <v>447</v>
      </c>
      <c r="D101" s="19">
        <v>36465</v>
      </c>
      <c r="E101" s="19">
        <v>36951</v>
      </c>
      <c r="F101" s="16" t="s">
        <v>448</v>
      </c>
      <c r="G101" s="16" t="s">
        <v>433</v>
      </c>
      <c r="H101" s="18" t="s">
        <v>68</v>
      </c>
      <c r="I101" s="24">
        <f>2.26/I$1</f>
        <v>8.0714285714285711E-2</v>
      </c>
      <c r="J101" s="20">
        <v>8.9999999999999998E-4</v>
      </c>
      <c r="K101" s="20">
        <v>2.2000000000000001E-3</v>
      </c>
      <c r="L101" s="20">
        <v>7.4999999999999997E-3</v>
      </c>
      <c r="M101" s="20">
        <v>0</v>
      </c>
      <c r="N101" s="21">
        <v>5.0000000000000001E-3</v>
      </c>
      <c r="O101" s="20">
        <f>SUM(I101:M101)</f>
        <v>9.1314285714285709E-2</v>
      </c>
      <c r="P101" s="33">
        <v>31468</v>
      </c>
      <c r="Q101" s="18">
        <v>1600</v>
      </c>
      <c r="R101" s="42" t="s">
        <v>47</v>
      </c>
      <c r="S101" s="25">
        <f>I101*$I$1*Q101</f>
        <v>3615.9999999999995</v>
      </c>
      <c r="T101" s="112">
        <v>125103</v>
      </c>
      <c r="U101" s="112"/>
    </row>
    <row r="102" spans="1:22" s="47" customFormat="1" ht="12" customHeight="1" x14ac:dyDescent="0.2">
      <c r="A102" s="16" t="s">
        <v>67</v>
      </c>
      <c r="B102" s="18" t="s">
        <v>73</v>
      </c>
      <c r="C102" s="18" t="s">
        <v>809</v>
      </c>
      <c r="D102" s="19">
        <v>36923</v>
      </c>
      <c r="E102" s="19">
        <v>36981</v>
      </c>
      <c r="F102" s="16" t="s">
        <v>810</v>
      </c>
      <c r="G102" s="16" t="s">
        <v>811</v>
      </c>
      <c r="H102" s="18" t="s">
        <v>68</v>
      </c>
      <c r="I102" s="24">
        <v>0.15870000000000001</v>
      </c>
      <c r="J102" s="20"/>
      <c r="K102" s="20"/>
      <c r="L102" s="20"/>
      <c r="M102" s="20"/>
      <c r="N102" s="21"/>
      <c r="O102" s="20"/>
      <c r="P102" s="33">
        <v>36035</v>
      </c>
      <c r="Q102" s="18">
        <v>144000</v>
      </c>
      <c r="R102" s="42"/>
      <c r="S102" s="25">
        <f>I102*Q102*I1</f>
        <v>639878.40000000014</v>
      </c>
      <c r="T102" s="112">
        <v>579088</v>
      </c>
      <c r="U102" s="112"/>
    </row>
    <row r="103" spans="1:22" s="47" customFormat="1" ht="12" customHeight="1" x14ac:dyDescent="0.2">
      <c r="A103" s="16"/>
      <c r="B103" s="18"/>
      <c r="C103" s="18"/>
      <c r="D103" s="19"/>
      <c r="E103" s="19"/>
      <c r="F103" s="16"/>
      <c r="G103" s="16"/>
      <c r="H103" s="18"/>
      <c r="I103" s="24"/>
      <c r="J103" s="20"/>
      <c r="K103" s="20"/>
      <c r="L103" s="20"/>
      <c r="M103" s="20"/>
      <c r="N103" s="21"/>
      <c r="O103" s="20"/>
      <c r="P103" s="33"/>
      <c r="Q103" s="18"/>
      <c r="R103" s="42"/>
      <c r="S103" s="25"/>
      <c r="T103" s="112"/>
      <c r="U103" s="112"/>
    </row>
    <row r="104" spans="1:22" s="47" customFormat="1" ht="12" customHeight="1" x14ac:dyDescent="0.2">
      <c r="A104" s="16"/>
      <c r="B104" s="18"/>
      <c r="C104" s="18"/>
      <c r="D104" s="19"/>
      <c r="E104" s="19"/>
      <c r="F104" s="16"/>
      <c r="G104" s="16"/>
      <c r="H104" s="18"/>
      <c r="I104" s="112"/>
      <c r="J104" s="20"/>
      <c r="K104" s="20"/>
      <c r="L104" s="20"/>
      <c r="M104" s="20"/>
      <c r="N104" s="21"/>
      <c r="O104" s="20"/>
      <c r="P104" s="33"/>
      <c r="Q104" s="18"/>
      <c r="R104" s="42"/>
      <c r="S104" s="246"/>
      <c r="T104" s="112"/>
      <c r="U104" s="112"/>
    </row>
    <row r="105" spans="1:22" s="75" customFormat="1" x14ac:dyDescent="0.2">
      <c r="A105" s="274" t="s">
        <v>47</v>
      </c>
      <c r="B105" s="123" t="s">
        <v>47</v>
      </c>
      <c r="C105" s="123" t="s">
        <v>47</v>
      </c>
      <c r="D105" s="275" t="s">
        <v>47</v>
      </c>
      <c r="E105" s="275" t="s">
        <v>47</v>
      </c>
      <c r="F105" s="274" t="s">
        <v>47</v>
      </c>
      <c r="G105" s="274" t="s">
        <v>47</v>
      </c>
      <c r="H105" s="123" t="s">
        <v>47</v>
      </c>
      <c r="I105" s="276" t="s">
        <v>47</v>
      </c>
      <c r="J105" s="32" t="s">
        <v>47</v>
      </c>
      <c r="K105" s="32" t="s">
        <v>47</v>
      </c>
      <c r="L105" s="32" t="s">
        <v>47</v>
      </c>
      <c r="M105" s="32" t="s">
        <v>48</v>
      </c>
      <c r="N105" s="230" t="s">
        <v>47</v>
      </c>
      <c r="O105" s="32" t="s">
        <v>47</v>
      </c>
      <c r="P105" s="255" t="s">
        <v>47</v>
      </c>
      <c r="Q105" s="123" t="s">
        <v>47</v>
      </c>
      <c r="R105" s="274" t="s">
        <v>47</v>
      </c>
      <c r="S105" s="36"/>
      <c r="T105" s="111"/>
      <c r="U105" s="111"/>
    </row>
    <row r="106" spans="1:22" s="75" customFormat="1" x14ac:dyDescent="0.2">
      <c r="A106" s="274"/>
      <c r="B106" s="123"/>
      <c r="C106" s="123"/>
      <c r="D106" s="275"/>
      <c r="E106" s="275"/>
      <c r="F106" s="274"/>
      <c r="G106" s="274"/>
      <c r="H106" s="123"/>
      <c r="I106" s="276"/>
      <c r="J106" s="32"/>
      <c r="K106" s="32"/>
      <c r="L106" s="32"/>
      <c r="M106" s="32"/>
      <c r="N106" s="366"/>
      <c r="O106" s="32"/>
      <c r="P106" s="388"/>
      <c r="Q106" s="123">
        <f>SUM(Q94:Q105)</f>
        <v>890523</v>
      </c>
      <c r="R106" s="274" t="s">
        <v>536</v>
      </c>
      <c r="S106" s="36">
        <f>SUM(S94:S105)</f>
        <v>720381.04230000009</v>
      </c>
      <c r="T106" s="259"/>
      <c r="U106" s="111"/>
      <c r="V106" s="111"/>
    </row>
    <row r="107" spans="1:22" s="47" customFormat="1" x14ac:dyDescent="0.2">
      <c r="A107" s="16"/>
      <c r="B107" s="18"/>
      <c r="C107" s="18"/>
      <c r="D107" s="19"/>
      <c r="E107" s="19"/>
      <c r="F107" s="16"/>
      <c r="G107" s="16"/>
      <c r="H107" s="18"/>
      <c r="I107" s="24"/>
      <c r="J107" s="20"/>
      <c r="K107" s="20"/>
      <c r="L107" s="20"/>
      <c r="M107" s="20"/>
      <c r="N107" s="234"/>
      <c r="O107" s="20"/>
      <c r="P107" s="232"/>
      <c r="Q107" s="260"/>
      <c r="R107" s="274" t="s">
        <v>665</v>
      </c>
      <c r="S107" s="36">
        <f>SUM(S94:S100)</f>
        <v>76886.642299999992</v>
      </c>
      <c r="T107" s="252"/>
      <c r="U107" s="112"/>
      <c r="V107" s="112"/>
    </row>
    <row r="108" spans="1:22" s="47" customFormat="1" ht="13.5" thickBot="1" x14ac:dyDescent="0.25">
      <c r="A108" s="16"/>
      <c r="B108" s="18"/>
      <c r="C108" s="18"/>
      <c r="D108" s="19"/>
      <c r="E108" s="19"/>
      <c r="F108" s="16"/>
      <c r="G108" s="16"/>
      <c r="H108" s="18"/>
      <c r="I108" s="24"/>
      <c r="J108" s="20"/>
      <c r="K108" s="20"/>
      <c r="L108" s="20"/>
      <c r="M108" s="20"/>
      <c r="N108" s="234"/>
      <c r="O108" s="20"/>
      <c r="P108" s="232"/>
      <c r="Q108" s="260"/>
      <c r="R108" s="274" t="s">
        <v>666</v>
      </c>
      <c r="S108" s="398">
        <f>+S106-S107</f>
        <v>643494.40000000014</v>
      </c>
      <c r="T108" s="252"/>
      <c r="U108" s="112"/>
      <c r="V108" s="112"/>
    </row>
    <row r="109" spans="1:22" s="47" customFormat="1" ht="13.5" thickTop="1" x14ac:dyDescent="0.2">
      <c r="A109" s="16"/>
      <c r="B109" s="18"/>
      <c r="C109" s="18"/>
      <c r="D109" s="19"/>
      <c r="E109" s="19"/>
      <c r="F109" s="16"/>
      <c r="G109" s="16"/>
      <c r="H109" s="18"/>
      <c r="I109" s="24"/>
      <c r="J109" s="20"/>
      <c r="K109" s="20"/>
      <c r="L109" s="20"/>
      <c r="M109" s="20"/>
      <c r="N109" s="234"/>
      <c r="O109" s="20"/>
      <c r="P109" s="232"/>
      <c r="Q109" s="18"/>
      <c r="R109" s="16"/>
      <c r="S109" s="25"/>
      <c r="T109" s="252"/>
      <c r="U109" s="112"/>
      <c r="V109" s="112"/>
    </row>
    <row r="110" spans="1:22" s="386" customFormat="1" x14ac:dyDescent="0.2">
      <c r="A110" s="379" t="s">
        <v>49</v>
      </c>
      <c r="B110" s="380" t="s">
        <v>50</v>
      </c>
      <c r="C110" s="380" t="s">
        <v>51</v>
      </c>
      <c r="D110" s="381" t="s">
        <v>52</v>
      </c>
      <c r="E110" s="381"/>
      <c r="F110" s="379" t="s">
        <v>53</v>
      </c>
      <c r="G110" s="379" t="s">
        <v>54</v>
      </c>
      <c r="H110" s="380" t="s">
        <v>528</v>
      </c>
      <c r="I110" s="382" t="s">
        <v>56</v>
      </c>
      <c r="J110" s="380" t="s">
        <v>57</v>
      </c>
      <c r="K110" s="380" t="s">
        <v>58</v>
      </c>
      <c r="L110" s="380" t="s">
        <v>59</v>
      </c>
      <c r="M110" s="380" t="s">
        <v>60</v>
      </c>
      <c r="N110" s="383" t="s">
        <v>62</v>
      </c>
      <c r="O110" s="380" t="s">
        <v>63</v>
      </c>
      <c r="P110" s="384" t="s">
        <v>504</v>
      </c>
      <c r="Q110" s="380" t="s">
        <v>65</v>
      </c>
      <c r="R110" s="379" t="s">
        <v>66</v>
      </c>
      <c r="S110" s="374" t="s">
        <v>505</v>
      </c>
      <c r="T110" s="385" t="s">
        <v>507</v>
      </c>
      <c r="U110" s="377"/>
      <c r="V110" s="377"/>
    </row>
    <row r="111" spans="1:22" s="198" customFormat="1" x14ac:dyDescent="0.2">
      <c r="A111" s="479" t="s">
        <v>377</v>
      </c>
      <c r="B111" s="480" t="s">
        <v>530</v>
      </c>
      <c r="C111" s="480" t="s">
        <v>737</v>
      </c>
      <c r="D111" s="481">
        <v>36923</v>
      </c>
      <c r="E111" s="481">
        <v>36950</v>
      </c>
      <c r="F111" s="479" t="s">
        <v>87</v>
      </c>
      <c r="G111" s="479" t="s">
        <v>87</v>
      </c>
      <c r="H111" s="480" t="s">
        <v>89</v>
      </c>
      <c r="I111" s="482">
        <f>0.152*0.0328767</f>
        <v>4.9972584000000002E-3</v>
      </c>
      <c r="J111" s="483"/>
      <c r="K111" s="483"/>
      <c r="L111" s="483"/>
      <c r="M111" s="483"/>
      <c r="N111" s="484"/>
      <c r="O111" s="483"/>
      <c r="P111" s="485">
        <v>894681</v>
      </c>
      <c r="Q111" s="480">
        <v>1300</v>
      </c>
      <c r="R111" s="509" t="s">
        <v>817</v>
      </c>
      <c r="S111" s="486">
        <f>I111*$I$1*Q111</f>
        <v>181.90020576000001</v>
      </c>
      <c r="T111" s="488">
        <v>594422</v>
      </c>
      <c r="U111" s="488"/>
    </row>
    <row r="112" spans="1:22" s="198" customFormat="1" x14ac:dyDescent="0.2">
      <c r="A112" s="479" t="s">
        <v>377</v>
      </c>
      <c r="B112" s="480" t="s">
        <v>530</v>
      </c>
      <c r="C112" s="480" t="s">
        <v>737</v>
      </c>
      <c r="D112" s="481">
        <v>36923</v>
      </c>
      <c r="E112" s="481">
        <v>36950</v>
      </c>
      <c r="F112" s="479" t="s">
        <v>87</v>
      </c>
      <c r="G112" s="479" t="s">
        <v>87</v>
      </c>
      <c r="H112" s="480" t="s">
        <v>85</v>
      </c>
      <c r="I112" s="482">
        <f>0.152*0.0328767</f>
        <v>4.9972584000000002E-3</v>
      </c>
      <c r="J112" s="483"/>
      <c r="K112" s="483"/>
      <c r="L112" s="483"/>
      <c r="M112" s="483"/>
      <c r="N112" s="484"/>
      <c r="O112" s="483"/>
      <c r="P112" s="485">
        <v>894682</v>
      </c>
      <c r="Q112" s="480">
        <v>2500</v>
      </c>
      <c r="R112" s="509" t="s">
        <v>818</v>
      </c>
      <c r="S112" s="486">
        <f>I112*$I$1*Q112</f>
        <v>349.808088</v>
      </c>
      <c r="T112" s="488">
        <v>594446</v>
      </c>
      <c r="U112" s="488"/>
    </row>
    <row r="113" spans="1:22" s="198" customFormat="1" x14ac:dyDescent="0.2">
      <c r="A113" s="479" t="s">
        <v>377</v>
      </c>
      <c r="B113" s="480" t="s">
        <v>530</v>
      </c>
      <c r="C113" s="480" t="s">
        <v>737</v>
      </c>
      <c r="D113" s="481">
        <v>36923</v>
      </c>
      <c r="E113" s="481">
        <v>36950</v>
      </c>
      <c r="F113" s="479" t="s">
        <v>88</v>
      </c>
      <c r="G113" s="479" t="s">
        <v>88</v>
      </c>
      <c r="H113" s="480" t="s">
        <v>85</v>
      </c>
      <c r="I113" s="482">
        <f>0.304*0.0328767</f>
        <v>9.9945168000000004E-3</v>
      </c>
      <c r="J113" s="483"/>
      <c r="K113" s="483"/>
      <c r="L113" s="483"/>
      <c r="M113" s="483"/>
      <c r="N113" s="484"/>
      <c r="O113" s="483"/>
      <c r="P113" s="485">
        <v>894678</v>
      </c>
      <c r="Q113" s="480">
        <v>5900</v>
      </c>
      <c r="R113" s="509" t="s">
        <v>816</v>
      </c>
      <c r="S113" s="486">
        <f>I113*$I$1*Q113</f>
        <v>1651.09417536</v>
      </c>
      <c r="T113" s="487">
        <v>594447</v>
      </c>
      <c r="U113" s="488"/>
    </row>
    <row r="114" spans="1:22" s="198" customFormat="1" x14ac:dyDescent="0.2">
      <c r="A114" s="479" t="s">
        <v>377</v>
      </c>
      <c r="B114" s="480" t="s">
        <v>530</v>
      </c>
      <c r="C114" s="480" t="s">
        <v>737</v>
      </c>
      <c r="D114" s="481">
        <v>36923</v>
      </c>
      <c r="E114" s="481">
        <v>36950</v>
      </c>
      <c r="F114" s="479" t="s">
        <v>88</v>
      </c>
      <c r="G114" s="479" t="s">
        <v>88</v>
      </c>
      <c r="H114" s="480" t="s">
        <v>89</v>
      </c>
      <c r="I114" s="482">
        <f>0.304*0.0328767</f>
        <v>9.9945168000000004E-3</v>
      </c>
      <c r="J114" s="483"/>
      <c r="K114" s="483"/>
      <c r="L114" s="483"/>
      <c r="M114" s="483"/>
      <c r="N114" s="484"/>
      <c r="O114" s="483"/>
      <c r="P114" s="485">
        <v>894677</v>
      </c>
      <c r="Q114" s="480">
        <v>3100</v>
      </c>
      <c r="R114" s="509" t="s">
        <v>815</v>
      </c>
      <c r="S114" s="486">
        <f>I114*$I$1*Q114</f>
        <v>867.52405823999993</v>
      </c>
      <c r="T114" s="487">
        <v>594452</v>
      </c>
      <c r="U114" s="488"/>
    </row>
    <row r="115" spans="1:22" s="75" customFormat="1" x14ac:dyDescent="0.2">
      <c r="A115" s="274" t="s">
        <v>377</v>
      </c>
      <c r="B115" s="123" t="s">
        <v>530</v>
      </c>
      <c r="C115" s="123" t="s">
        <v>788</v>
      </c>
      <c r="D115" s="275">
        <v>36896</v>
      </c>
      <c r="E115" s="275">
        <v>36922</v>
      </c>
      <c r="F115" s="274" t="s">
        <v>213</v>
      </c>
      <c r="G115" s="274" t="s">
        <v>214</v>
      </c>
      <c r="H115" s="123" t="s">
        <v>89</v>
      </c>
      <c r="I115" s="448">
        <f>0.1521/31</f>
        <v>4.9064516129032265E-3</v>
      </c>
      <c r="J115" s="32"/>
      <c r="K115" s="32"/>
      <c r="L115" s="32"/>
      <c r="M115" s="32"/>
      <c r="N115" s="230"/>
      <c r="O115" s="32"/>
      <c r="P115" s="255"/>
      <c r="Q115" s="123"/>
      <c r="R115" s="274"/>
      <c r="S115" s="25">
        <f>+Q115*I115*31</f>
        <v>0</v>
      </c>
      <c r="T115" s="449"/>
      <c r="U115" s="111"/>
    </row>
    <row r="116" spans="1:22" s="198" customFormat="1" x14ac:dyDescent="0.2">
      <c r="A116" s="479" t="s">
        <v>377</v>
      </c>
      <c r="B116" s="480" t="s">
        <v>530</v>
      </c>
      <c r="C116" s="480" t="s">
        <v>530</v>
      </c>
      <c r="D116" s="481">
        <v>36923</v>
      </c>
      <c r="E116" s="481">
        <v>36950</v>
      </c>
      <c r="F116" s="479" t="s">
        <v>86</v>
      </c>
      <c r="G116" s="479" t="s">
        <v>88</v>
      </c>
      <c r="H116" s="480" t="s">
        <v>85</v>
      </c>
      <c r="I116" s="482">
        <v>0.05</v>
      </c>
      <c r="J116" s="483"/>
      <c r="K116" s="483"/>
      <c r="L116" s="483"/>
      <c r="M116" s="483"/>
      <c r="N116" s="484"/>
      <c r="O116" s="483"/>
      <c r="P116" s="485">
        <v>910042</v>
      </c>
      <c r="Q116" s="480">
        <v>75000</v>
      </c>
      <c r="R116" s="479" t="s">
        <v>781</v>
      </c>
      <c r="S116" s="486">
        <f>I116*$I$1*Q116</f>
        <v>105000.00000000001</v>
      </c>
      <c r="T116" s="487">
        <v>589233</v>
      </c>
      <c r="U116" s="488"/>
    </row>
    <row r="117" spans="1:22" x14ac:dyDescent="0.2">
      <c r="A117" s="16"/>
      <c r="B117" s="18"/>
      <c r="C117" s="18"/>
      <c r="D117" s="19"/>
      <c r="E117" s="19"/>
      <c r="F117" s="16"/>
      <c r="G117" s="16"/>
      <c r="H117" s="18"/>
      <c r="I117" s="24"/>
      <c r="J117" s="20"/>
      <c r="K117" s="32"/>
      <c r="L117" s="20"/>
      <c r="M117" s="20"/>
      <c r="N117" s="234"/>
      <c r="O117" s="20"/>
      <c r="P117" s="33"/>
      <c r="Q117" s="17"/>
      <c r="R117" s="18"/>
      <c r="S117" s="106"/>
      <c r="T117" s="246"/>
      <c r="U117" s="112"/>
      <c r="V117" s="112"/>
    </row>
    <row r="118" spans="1:22" s="75" customFormat="1" x14ac:dyDescent="0.2">
      <c r="A118" s="274"/>
      <c r="B118" s="123"/>
      <c r="C118" s="123"/>
      <c r="D118" s="275"/>
      <c r="E118" s="275"/>
      <c r="F118" s="274"/>
      <c r="G118" s="274"/>
      <c r="H118" s="123"/>
      <c r="I118" s="276"/>
      <c r="J118" s="32"/>
      <c r="K118" s="32"/>
      <c r="L118" s="32"/>
      <c r="M118" s="32"/>
      <c r="N118" s="366"/>
      <c r="O118" s="32"/>
      <c r="P118" s="388"/>
      <c r="Q118" s="123">
        <f>SUM(Q117:Q117)</f>
        <v>0</v>
      </c>
      <c r="R118" s="274" t="s">
        <v>536</v>
      </c>
      <c r="S118" s="36">
        <f>SUM(S111:S117)</f>
        <v>108050.32652736001</v>
      </c>
      <c r="T118" s="259"/>
      <c r="U118" s="111"/>
      <c r="V118" s="111"/>
    </row>
    <row r="119" spans="1:22" s="47" customFormat="1" x14ac:dyDescent="0.2">
      <c r="A119" s="16"/>
      <c r="B119" s="18"/>
      <c r="C119" s="18"/>
      <c r="D119" s="19"/>
      <c r="E119" s="19"/>
      <c r="F119" s="16"/>
      <c r="G119" s="16"/>
      <c r="H119" s="18"/>
      <c r="I119" s="24"/>
      <c r="J119" s="20"/>
      <c r="K119" s="20"/>
      <c r="L119" s="20"/>
      <c r="M119" s="20"/>
      <c r="N119" s="234"/>
      <c r="O119" s="20"/>
      <c r="P119" s="232"/>
      <c r="Q119" s="260"/>
      <c r="R119" s="274" t="s">
        <v>665</v>
      </c>
      <c r="S119" s="36">
        <v>0</v>
      </c>
      <c r="T119" s="252"/>
      <c r="U119" s="112"/>
      <c r="V119" s="112"/>
    </row>
    <row r="120" spans="1:22" s="47" customFormat="1" ht="13.5" thickBot="1" x14ac:dyDescent="0.25">
      <c r="A120" s="16"/>
      <c r="B120" s="18"/>
      <c r="C120" s="18"/>
      <c r="D120" s="19"/>
      <c r="E120" s="19"/>
      <c r="F120" s="16"/>
      <c r="G120" s="16"/>
      <c r="H120" s="18"/>
      <c r="I120" s="24"/>
      <c r="J120" s="20"/>
      <c r="K120" s="20"/>
      <c r="L120" s="20"/>
      <c r="M120" s="20"/>
      <c r="N120" s="234"/>
      <c r="O120" s="20"/>
      <c r="P120" s="232"/>
      <c r="Q120" s="260"/>
      <c r="R120" s="274" t="s">
        <v>666</v>
      </c>
      <c r="S120" s="399">
        <f>+S118-S119</f>
        <v>108050.32652736001</v>
      </c>
      <c r="T120" s="252"/>
      <c r="U120" s="112"/>
      <c r="V120" s="112"/>
    </row>
    <row r="121" spans="1:22" s="47" customFormat="1" ht="13.5" thickTop="1" x14ac:dyDescent="0.2">
      <c r="A121" s="16"/>
      <c r="B121" s="18"/>
      <c r="C121" s="18"/>
      <c r="D121" s="19"/>
      <c r="E121" s="19"/>
      <c r="F121" s="16"/>
      <c r="G121" s="16"/>
      <c r="H121" s="18"/>
      <c r="I121" s="24"/>
      <c r="J121" s="20"/>
      <c r="K121" s="20"/>
      <c r="L121" s="20"/>
      <c r="M121" s="20"/>
      <c r="N121" s="234"/>
      <c r="O121" s="20"/>
      <c r="P121" s="232"/>
      <c r="Q121" s="18"/>
      <c r="R121" s="16"/>
      <c r="S121" s="25"/>
      <c r="T121" s="252"/>
      <c r="U121" s="112"/>
      <c r="V121" s="112"/>
    </row>
    <row r="122" spans="1:22" s="386" customFormat="1" x14ac:dyDescent="0.2">
      <c r="A122" s="379" t="s">
        <v>49</v>
      </c>
      <c r="B122" s="380" t="s">
        <v>50</v>
      </c>
      <c r="C122" s="380" t="s">
        <v>51</v>
      </c>
      <c r="D122" s="381" t="s">
        <v>52</v>
      </c>
      <c r="E122" s="381"/>
      <c r="F122" s="379" t="s">
        <v>53</v>
      </c>
      <c r="G122" s="379" t="s">
        <v>54</v>
      </c>
      <c r="H122" s="380" t="s">
        <v>55</v>
      </c>
      <c r="I122" s="382" t="s">
        <v>56</v>
      </c>
      <c r="J122" s="380" t="s">
        <v>57</v>
      </c>
      <c r="K122" s="380" t="s">
        <v>58</v>
      </c>
      <c r="L122" s="380" t="s">
        <v>59</v>
      </c>
      <c r="M122" s="380" t="s">
        <v>60</v>
      </c>
      <c r="N122" s="387" t="s">
        <v>62</v>
      </c>
      <c r="O122" s="380" t="s">
        <v>63</v>
      </c>
      <c r="P122" s="384" t="s">
        <v>64</v>
      </c>
      <c r="Q122" s="380" t="s">
        <v>65</v>
      </c>
      <c r="R122" s="379" t="s">
        <v>66</v>
      </c>
      <c r="S122" s="374" t="s">
        <v>472</v>
      </c>
      <c r="T122" s="377"/>
      <c r="U122" s="377"/>
    </row>
    <row r="123" spans="1:22" s="75" customFormat="1" x14ac:dyDescent="0.2">
      <c r="A123" s="274" t="s">
        <v>377</v>
      </c>
      <c r="B123" s="123" t="s">
        <v>631</v>
      </c>
      <c r="C123" s="123" t="s">
        <v>713</v>
      </c>
      <c r="D123" s="275">
        <v>36831</v>
      </c>
      <c r="E123" s="275">
        <v>36981</v>
      </c>
      <c r="F123" s="274" t="s">
        <v>730</v>
      </c>
      <c r="G123" s="274" t="s">
        <v>731</v>
      </c>
      <c r="H123" s="123" t="s">
        <v>596</v>
      </c>
      <c r="I123" s="276">
        <v>5.0000000000000001E-3</v>
      </c>
      <c r="J123" s="32"/>
      <c r="K123" s="32"/>
      <c r="L123" s="32"/>
      <c r="M123" s="32"/>
      <c r="N123" s="230"/>
      <c r="O123" s="32"/>
      <c r="P123" s="255" t="s">
        <v>729</v>
      </c>
      <c r="Q123" s="123">
        <v>18225</v>
      </c>
      <c r="R123" s="274" t="s">
        <v>803</v>
      </c>
      <c r="S123" s="36">
        <f>+I123*Q123*I$1</f>
        <v>2551.5</v>
      </c>
      <c r="T123" s="111">
        <v>457211</v>
      </c>
      <c r="U123" s="111"/>
    </row>
    <row r="124" spans="1:22" s="75" customFormat="1" x14ac:dyDescent="0.2">
      <c r="A124" s="274" t="s">
        <v>377</v>
      </c>
      <c r="B124" s="123" t="s">
        <v>631</v>
      </c>
      <c r="C124" s="123" t="s">
        <v>713</v>
      </c>
      <c r="D124" s="275">
        <v>36861</v>
      </c>
      <c r="E124" s="275">
        <v>36981</v>
      </c>
      <c r="F124" s="274" t="s">
        <v>730</v>
      </c>
      <c r="G124" s="274" t="s">
        <v>731</v>
      </c>
      <c r="H124" s="123" t="s">
        <v>596</v>
      </c>
      <c r="I124" s="276">
        <v>5.0000000000000001E-3</v>
      </c>
      <c r="J124" s="32"/>
      <c r="K124" s="32"/>
      <c r="L124" s="32"/>
      <c r="M124" s="32"/>
      <c r="N124" s="230"/>
      <c r="O124" s="32"/>
      <c r="P124" s="255" t="s">
        <v>750</v>
      </c>
      <c r="Q124" s="123">
        <v>10000</v>
      </c>
      <c r="R124" s="274" t="s">
        <v>751</v>
      </c>
      <c r="S124" s="36">
        <f>+I124*Q124*I$1</f>
        <v>1400</v>
      </c>
      <c r="T124" s="111">
        <v>506635</v>
      </c>
      <c r="U124" s="111"/>
    </row>
    <row r="125" spans="1:22" s="75" customFormat="1" x14ac:dyDescent="0.2">
      <c r="A125" s="274" t="s">
        <v>377</v>
      </c>
      <c r="B125" s="123" t="s">
        <v>631</v>
      </c>
      <c r="C125" s="123" t="s">
        <v>713</v>
      </c>
      <c r="D125" s="275">
        <v>36931</v>
      </c>
      <c r="E125" s="275">
        <v>36950</v>
      </c>
      <c r="F125" s="274" t="s">
        <v>841</v>
      </c>
      <c r="G125" s="274" t="s">
        <v>841</v>
      </c>
      <c r="H125" s="123" t="s">
        <v>596</v>
      </c>
      <c r="I125" s="276">
        <v>5.0000000000000001E-3</v>
      </c>
      <c r="J125" s="32"/>
      <c r="K125" s="32"/>
      <c r="L125" s="32"/>
      <c r="M125" s="32"/>
      <c r="N125" s="230"/>
      <c r="O125" s="32"/>
      <c r="P125" s="255" t="s">
        <v>842</v>
      </c>
      <c r="Q125" s="123">
        <v>18000</v>
      </c>
      <c r="R125" s="274" t="s">
        <v>843</v>
      </c>
      <c r="S125" s="36">
        <f>+I125*Q125*I$1</f>
        <v>2520</v>
      </c>
      <c r="T125" s="111">
        <v>612032</v>
      </c>
      <c r="U125" s="111"/>
    </row>
    <row r="126" spans="1:22" s="75" customFormat="1" x14ac:dyDescent="0.2">
      <c r="A126" s="274"/>
      <c r="B126" s="123"/>
      <c r="C126" s="123"/>
      <c r="D126" s="275"/>
      <c r="E126" s="275"/>
      <c r="F126" s="274"/>
      <c r="G126" s="274"/>
      <c r="H126" s="123"/>
      <c r="I126" s="276"/>
      <c r="J126" s="32"/>
      <c r="K126" s="32"/>
      <c r="L126" s="32"/>
      <c r="M126" s="32"/>
      <c r="N126" s="230" t="s">
        <v>47</v>
      </c>
      <c r="O126" s="32"/>
      <c r="P126" s="255"/>
      <c r="Q126" s="123"/>
      <c r="R126" s="274" t="s">
        <v>47</v>
      </c>
      <c r="S126" s="36"/>
      <c r="T126" s="111"/>
      <c r="U126" s="111"/>
    </row>
    <row r="127" spans="1:22" s="75" customFormat="1" x14ac:dyDescent="0.2">
      <c r="A127" s="274"/>
      <c r="B127" s="123"/>
      <c r="C127" s="123"/>
      <c r="D127" s="275"/>
      <c r="E127" s="275"/>
      <c r="F127" s="274"/>
      <c r="G127" s="274"/>
      <c r="H127" s="123"/>
      <c r="I127" s="276"/>
      <c r="J127" s="32"/>
      <c r="K127" s="32"/>
      <c r="L127" s="32"/>
      <c r="M127" s="32"/>
      <c r="N127" s="366"/>
      <c r="O127" s="32"/>
      <c r="P127" s="388"/>
      <c r="Q127" s="123">
        <f>SUM(Q123:Q126)</f>
        <v>46225</v>
      </c>
      <c r="R127" s="274" t="s">
        <v>536</v>
      </c>
      <c r="S127" s="36">
        <f>SUM(S123:S126)</f>
        <v>6471.5</v>
      </c>
      <c r="T127" s="259"/>
      <c r="U127" s="111"/>
      <c r="V127" s="111"/>
    </row>
    <row r="128" spans="1:22" s="47" customFormat="1" x14ac:dyDescent="0.2">
      <c r="A128" s="16"/>
      <c r="B128" s="18"/>
      <c r="C128" s="18"/>
      <c r="D128" s="19"/>
      <c r="E128" s="19"/>
      <c r="F128" s="16"/>
      <c r="G128" s="16"/>
      <c r="H128" s="18"/>
      <c r="I128" s="24"/>
      <c r="J128" s="20"/>
      <c r="K128" s="20"/>
      <c r="L128" s="20"/>
      <c r="M128" s="20"/>
      <c r="N128" s="234"/>
      <c r="O128" s="20"/>
      <c r="P128" s="232"/>
      <c r="Q128" s="260"/>
      <c r="R128" s="274" t="s">
        <v>665</v>
      </c>
      <c r="S128" s="36">
        <v>0</v>
      </c>
      <c r="T128" s="252"/>
      <c r="U128" s="112"/>
      <c r="V128" s="112"/>
    </row>
    <row r="129" spans="1:22" s="47" customFormat="1" ht="13.5" thickBot="1" x14ac:dyDescent="0.25">
      <c r="A129" s="16"/>
      <c r="B129" s="18"/>
      <c r="C129" s="18"/>
      <c r="D129" s="19"/>
      <c r="E129" s="19"/>
      <c r="F129" s="16"/>
      <c r="G129" s="16"/>
      <c r="H129" s="18"/>
      <c r="I129" s="24"/>
      <c r="J129" s="20"/>
      <c r="K129" s="20"/>
      <c r="L129" s="20"/>
      <c r="M129" s="20"/>
      <c r="N129" s="234"/>
      <c r="O129" s="20"/>
      <c r="P129" s="232"/>
      <c r="Q129" s="260"/>
      <c r="R129" s="274" t="s">
        <v>666</v>
      </c>
      <c r="S129" s="399">
        <f>+S127-S128</f>
        <v>6471.5</v>
      </c>
      <c r="T129" s="252"/>
      <c r="U129" s="112"/>
      <c r="V129" s="112"/>
    </row>
    <row r="130" spans="1:22" s="47" customFormat="1" ht="13.5" thickTop="1" x14ac:dyDescent="0.2">
      <c r="A130" s="16"/>
      <c r="B130" s="18"/>
      <c r="C130" s="18"/>
      <c r="D130" s="19"/>
      <c r="E130" s="19"/>
      <c r="F130" s="16"/>
      <c r="G130" s="16"/>
      <c r="H130" s="18"/>
      <c r="I130" s="24"/>
      <c r="J130" s="20"/>
      <c r="K130" s="20"/>
      <c r="L130" s="20"/>
      <c r="M130" s="20"/>
      <c r="N130" s="234"/>
      <c r="O130" s="20"/>
      <c r="P130" s="232"/>
      <c r="Q130" s="18"/>
      <c r="R130" s="16"/>
      <c r="S130" s="25"/>
      <c r="T130" s="252"/>
      <c r="U130" s="112"/>
      <c r="V130" s="112"/>
    </row>
    <row r="131" spans="1:22" s="386" customFormat="1" x14ac:dyDescent="0.2">
      <c r="A131" s="379" t="s">
        <v>49</v>
      </c>
      <c r="B131" s="380" t="s">
        <v>50</v>
      </c>
      <c r="C131" s="380" t="s">
        <v>51</v>
      </c>
      <c r="D131" s="381" t="s">
        <v>52</v>
      </c>
      <c r="E131" s="381"/>
      <c r="F131" s="379" t="s">
        <v>53</v>
      </c>
      <c r="G131" s="379" t="s">
        <v>54</v>
      </c>
      <c r="H131" s="380" t="s">
        <v>55</v>
      </c>
      <c r="I131" s="382" t="s">
        <v>56</v>
      </c>
      <c r="J131" s="380" t="s">
        <v>57</v>
      </c>
      <c r="K131" s="380" t="s">
        <v>58</v>
      </c>
      <c r="L131" s="380" t="s">
        <v>59</v>
      </c>
      <c r="M131" s="380" t="s">
        <v>60</v>
      </c>
      <c r="N131" s="380" t="s">
        <v>61</v>
      </c>
      <c r="O131" s="380" t="s">
        <v>63</v>
      </c>
      <c r="P131" s="384" t="s">
        <v>64</v>
      </c>
      <c r="Q131" s="380" t="s">
        <v>65</v>
      </c>
      <c r="R131" s="379" t="s">
        <v>66</v>
      </c>
      <c r="S131" s="389" t="s">
        <v>472</v>
      </c>
      <c r="T131" s="377"/>
      <c r="U131" s="377"/>
    </row>
    <row r="132" spans="1:22" x14ac:dyDescent="0.2">
      <c r="A132" s="16" t="s">
        <v>377</v>
      </c>
      <c r="B132" s="17" t="s">
        <v>493</v>
      </c>
      <c r="C132" s="18" t="s">
        <v>493</v>
      </c>
      <c r="D132" s="19">
        <v>36831</v>
      </c>
      <c r="E132" s="19">
        <v>36981</v>
      </c>
      <c r="F132" s="16" t="s">
        <v>732</v>
      </c>
      <c r="G132" s="16" t="s">
        <v>733</v>
      </c>
      <c r="H132" s="17" t="s">
        <v>596</v>
      </c>
      <c r="I132" s="24">
        <v>0.02</v>
      </c>
      <c r="J132" s="20"/>
      <c r="K132" s="20"/>
      <c r="L132" s="20"/>
      <c r="M132" s="20"/>
      <c r="N132" s="20"/>
      <c r="O132" s="20"/>
      <c r="P132" s="441">
        <v>3.7324000000000002</v>
      </c>
      <c r="Q132" s="18">
        <v>10000</v>
      </c>
      <c r="R132" s="16" t="s">
        <v>736</v>
      </c>
      <c r="S132" s="25">
        <f>I132*$I$1*Q132</f>
        <v>5600.0000000000009</v>
      </c>
      <c r="T132" s="112">
        <v>459589</v>
      </c>
      <c r="U132" s="112"/>
      <c r="V132" s="34"/>
    </row>
    <row r="133" spans="1:22" s="154" customFormat="1" x14ac:dyDescent="0.2">
      <c r="A133" s="153" t="s">
        <v>377</v>
      </c>
      <c r="B133" s="501" t="s">
        <v>493</v>
      </c>
      <c r="C133" s="502" t="s">
        <v>493</v>
      </c>
      <c r="D133" s="503">
        <v>36923</v>
      </c>
      <c r="E133" s="503">
        <v>36950</v>
      </c>
      <c r="F133" s="153" t="s">
        <v>813</v>
      </c>
      <c r="G133" s="153" t="s">
        <v>531</v>
      </c>
      <c r="H133" s="501" t="s">
        <v>596</v>
      </c>
      <c r="I133" s="504">
        <f>0.304/I$1</f>
        <v>1.0857142857142857E-2</v>
      </c>
      <c r="J133" s="505"/>
      <c r="K133" s="505"/>
      <c r="L133" s="505"/>
      <c r="M133" s="505"/>
      <c r="N133" s="505"/>
      <c r="O133" s="505"/>
      <c r="P133" s="506">
        <v>3.8129</v>
      </c>
      <c r="Q133" s="502">
        <v>3800</v>
      </c>
      <c r="R133" s="507" t="s">
        <v>814</v>
      </c>
      <c r="S133" s="486">
        <f>I133*$I$1*Q133</f>
        <v>1155.2</v>
      </c>
      <c r="T133" s="508">
        <v>593775</v>
      </c>
      <c r="U133" s="508"/>
    </row>
    <row r="134" spans="1:22" x14ac:dyDescent="0.2">
      <c r="A134" s="16"/>
      <c r="B134" s="17"/>
      <c r="C134" s="18"/>
      <c r="D134" s="19"/>
      <c r="E134" s="19"/>
      <c r="F134" s="16"/>
      <c r="G134" s="16"/>
      <c r="H134" s="17"/>
      <c r="I134" s="24"/>
      <c r="J134" s="20"/>
      <c r="K134" s="20"/>
      <c r="L134" s="20"/>
      <c r="M134" s="20"/>
      <c r="N134" s="20"/>
      <c r="O134" s="20"/>
      <c r="P134" s="441"/>
      <c r="Q134" s="18"/>
      <c r="R134" s="16"/>
      <c r="S134" s="25"/>
      <c r="T134" s="112"/>
      <c r="U134" s="112"/>
      <c r="V134" s="34"/>
    </row>
    <row r="135" spans="1:22" x14ac:dyDescent="0.2">
      <c r="N135" s="34"/>
      <c r="P135" s="47"/>
      <c r="Q135" s="47"/>
      <c r="S135" s="364"/>
      <c r="V135" s="34"/>
    </row>
    <row r="136" spans="1:22" s="75" customFormat="1" x14ac:dyDescent="0.2">
      <c r="A136" s="274"/>
      <c r="B136" s="123"/>
      <c r="C136" s="123"/>
      <c r="D136" s="275"/>
      <c r="E136" s="275"/>
      <c r="F136" s="274"/>
      <c r="G136" s="274"/>
      <c r="H136" s="123"/>
      <c r="I136" s="276"/>
      <c r="J136" s="32"/>
      <c r="K136" s="32"/>
      <c r="L136" s="32"/>
      <c r="M136" s="32"/>
      <c r="N136" s="366"/>
      <c r="O136" s="32"/>
      <c r="P136" s="388"/>
      <c r="Q136" s="123">
        <f>SUM(Q132:Q135)</f>
        <v>13800</v>
      </c>
      <c r="R136" s="274" t="s">
        <v>536</v>
      </c>
      <c r="S136" s="36">
        <f>SUM(S132:S135)</f>
        <v>6755.2000000000007</v>
      </c>
      <c r="T136" s="259"/>
      <c r="U136" s="111"/>
      <c r="V136" s="111"/>
    </row>
    <row r="137" spans="1:22" s="47" customFormat="1" x14ac:dyDescent="0.2">
      <c r="A137" s="16"/>
      <c r="B137" s="18"/>
      <c r="C137" s="18"/>
      <c r="D137" s="19"/>
      <c r="E137" s="19"/>
      <c r="F137" s="16"/>
      <c r="G137" s="16"/>
      <c r="H137" s="18"/>
      <c r="I137" s="24"/>
      <c r="J137" s="20"/>
      <c r="K137" s="20"/>
      <c r="L137" s="20"/>
      <c r="M137" s="20"/>
      <c r="N137" s="234"/>
      <c r="O137" s="20"/>
      <c r="P137" s="232"/>
      <c r="Q137" s="260"/>
      <c r="R137" s="274" t="s">
        <v>665</v>
      </c>
      <c r="S137" s="36">
        <v>0</v>
      </c>
      <c r="T137" s="252"/>
      <c r="U137" s="112"/>
      <c r="V137" s="112"/>
    </row>
    <row r="138" spans="1:22" s="47" customFormat="1" ht="13.5" thickBot="1" x14ac:dyDescent="0.25">
      <c r="A138" s="16"/>
      <c r="B138" s="18"/>
      <c r="C138" s="18"/>
      <c r="D138" s="19"/>
      <c r="E138" s="19"/>
      <c r="F138" s="16"/>
      <c r="G138" s="16"/>
      <c r="H138" s="18"/>
      <c r="I138" s="24"/>
      <c r="J138" s="20"/>
      <c r="K138" s="20"/>
      <c r="L138" s="20"/>
      <c r="M138" s="20"/>
      <c r="N138" s="234"/>
      <c r="O138" s="20"/>
      <c r="P138" s="232"/>
      <c r="Q138" s="260"/>
      <c r="R138" s="274" t="s">
        <v>666</v>
      </c>
      <c r="S138" s="399">
        <f>+S136-S137</f>
        <v>6755.2000000000007</v>
      </c>
      <c r="T138" s="252"/>
      <c r="U138" s="112"/>
      <c r="V138" s="112"/>
    </row>
    <row r="139" spans="1:22" s="47" customFormat="1" ht="13.5" thickTop="1" x14ac:dyDescent="0.2">
      <c r="A139" s="16"/>
      <c r="B139" s="18"/>
      <c r="C139" s="18"/>
      <c r="D139" s="19"/>
      <c r="E139" s="19"/>
      <c r="F139" s="16"/>
      <c r="G139" s="16"/>
      <c r="H139" s="18"/>
      <c r="I139" s="24"/>
      <c r="J139" s="20"/>
      <c r="K139" s="20"/>
      <c r="L139" s="20"/>
      <c r="M139" s="20"/>
      <c r="N139" s="234"/>
      <c r="O139" s="20"/>
      <c r="P139" s="232"/>
      <c r="Q139" s="18"/>
      <c r="R139" s="16"/>
      <c r="S139" s="25"/>
      <c r="T139" s="252"/>
      <c r="U139" s="112"/>
      <c r="V139" s="112"/>
    </row>
    <row r="140" spans="1:22" x14ac:dyDescent="0.2">
      <c r="A140" s="16"/>
      <c r="B140" s="18"/>
      <c r="C140" s="18"/>
      <c r="D140" s="19"/>
      <c r="E140" s="19"/>
      <c r="F140" s="16"/>
      <c r="G140" s="16"/>
      <c r="H140" s="18"/>
      <c r="I140" s="24"/>
      <c r="J140" s="20"/>
      <c r="K140" s="32"/>
      <c r="L140" s="20"/>
      <c r="M140" s="20"/>
      <c r="N140" s="234"/>
      <c r="O140" s="20"/>
      <c r="P140" s="255"/>
      <c r="Q140" s="260"/>
      <c r="R140" s="123"/>
      <c r="S140" s="390"/>
      <c r="T140" s="246"/>
      <c r="U140" s="112"/>
      <c r="V140" s="112"/>
    </row>
    <row r="141" spans="1:22" x14ac:dyDescent="0.2">
      <c r="A141" s="16"/>
      <c r="B141" s="18"/>
      <c r="C141" s="18"/>
      <c r="D141" s="19"/>
      <c r="E141" s="19"/>
      <c r="F141" s="16"/>
      <c r="G141" s="16"/>
      <c r="H141" s="18"/>
      <c r="I141" s="24"/>
      <c r="J141" s="20"/>
      <c r="K141" s="32"/>
      <c r="L141" s="20"/>
      <c r="M141" s="20"/>
      <c r="N141" s="253"/>
      <c r="O141" s="20"/>
      <c r="P141" s="255"/>
      <c r="Q141" s="123"/>
      <c r="R141" s="123"/>
      <c r="S141" s="75"/>
      <c r="U141" s="254"/>
      <c r="V141" s="254"/>
    </row>
    <row r="142" spans="1:22" x14ac:dyDescent="0.2">
      <c r="A142" s="16"/>
      <c r="B142" s="18"/>
      <c r="C142" s="18"/>
      <c r="D142" s="19" t="s">
        <v>47</v>
      </c>
      <c r="E142" s="19"/>
      <c r="F142" s="16"/>
      <c r="G142" s="16"/>
      <c r="H142" s="18"/>
      <c r="I142" s="24"/>
      <c r="J142" s="20"/>
      <c r="K142" s="32"/>
      <c r="L142" s="20"/>
      <c r="M142" s="20"/>
      <c r="N142" s="234"/>
      <c r="O142" s="20"/>
      <c r="P142" s="255"/>
      <c r="Q142" s="41"/>
      <c r="R142" s="256"/>
      <c r="S142" s="257"/>
      <c r="T142" s="259"/>
      <c r="U142" s="111"/>
      <c r="V142" s="111"/>
    </row>
    <row r="143" spans="1:22" x14ac:dyDescent="0.2">
      <c r="A143" s="35"/>
      <c r="B143" s="18"/>
      <c r="C143" s="18"/>
      <c r="D143" s="19"/>
      <c r="E143" s="19"/>
      <c r="F143" s="16"/>
      <c r="G143" s="16"/>
      <c r="H143" s="18"/>
      <c r="I143" s="24"/>
      <c r="J143" s="20"/>
      <c r="K143" s="20"/>
      <c r="L143" s="20"/>
      <c r="M143" s="20"/>
      <c r="N143" s="234"/>
      <c r="O143" s="20"/>
      <c r="P143" s="255"/>
      <c r="Q143" s="260"/>
      <c r="R143" s="452" t="s">
        <v>676</v>
      </c>
      <c r="S143" s="257">
        <f>SUM(S136,S127,S118,S106,S89,S81,S73,S64,S56,S48,S31)</f>
        <v>2125442.9574273601</v>
      </c>
      <c r="T143" s="235"/>
      <c r="U143" s="111"/>
      <c r="V143" s="111"/>
    </row>
    <row r="144" spans="1:22" x14ac:dyDescent="0.2">
      <c r="A144" s="35"/>
      <c r="B144" s="18"/>
      <c r="C144" s="18"/>
      <c r="D144" s="19"/>
      <c r="E144" s="19"/>
      <c r="F144" s="16"/>
      <c r="G144" s="16"/>
      <c r="H144" s="18"/>
      <c r="I144" s="20"/>
      <c r="J144" s="20"/>
      <c r="K144" s="20"/>
      <c r="L144" s="20"/>
      <c r="M144" s="20"/>
      <c r="N144" s="234"/>
      <c r="O144" s="20"/>
      <c r="P144" s="255"/>
      <c r="Q144" s="260"/>
      <c r="R144" s="36" t="s">
        <v>677</v>
      </c>
      <c r="S144" s="257">
        <f>SUM(S137,S128,S119,S107,S90,S82,S74,S65,S57,S49,S32)</f>
        <v>302693.25829999999</v>
      </c>
      <c r="T144" s="235"/>
      <c r="U144" s="111"/>
      <c r="V144" s="111"/>
    </row>
    <row r="145" spans="1:22" ht="13.5" thickBot="1" x14ac:dyDescent="0.25">
      <c r="A145" s="35"/>
      <c r="B145" s="18"/>
      <c r="C145" s="18"/>
      <c r="D145" s="19"/>
      <c r="E145" s="19"/>
      <c r="F145" s="16"/>
      <c r="G145" s="16"/>
      <c r="H145" s="18"/>
      <c r="I145" s="24"/>
      <c r="J145" s="20"/>
      <c r="K145" s="20"/>
      <c r="L145" s="20"/>
      <c r="M145" s="20"/>
      <c r="N145" s="234"/>
      <c r="O145" s="20"/>
      <c r="P145" s="255"/>
      <c r="Q145" s="260"/>
      <c r="R145" s="36" t="s">
        <v>666</v>
      </c>
      <c r="S145" s="397">
        <f>+S143-S144</f>
        <v>1822749.6991273602</v>
      </c>
      <c r="T145" s="235"/>
      <c r="U145" s="111"/>
      <c r="V145" s="111"/>
    </row>
    <row r="146" spans="1:22" ht="13.5" thickTop="1" x14ac:dyDescent="0.2">
      <c r="A146" s="35"/>
      <c r="B146" s="18"/>
      <c r="C146" s="18"/>
      <c r="D146" s="19"/>
      <c r="E146" s="19"/>
      <c r="F146" s="16"/>
      <c r="G146" s="16"/>
      <c r="H146" s="18"/>
      <c r="I146" s="20"/>
      <c r="J146" s="20"/>
      <c r="K146" s="20"/>
      <c r="L146" s="20"/>
      <c r="M146" s="20"/>
      <c r="N146" s="234"/>
      <c r="O146" s="20"/>
      <c r="P146" s="255"/>
      <c r="Q146" s="260"/>
      <c r="R146" s="36"/>
      <c r="S146" s="36"/>
      <c r="T146" s="235"/>
      <c r="U146" s="111"/>
      <c r="V146" s="111"/>
    </row>
    <row r="147" spans="1:22" x14ac:dyDescent="0.2">
      <c r="A147" s="35"/>
      <c r="B147" s="18"/>
      <c r="C147" s="18"/>
      <c r="D147" s="19"/>
      <c r="E147" s="19"/>
      <c r="F147" s="16"/>
      <c r="G147" s="16"/>
      <c r="H147" s="18"/>
      <c r="I147" s="24"/>
      <c r="J147" s="20"/>
      <c r="K147" s="20"/>
      <c r="L147" s="20"/>
      <c r="M147" s="20"/>
      <c r="N147" s="234"/>
      <c r="O147" s="20"/>
      <c r="P147" s="255"/>
      <c r="Q147" s="260"/>
      <c r="R147" s="36"/>
      <c r="S147" s="36"/>
      <c r="T147" s="235"/>
      <c r="U147" s="111"/>
      <c r="V147" s="111"/>
    </row>
    <row r="148" spans="1:22" x14ac:dyDescent="0.2">
      <c r="A148" s="35"/>
      <c r="B148" s="18"/>
      <c r="C148" s="18"/>
      <c r="D148" s="19"/>
      <c r="E148" s="19"/>
      <c r="F148" s="16"/>
      <c r="G148" s="16"/>
      <c r="H148" s="18"/>
      <c r="I148" s="20"/>
      <c r="J148" s="20"/>
      <c r="K148" s="20"/>
      <c r="L148" s="20"/>
      <c r="M148" s="20"/>
      <c r="N148" s="234"/>
      <c r="O148" s="20"/>
      <c r="P148" s="255"/>
      <c r="Q148" s="260"/>
      <c r="R148" s="36"/>
      <c r="S148" s="36"/>
      <c r="T148" s="235"/>
      <c r="U148" s="111"/>
      <c r="V148" s="111"/>
    </row>
    <row r="149" spans="1:22" x14ac:dyDescent="0.2">
      <c r="A149" s="35"/>
      <c r="B149" s="18"/>
      <c r="C149" s="18"/>
      <c r="D149" s="19"/>
      <c r="E149" s="19"/>
      <c r="F149" s="16"/>
      <c r="G149" s="16"/>
      <c r="H149" s="18"/>
      <c r="I149" s="20"/>
      <c r="J149" s="20"/>
      <c r="K149" s="20"/>
      <c r="L149" s="20"/>
      <c r="M149" s="20"/>
      <c r="N149" s="234"/>
      <c r="O149" s="20"/>
      <c r="P149" s="255"/>
      <c r="Q149" s="260"/>
      <c r="R149" s="36"/>
      <c r="S149" s="36"/>
      <c r="T149" s="235"/>
      <c r="U149" s="123"/>
      <c r="V149" s="111"/>
    </row>
    <row r="150" spans="1:22" x14ac:dyDescent="0.2">
      <c r="A150" s="35"/>
      <c r="B150" s="18"/>
      <c r="C150" s="18"/>
      <c r="D150" s="19"/>
      <c r="E150" s="19"/>
      <c r="F150" s="16"/>
      <c r="G150" s="16"/>
      <c r="H150" s="18"/>
      <c r="I150" s="20"/>
      <c r="J150" s="20"/>
      <c r="K150" s="20"/>
      <c r="L150" s="20"/>
      <c r="M150" s="20"/>
      <c r="N150" s="234"/>
      <c r="O150" s="20"/>
      <c r="P150" s="255"/>
      <c r="Q150" s="260"/>
      <c r="R150" s="36"/>
      <c r="S150" s="36"/>
      <c r="T150" s="235"/>
      <c r="U150" s="111"/>
      <c r="V150" s="111"/>
    </row>
    <row r="151" spans="1:22" x14ac:dyDescent="0.2">
      <c r="A151" s="35"/>
      <c r="B151" s="18"/>
      <c r="C151" s="18"/>
      <c r="D151" s="19"/>
      <c r="E151" s="19"/>
      <c r="F151" s="16"/>
      <c r="G151" s="16"/>
      <c r="H151" s="18"/>
      <c r="I151" s="20"/>
      <c r="J151" s="20"/>
      <c r="K151" s="20"/>
      <c r="L151" s="20"/>
      <c r="M151" s="20"/>
      <c r="N151" s="234"/>
      <c r="O151" s="20"/>
      <c r="P151" s="255"/>
      <c r="Q151" s="260"/>
      <c r="R151" s="36"/>
      <c r="S151" s="36"/>
      <c r="T151" s="235"/>
      <c r="U151" s="111"/>
      <c r="V151" s="111"/>
    </row>
    <row r="152" spans="1:22" x14ac:dyDescent="0.2">
      <c r="A152" s="35"/>
      <c r="B152" s="18"/>
      <c r="C152" s="18"/>
      <c r="D152" s="19"/>
      <c r="E152" s="19"/>
      <c r="F152" s="16"/>
      <c r="G152" s="16"/>
      <c r="H152" s="18"/>
      <c r="I152" s="24"/>
      <c r="J152" s="20"/>
      <c r="K152" s="20"/>
      <c r="L152" s="20"/>
      <c r="M152" s="20"/>
      <c r="N152" s="234"/>
      <c r="O152" s="20"/>
      <c r="P152" s="255"/>
      <c r="Q152" s="260"/>
      <c r="R152" s="123"/>
      <c r="S152" s="36"/>
      <c r="T152" s="235"/>
      <c r="U152" s="111"/>
      <c r="V152" s="111"/>
    </row>
    <row r="153" spans="1:22" x14ac:dyDescent="0.2">
      <c r="A153" s="35"/>
      <c r="B153" s="18"/>
      <c r="C153" s="18"/>
      <c r="D153" s="19"/>
      <c r="E153" s="19"/>
      <c r="F153" s="16"/>
      <c r="G153" s="16"/>
      <c r="H153" s="18"/>
      <c r="I153" s="24"/>
      <c r="J153" s="20"/>
      <c r="K153" s="20"/>
      <c r="L153" s="20"/>
      <c r="M153" s="20"/>
      <c r="N153" s="234"/>
      <c r="O153" s="20"/>
      <c r="P153" s="255"/>
      <c r="Q153" s="260"/>
      <c r="R153" s="123"/>
      <c r="S153" s="36"/>
      <c r="T153" s="235"/>
      <c r="U153" s="111"/>
      <c r="V153" s="111"/>
    </row>
    <row r="154" spans="1:22" x14ac:dyDescent="0.2">
      <c r="P154" s="46"/>
      <c r="Q154" s="46"/>
      <c r="R154" s="46"/>
      <c r="S154" s="75"/>
      <c r="T154" s="262"/>
      <c r="U154" s="262"/>
    </row>
    <row r="155" spans="1:22" x14ac:dyDescent="0.2">
      <c r="P155" s="46"/>
      <c r="Q155" s="46"/>
      <c r="R155" s="46"/>
      <c r="S155" s="75"/>
      <c r="T155" s="262"/>
      <c r="U155" s="262"/>
    </row>
  </sheetData>
  <pageMargins left="0.75" right="0.75" top="1" bottom="1" header="0.5" footer="0.5"/>
  <pageSetup paperSize="5" scale="7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X101"/>
  <sheetViews>
    <sheetView topLeftCell="A27" workbookViewId="0">
      <selection activeCell="I54" sqref="I54"/>
    </sheetView>
  </sheetViews>
  <sheetFormatPr defaultRowHeight="12.75" x14ac:dyDescent="0.2"/>
  <cols>
    <col min="1" max="1" width="8.85546875" style="34" customWidth="1"/>
    <col min="2" max="2" width="9.140625" style="34"/>
    <col min="3" max="3" width="10.5703125" style="34" customWidth="1"/>
    <col min="4" max="4" width="8.7109375" style="34" customWidth="1"/>
    <col min="5" max="5" width="11" style="34" customWidth="1"/>
    <col min="6" max="6" width="12.42578125" style="35" customWidth="1"/>
    <col min="7" max="7" width="8" style="35" customWidth="1"/>
    <col min="8" max="8" width="6.42578125" style="34" customWidth="1"/>
    <col min="9" max="9" width="8.85546875" style="34" customWidth="1"/>
    <col min="10" max="13" width="0" style="34" hidden="1" customWidth="1"/>
    <col min="14" max="14" width="0" style="261" hidden="1" customWidth="1"/>
    <col min="15" max="15" width="0" style="34" hidden="1" customWidth="1"/>
    <col min="16" max="16" width="12.28515625" style="34" customWidth="1"/>
    <col min="17" max="17" width="9.140625" style="34"/>
    <col min="18" max="18" width="19.5703125" style="34" customWidth="1"/>
    <col min="19" max="19" width="12.85546875" style="47" customWidth="1"/>
    <col min="20" max="20" width="9.140625" style="34"/>
    <col min="21" max="21" width="13.5703125" style="113" customWidth="1"/>
    <col min="22" max="23" width="9.140625" style="113"/>
    <col min="24" max="24" width="12.42578125" style="34" customWidth="1"/>
    <col min="25" max="16384" width="9.140625" style="34"/>
  </cols>
  <sheetData>
    <row r="1" spans="1:23" x14ac:dyDescent="0.2">
      <c r="A1" s="124" t="s">
        <v>769</v>
      </c>
      <c r="B1" s="18"/>
      <c r="C1" s="18"/>
      <c r="D1" s="19"/>
      <c r="E1" s="19"/>
      <c r="F1" s="16"/>
      <c r="G1" s="16"/>
      <c r="H1" s="18" t="s">
        <v>71</v>
      </c>
      <c r="I1" s="23">
        <v>31</v>
      </c>
      <c r="J1" s="233" t="s">
        <v>497</v>
      </c>
      <c r="K1" s="20"/>
      <c r="L1" s="20"/>
      <c r="M1" s="20"/>
      <c r="N1" s="234"/>
      <c r="O1" s="20"/>
      <c r="P1" s="33"/>
      <c r="Q1" s="17"/>
      <c r="R1" s="36"/>
      <c r="S1" s="36"/>
      <c r="T1" s="36"/>
      <c r="U1" s="235"/>
      <c r="V1" s="111"/>
      <c r="W1" s="111"/>
    </row>
    <row r="2" spans="1:23" x14ac:dyDescent="0.2">
      <c r="A2" s="16" t="s">
        <v>435</v>
      </c>
      <c r="B2" s="16"/>
      <c r="C2" s="16"/>
      <c r="D2" s="19"/>
      <c r="E2" s="19"/>
      <c r="F2" s="16"/>
      <c r="G2" s="16"/>
      <c r="H2" s="18"/>
      <c r="I2" s="23"/>
      <c r="J2" s="233" t="s">
        <v>498</v>
      </c>
      <c r="K2" s="20"/>
      <c r="L2" s="20"/>
      <c r="M2" s="20"/>
      <c r="N2" s="234"/>
      <c r="O2" s="20"/>
      <c r="P2" s="33"/>
      <c r="Q2" s="17"/>
      <c r="R2" s="36"/>
      <c r="S2" s="36"/>
      <c r="T2" s="36"/>
      <c r="U2" s="235"/>
      <c r="V2" s="111"/>
      <c r="W2" s="111"/>
    </row>
    <row r="3" spans="1:23" x14ac:dyDescent="0.2">
      <c r="A3" s="16"/>
      <c r="B3" s="16"/>
      <c r="C3" s="16"/>
      <c r="D3" s="19"/>
      <c r="E3" s="19"/>
      <c r="F3" s="22" t="s">
        <v>47</v>
      </c>
      <c r="G3" s="16" t="s">
        <v>47</v>
      </c>
      <c r="H3" s="17" t="s">
        <v>47</v>
      </c>
      <c r="I3" s="24"/>
      <c r="J3" s="39" t="s">
        <v>47</v>
      </c>
      <c r="K3" s="20"/>
      <c r="L3" s="39" t="s">
        <v>47</v>
      </c>
      <c r="M3" s="20"/>
      <c r="N3" s="234"/>
      <c r="O3" s="39" t="s">
        <v>47</v>
      </c>
      <c r="P3" s="33"/>
      <c r="Q3" s="17"/>
      <c r="R3" s="36"/>
      <c r="S3" s="36"/>
      <c r="T3" s="36"/>
      <c r="U3" s="235"/>
      <c r="V3" s="111"/>
      <c r="W3" s="111"/>
    </row>
    <row r="4" spans="1:23" x14ac:dyDescent="0.2">
      <c r="A4" s="16"/>
      <c r="B4" s="18"/>
      <c r="C4" s="18"/>
      <c r="D4" s="19"/>
      <c r="E4" s="19"/>
      <c r="F4" s="40"/>
      <c r="G4" s="16"/>
      <c r="H4" s="40"/>
      <c r="I4" s="24"/>
      <c r="J4" s="40"/>
      <c r="K4" s="20"/>
      <c r="L4" s="40"/>
      <c r="M4" s="17"/>
      <c r="N4" s="234"/>
      <c r="O4" s="17"/>
      <c r="P4" s="33"/>
      <c r="Q4" s="17"/>
      <c r="R4" s="36"/>
      <c r="S4" s="36"/>
      <c r="T4" s="41"/>
      <c r="U4" s="236"/>
      <c r="V4" s="111"/>
      <c r="W4" s="111"/>
    </row>
    <row r="5" spans="1:23" x14ac:dyDescent="0.2">
      <c r="A5" s="16"/>
      <c r="B5" s="18"/>
      <c r="C5" s="237"/>
      <c r="D5" s="19"/>
      <c r="E5" s="19"/>
      <c r="F5" s="40"/>
      <c r="G5" s="16"/>
      <c r="H5" s="40"/>
      <c r="I5" s="24"/>
      <c r="J5" s="40"/>
      <c r="K5" s="20"/>
      <c r="L5" s="40"/>
      <c r="M5" s="17"/>
      <c r="N5" s="234"/>
      <c r="O5" s="17"/>
      <c r="P5" s="33"/>
      <c r="Q5" s="17"/>
      <c r="R5" s="36"/>
      <c r="S5" s="36"/>
      <c r="T5" s="41"/>
      <c r="U5" s="236"/>
      <c r="V5" s="111"/>
      <c r="W5" s="111"/>
    </row>
    <row r="6" spans="1:23" x14ac:dyDescent="0.2">
      <c r="A6" s="16"/>
      <c r="B6" s="18"/>
      <c r="C6" s="237"/>
      <c r="D6" s="19"/>
      <c r="E6" s="19"/>
      <c r="F6" s="40"/>
      <c r="G6" s="16"/>
      <c r="H6" s="40"/>
      <c r="I6" s="24"/>
      <c r="J6" s="40"/>
      <c r="K6" s="20"/>
      <c r="L6" s="40"/>
      <c r="M6" s="17"/>
      <c r="N6" s="234"/>
      <c r="O6" s="17"/>
      <c r="P6" s="33"/>
      <c r="Q6" s="17"/>
      <c r="R6" s="36"/>
      <c r="S6" s="36"/>
      <c r="T6" s="41"/>
      <c r="U6" s="236"/>
      <c r="V6" s="111"/>
      <c r="W6" s="111"/>
    </row>
    <row r="7" spans="1:23" x14ac:dyDescent="0.2">
      <c r="A7" s="16"/>
      <c r="B7" s="18"/>
      <c r="C7" s="237"/>
      <c r="D7" s="19"/>
      <c r="E7" s="19"/>
      <c r="F7" s="40"/>
      <c r="G7" s="16"/>
      <c r="H7" s="40"/>
      <c r="I7" s="24"/>
      <c r="J7" s="40"/>
      <c r="K7" s="20"/>
      <c r="L7" s="40"/>
      <c r="M7" s="17"/>
      <c r="N7" s="234"/>
      <c r="O7" s="17"/>
      <c r="P7" s="33"/>
      <c r="Q7" s="17"/>
      <c r="R7" s="36"/>
      <c r="S7" s="36"/>
      <c r="T7" s="41"/>
      <c r="U7" s="236"/>
      <c r="V7" s="111"/>
      <c r="W7" s="111"/>
    </row>
    <row r="8" spans="1:23" x14ac:dyDescent="0.2">
      <c r="A8" s="16"/>
      <c r="B8" s="18"/>
      <c r="C8" s="237"/>
      <c r="D8" s="19"/>
      <c r="E8" s="19"/>
      <c r="F8" s="40"/>
      <c r="G8" s="16"/>
      <c r="H8" s="40"/>
      <c r="I8" s="24"/>
      <c r="J8" s="40"/>
      <c r="K8" s="20"/>
      <c r="L8" s="40"/>
      <c r="M8" s="17"/>
      <c r="N8" s="234"/>
      <c r="O8" s="17"/>
      <c r="P8" s="33"/>
      <c r="Q8" s="17"/>
      <c r="R8" s="36"/>
      <c r="S8" s="36"/>
      <c r="T8" s="41"/>
      <c r="U8" s="236"/>
      <c r="V8" s="111"/>
      <c r="W8" s="111"/>
    </row>
    <row r="9" spans="1:23" x14ac:dyDescent="0.2">
      <c r="A9" s="16"/>
      <c r="B9" s="18"/>
      <c r="C9" s="237"/>
      <c r="D9" s="19"/>
      <c r="E9" s="19"/>
      <c r="F9" s="40"/>
      <c r="G9" s="16"/>
      <c r="H9" s="40"/>
      <c r="I9" s="24"/>
      <c r="J9" s="40"/>
      <c r="K9" s="20"/>
      <c r="L9" s="40"/>
      <c r="M9" s="17"/>
      <c r="N9" s="234"/>
      <c r="O9" s="17"/>
      <c r="P9" s="33"/>
      <c r="Q9" s="17"/>
      <c r="R9" s="36"/>
      <c r="S9" s="36"/>
      <c r="T9" s="41"/>
      <c r="U9" s="236"/>
      <c r="V9" s="111"/>
      <c r="W9" s="111"/>
    </row>
    <row r="10" spans="1:23" x14ac:dyDescent="0.2">
      <c r="A10" s="16"/>
      <c r="B10" s="18"/>
      <c r="C10" s="18"/>
      <c r="D10" s="19"/>
      <c r="E10" s="19"/>
      <c r="F10" s="40"/>
      <c r="G10" s="16"/>
      <c r="H10" s="40"/>
      <c r="I10" s="24"/>
      <c r="J10" s="40"/>
      <c r="K10" s="20"/>
      <c r="L10" s="40"/>
      <c r="M10" s="17"/>
      <c r="N10" s="234"/>
      <c r="O10" s="17"/>
      <c r="P10" s="33"/>
      <c r="Q10" s="17"/>
      <c r="R10" s="36"/>
      <c r="S10" s="36"/>
      <c r="T10" s="41"/>
      <c r="U10" s="236"/>
      <c r="V10" s="111"/>
      <c r="W10" s="111"/>
    </row>
    <row r="11" spans="1:23" x14ac:dyDescent="0.2">
      <c r="A11" s="238" t="s">
        <v>49</v>
      </c>
      <c r="B11" s="239" t="s">
        <v>50</v>
      </c>
      <c r="C11" s="239" t="s">
        <v>51</v>
      </c>
      <c r="D11" s="240" t="s">
        <v>52</v>
      </c>
      <c r="E11" s="240"/>
      <c r="F11" s="238" t="s">
        <v>53</v>
      </c>
      <c r="G11" s="238" t="s">
        <v>54</v>
      </c>
      <c r="H11" s="239" t="s">
        <v>55</v>
      </c>
      <c r="I11" s="241" t="s">
        <v>56</v>
      </c>
      <c r="J11" s="239" t="s">
        <v>57</v>
      </c>
      <c r="K11" s="239" t="s">
        <v>58</v>
      </c>
      <c r="L11" s="239" t="s">
        <v>59</v>
      </c>
      <c r="M11" s="239" t="s">
        <v>60</v>
      </c>
      <c r="N11" s="242" t="s">
        <v>62</v>
      </c>
      <c r="O11" s="239" t="s">
        <v>63</v>
      </c>
      <c r="P11" s="243" t="s">
        <v>504</v>
      </c>
      <c r="Q11" s="239" t="s">
        <v>65</v>
      </c>
      <c r="R11" s="238" t="s">
        <v>66</v>
      </c>
      <c r="S11" s="229" t="s">
        <v>505</v>
      </c>
      <c r="T11" s="244" t="s">
        <v>506</v>
      </c>
      <c r="U11" s="245" t="s">
        <v>507</v>
      </c>
      <c r="V11" s="112"/>
      <c r="W11" s="112"/>
    </row>
    <row r="12" spans="1:23" s="47" customFormat="1" x14ac:dyDescent="0.2">
      <c r="A12" s="16" t="s">
        <v>451</v>
      </c>
      <c r="B12" s="18" t="s">
        <v>118</v>
      </c>
      <c r="C12" s="18"/>
      <c r="D12" s="19"/>
      <c r="E12" s="19"/>
      <c r="F12" s="16"/>
      <c r="G12" s="16"/>
      <c r="H12" s="18" t="s">
        <v>592</v>
      </c>
      <c r="I12" s="24">
        <v>0</v>
      </c>
      <c r="J12" s="20">
        <v>0</v>
      </c>
      <c r="K12" s="20">
        <v>0</v>
      </c>
      <c r="L12" s="20">
        <v>0</v>
      </c>
      <c r="M12" s="20">
        <v>0</v>
      </c>
      <c r="N12" s="234">
        <v>0</v>
      </c>
      <c r="O12" s="20">
        <f>SUM(I12:M12)</f>
        <v>0</v>
      </c>
      <c r="P12" s="33"/>
      <c r="Q12" s="18"/>
      <c r="R12" s="37"/>
      <c r="S12" s="25"/>
      <c r="T12" s="25"/>
      <c r="U12" s="246"/>
      <c r="V12" s="112"/>
      <c r="W12" s="112"/>
    </row>
    <row r="13" spans="1:23" s="47" customFormat="1" x14ac:dyDescent="0.2">
      <c r="A13" s="16"/>
      <c r="B13" s="18"/>
      <c r="C13" s="18"/>
      <c r="D13" s="19"/>
      <c r="E13" s="19"/>
      <c r="F13" s="16"/>
      <c r="G13" s="16"/>
      <c r="H13" s="18"/>
      <c r="I13" s="24"/>
      <c r="J13" s="20"/>
      <c r="K13" s="20"/>
      <c r="L13" s="20"/>
      <c r="M13" s="20"/>
      <c r="N13" s="234"/>
      <c r="O13" s="20"/>
      <c r="P13" s="33"/>
      <c r="Q13" s="18"/>
      <c r="R13" s="37"/>
      <c r="S13" s="25"/>
      <c r="T13" s="25"/>
      <c r="U13" s="246"/>
      <c r="V13" s="112"/>
      <c r="W13" s="112"/>
    </row>
    <row r="14" spans="1:23" s="46" customFormat="1" ht="13.5" customHeight="1" x14ac:dyDescent="0.2">
      <c r="A14" s="274" t="s">
        <v>47</v>
      </c>
      <c r="B14" s="260" t="s">
        <v>47</v>
      </c>
      <c r="C14" s="123" t="s">
        <v>47</v>
      </c>
      <c r="D14" s="275" t="s">
        <v>47</v>
      </c>
      <c r="E14" s="275"/>
      <c r="F14" s="274" t="s">
        <v>47</v>
      </c>
      <c r="G14" s="365" t="s">
        <v>47</v>
      </c>
      <c r="H14" s="260" t="s">
        <v>47</v>
      </c>
      <c r="I14" s="276"/>
      <c r="J14" s="32"/>
      <c r="K14" s="32"/>
      <c r="L14" s="32"/>
      <c r="M14" s="32"/>
      <c r="N14" s="366"/>
      <c r="O14" s="32"/>
      <c r="P14" s="367" t="s">
        <v>47</v>
      </c>
      <c r="Q14" s="260" t="e">
        <f>SUM(#REF!)</f>
        <v>#REF!</v>
      </c>
      <c r="R14" s="274" t="s">
        <v>536</v>
      </c>
      <c r="S14" s="36">
        <f>SUM(S12:S13)</f>
        <v>0</v>
      </c>
      <c r="T14" s="41">
        <f>SUM(T12:T12)</f>
        <v>0</v>
      </c>
      <c r="U14" s="236"/>
      <c r="V14" s="111"/>
      <c r="W14" s="111"/>
    </row>
    <row r="15" spans="1:23" s="46" customFormat="1" x14ac:dyDescent="0.2">
      <c r="A15" s="274"/>
      <c r="B15" s="260"/>
      <c r="C15" s="123"/>
      <c r="D15" s="275"/>
      <c r="E15" s="275"/>
      <c r="F15" s="274"/>
      <c r="G15" s="365"/>
      <c r="H15" s="260"/>
      <c r="I15" s="276"/>
      <c r="J15" s="32"/>
      <c r="K15" s="32"/>
      <c r="L15" s="32"/>
      <c r="M15" s="32"/>
      <c r="N15" s="366"/>
      <c r="O15" s="32"/>
      <c r="P15" s="367"/>
      <c r="Q15" s="260"/>
      <c r="R15" s="274" t="s">
        <v>665</v>
      </c>
      <c r="S15" s="36">
        <v>0</v>
      </c>
      <c r="T15" s="41"/>
      <c r="U15" s="236"/>
      <c r="V15" s="111"/>
      <c r="W15" s="111"/>
    </row>
    <row r="16" spans="1:23" ht="13.5" thickBot="1" x14ac:dyDescent="0.25">
      <c r="A16" s="274"/>
      <c r="B16" s="260"/>
      <c r="C16" s="123"/>
      <c r="D16" s="275"/>
      <c r="E16" s="275"/>
      <c r="F16" s="274"/>
      <c r="G16" s="365"/>
      <c r="H16" s="260"/>
      <c r="I16" s="276"/>
      <c r="J16" s="32"/>
      <c r="K16" s="32"/>
      <c r="L16" s="32"/>
      <c r="M16" s="32"/>
      <c r="N16" s="366"/>
      <c r="O16" s="32"/>
      <c r="P16" s="367"/>
      <c r="Q16" s="260"/>
      <c r="R16" s="274" t="s">
        <v>666</v>
      </c>
      <c r="S16" s="399">
        <f>+S14-S15</f>
        <v>0</v>
      </c>
      <c r="T16" s="41"/>
      <c r="U16" s="236"/>
      <c r="V16" s="112"/>
      <c r="W16" s="112"/>
    </row>
    <row r="17" spans="1:24" ht="13.5" thickTop="1" x14ac:dyDescent="0.2">
      <c r="A17" s="274"/>
      <c r="B17" s="260"/>
      <c r="C17" s="123"/>
      <c r="D17" s="275"/>
      <c r="E17" s="275"/>
      <c r="F17" s="274"/>
      <c r="G17" s="365"/>
      <c r="H17" s="260"/>
      <c r="I17" s="276"/>
      <c r="J17" s="32"/>
      <c r="K17" s="32"/>
      <c r="L17" s="32"/>
      <c r="M17" s="32"/>
      <c r="N17" s="366"/>
      <c r="O17" s="32"/>
      <c r="P17" s="367"/>
      <c r="Q17" s="260"/>
      <c r="R17" s="274"/>
      <c r="S17" s="36"/>
      <c r="T17" s="41"/>
      <c r="U17" s="236"/>
      <c r="V17" s="112"/>
      <c r="W17" s="112"/>
    </row>
    <row r="18" spans="1:24" s="378" customFormat="1" x14ac:dyDescent="0.2">
      <c r="A18" s="368" t="s">
        <v>49</v>
      </c>
      <c r="B18" s="369" t="s">
        <v>50</v>
      </c>
      <c r="C18" s="369" t="s">
        <v>51</v>
      </c>
      <c r="D18" s="370" t="s">
        <v>52</v>
      </c>
      <c r="E18" s="370"/>
      <c r="F18" s="368" t="s">
        <v>53</v>
      </c>
      <c r="G18" s="368" t="s">
        <v>54</v>
      </c>
      <c r="H18" s="369" t="s">
        <v>55</v>
      </c>
      <c r="I18" s="371" t="s">
        <v>56</v>
      </c>
      <c r="J18" s="369" t="s">
        <v>57</v>
      </c>
      <c r="K18" s="369" t="s">
        <v>58</v>
      </c>
      <c r="L18" s="369" t="s">
        <v>59</v>
      </c>
      <c r="M18" s="369" t="s">
        <v>60</v>
      </c>
      <c r="N18" s="372" t="s">
        <v>62</v>
      </c>
      <c r="O18" s="369" t="s">
        <v>63</v>
      </c>
      <c r="P18" s="373" t="s">
        <v>504</v>
      </c>
      <c r="Q18" s="369" t="s">
        <v>65</v>
      </c>
      <c r="R18" s="368" t="s">
        <v>66</v>
      </c>
      <c r="S18" s="374" t="s">
        <v>505</v>
      </c>
      <c r="T18" s="375" t="s">
        <v>506</v>
      </c>
      <c r="U18" s="376" t="s">
        <v>507</v>
      </c>
      <c r="V18" s="377"/>
      <c r="W18" s="377"/>
    </row>
    <row r="19" spans="1:24" s="47" customFormat="1" x14ac:dyDescent="0.2">
      <c r="A19" s="16" t="s">
        <v>377</v>
      </c>
      <c r="B19" s="18" t="s">
        <v>114</v>
      </c>
      <c r="C19" s="18" t="s">
        <v>760</v>
      </c>
      <c r="D19" s="19">
        <v>36861</v>
      </c>
      <c r="E19" s="19">
        <v>36891</v>
      </c>
      <c r="F19" s="16" t="s">
        <v>761</v>
      </c>
      <c r="G19" s="16" t="s">
        <v>762</v>
      </c>
      <c r="H19" s="18"/>
      <c r="I19" s="24">
        <f>3.1/31</f>
        <v>0.1</v>
      </c>
      <c r="J19" s="20"/>
      <c r="K19" s="20"/>
      <c r="L19" s="20"/>
      <c r="M19" s="20"/>
      <c r="N19" s="234"/>
      <c r="O19" s="20"/>
      <c r="P19" s="33"/>
      <c r="Q19" s="18">
        <v>0</v>
      </c>
      <c r="R19" s="16" t="s">
        <v>763</v>
      </c>
      <c r="S19" s="25">
        <f>+Q19*I19*31</f>
        <v>0</v>
      </c>
      <c r="T19" s="25"/>
      <c r="U19" s="252">
        <v>493086</v>
      </c>
      <c r="V19" s="112"/>
      <c r="W19" s="112"/>
    </row>
    <row r="20" spans="1:24" s="47" customFormat="1" x14ac:dyDescent="0.2">
      <c r="A20" s="16" t="s">
        <v>656</v>
      </c>
      <c r="B20" s="18" t="s">
        <v>114</v>
      </c>
      <c r="C20" s="18"/>
      <c r="D20" s="19"/>
      <c r="E20" s="19"/>
      <c r="F20" s="16"/>
      <c r="G20" s="16"/>
      <c r="H20" s="18" t="s">
        <v>68</v>
      </c>
      <c r="I20" s="24">
        <v>0</v>
      </c>
      <c r="J20" s="20">
        <v>0</v>
      </c>
      <c r="K20" s="20">
        <v>0</v>
      </c>
      <c r="L20" s="20">
        <v>0</v>
      </c>
      <c r="M20" s="20">
        <v>0</v>
      </c>
      <c r="N20" s="234">
        <v>0</v>
      </c>
      <c r="O20" s="20">
        <f>SUM(I20:M20)</f>
        <v>0</v>
      </c>
      <c r="P20" s="33"/>
      <c r="Q20" s="18"/>
      <c r="R20" s="37" t="s">
        <v>734</v>
      </c>
      <c r="S20" s="25">
        <f>I20*8*Q20</f>
        <v>0</v>
      </c>
      <c r="T20" s="25"/>
      <c r="U20" s="252" t="s">
        <v>735</v>
      </c>
      <c r="V20" s="112"/>
      <c r="W20" s="112"/>
    </row>
    <row r="21" spans="1:24" s="46" customFormat="1" x14ac:dyDescent="0.2">
      <c r="A21" s="274" t="s">
        <v>47</v>
      </c>
      <c r="B21" s="260" t="s">
        <v>47</v>
      </c>
      <c r="C21" s="123" t="s">
        <v>47</v>
      </c>
      <c r="D21" s="275" t="s">
        <v>47</v>
      </c>
      <c r="E21" s="275"/>
      <c r="F21" s="274" t="s">
        <v>47</v>
      </c>
      <c r="G21" s="365" t="s">
        <v>47</v>
      </c>
      <c r="H21" s="260" t="s">
        <v>47</v>
      </c>
      <c r="I21" s="276"/>
      <c r="J21" s="32"/>
      <c r="K21" s="32"/>
      <c r="L21" s="32"/>
      <c r="M21" s="32"/>
      <c r="N21" s="366"/>
      <c r="O21" s="32"/>
      <c r="P21" s="367" t="s">
        <v>47</v>
      </c>
      <c r="R21" s="274" t="s">
        <v>47</v>
      </c>
      <c r="S21" s="36"/>
      <c r="T21" s="41">
        <f>SUM(T20:T20)</f>
        <v>0</v>
      </c>
      <c r="U21" s="236"/>
      <c r="V21" s="111"/>
      <c r="W21" s="111"/>
    </row>
    <row r="22" spans="1:24" s="46" customFormat="1" x14ac:dyDescent="0.2">
      <c r="A22" s="274"/>
      <c r="B22" s="260"/>
      <c r="C22" s="123"/>
      <c r="D22" s="275"/>
      <c r="E22" s="275"/>
      <c r="F22" s="274"/>
      <c r="G22" s="365"/>
      <c r="H22" s="260"/>
      <c r="I22" s="276"/>
      <c r="J22" s="32"/>
      <c r="K22" s="32"/>
      <c r="L22" s="32"/>
      <c r="M22" s="32"/>
      <c r="N22" s="366"/>
      <c r="O22" s="32"/>
      <c r="P22" s="367"/>
      <c r="Q22" s="123">
        <f>SUM(Q20:Q20)</f>
        <v>0</v>
      </c>
      <c r="R22" s="274" t="s">
        <v>536</v>
      </c>
      <c r="S22" s="36">
        <f>SUM(S18:S21)</f>
        <v>0</v>
      </c>
      <c r="T22" s="41"/>
      <c r="U22" s="236"/>
      <c r="V22" s="111"/>
      <c r="W22" s="111"/>
    </row>
    <row r="23" spans="1:24" x14ac:dyDescent="0.2">
      <c r="A23" s="274"/>
      <c r="B23" s="260"/>
      <c r="C23" s="123"/>
      <c r="D23" s="275"/>
      <c r="E23" s="275"/>
      <c r="F23" s="274"/>
      <c r="G23" s="365"/>
      <c r="H23" s="260"/>
      <c r="I23" s="276"/>
      <c r="J23" s="32"/>
      <c r="K23" s="32"/>
      <c r="L23" s="32"/>
      <c r="M23" s="32"/>
      <c r="N23" s="366"/>
      <c r="O23" s="32"/>
      <c r="P23" s="367"/>
      <c r="Q23" s="260"/>
      <c r="R23" s="274" t="s">
        <v>665</v>
      </c>
      <c r="S23" s="36">
        <v>0</v>
      </c>
      <c r="T23" s="41"/>
      <c r="U23" s="236"/>
      <c r="V23" s="112"/>
      <c r="W23" s="112"/>
    </row>
    <row r="24" spans="1:24" ht="13.5" thickBot="1" x14ac:dyDescent="0.25">
      <c r="A24" s="274"/>
      <c r="B24" s="260"/>
      <c r="C24" s="123"/>
      <c r="D24" s="275"/>
      <c r="E24" s="275"/>
      <c r="F24" s="274"/>
      <c r="G24" s="365"/>
      <c r="H24" s="260"/>
      <c r="I24" s="276"/>
      <c r="J24" s="32"/>
      <c r="K24" s="32"/>
      <c r="L24" s="32"/>
      <c r="M24" s="32"/>
      <c r="N24" s="366"/>
      <c r="O24" s="32"/>
      <c r="P24" s="367"/>
      <c r="Q24" s="260"/>
      <c r="R24" s="274" t="s">
        <v>666</v>
      </c>
      <c r="S24" s="399">
        <f>+S22-S23</f>
        <v>0</v>
      </c>
      <c r="T24" s="41"/>
      <c r="U24" s="236"/>
      <c r="V24" s="112"/>
      <c r="W24" s="112"/>
    </row>
    <row r="25" spans="1:24" ht="13.5" thickTop="1" x14ac:dyDescent="0.2">
      <c r="A25" s="274"/>
      <c r="B25" s="260"/>
      <c r="C25" s="123"/>
      <c r="D25" s="275"/>
      <c r="E25" s="275"/>
      <c r="F25" s="274"/>
      <c r="G25" s="365"/>
      <c r="H25" s="260"/>
      <c r="I25" s="276"/>
      <c r="J25" s="32"/>
      <c r="K25" s="32"/>
      <c r="L25" s="32"/>
      <c r="M25" s="32"/>
      <c r="N25" s="366"/>
      <c r="O25" s="32"/>
      <c r="P25" s="367"/>
      <c r="Q25" s="260"/>
      <c r="R25" s="274"/>
      <c r="S25" s="36"/>
      <c r="T25" s="41"/>
      <c r="U25" s="236"/>
      <c r="V25" s="112"/>
      <c r="W25" s="112"/>
    </row>
    <row r="26" spans="1:24" s="378" customFormat="1" x14ac:dyDescent="0.2">
      <c r="A26" s="368" t="s">
        <v>49</v>
      </c>
      <c r="B26" s="369" t="s">
        <v>50</v>
      </c>
      <c r="C26" s="369" t="s">
        <v>51</v>
      </c>
      <c r="D26" s="370" t="s">
        <v>52</v>
      </c>
      <c r="E26" s="370"/>
      <c r="F26" s="368" t="s">
        <v>53</v>
      </c>
      <c r="G26" s="368" t="s">
        <v>54</v>
      </c>
      <c r="H26" s="369" t="s">
        <v>55</v>
      </c>
      <c r="I26" s="371" t="s">
        <v>56</v>
      </c>
      <c r="J26" s="369" t="s">
        <v>57</v>
      </c>
      <c r="K26" s="369" t="s">
        <v>58</v>
      </c>
      <c r="L26" s="369" t="s">
        <v>59</v>
      </c>
      <c r="M26" s="369" t="s">
        <v>60</v>
      </c>
      <c r="N26" s="372" t="s">
        <v>62</v>
      </c>
      <c r="O26" s="369" t="s">
        <v>63</v>
      </c>
      <c r="P26" s="373" t="s">
        <v>504</v>
      </c>
      <c r="Q26" s="369" t="s">
        <v>65</v>
      </c>
      <c r="R26" s="368" t="s">
        <v>66</v>
      </c>
      <c r="S26" s="374" t="s">
        <v>524</v>
      </c>
      <c r="T26" s="375" t="s">
        <v>524</v>
      </c>
      <c r="U26" s="376"/>
      <c r="V26" s="377"/>
      <c r="W26" s="377"/>
    </row>
    <row r="27" spans="1:24" s="47" customFormat="1" x14ac:dyDescent="0.2">
      <c r="A27" s="16" t="s">
        <v>451</v>
      </c>
      <c r="B27" s="18" t="s">
        <v>525</v>
      </c>
      <c r="C27" s="18" t="s">
        <v>322</v>
      </c>
      <c r="D27" s="19">
        <v>36312</v>
      </c>
      <c r="E27" s="19">
        <v>37011</v>
      </c>
      <c r="F27" s="37" t="s">
        <v>672</v>
      </c>
      <c r="G27" s="37" t="s">
        <v>673</v>
      </c>
      <c r="H27" s="18" t="s">
        <v>529</v>
      </c>
      <c r="I27" s="24">
        <v>0.16</v>
      </c>
      <c r="J27" s="20"/>
      <c r="K27" s="20"/>
      <c r="L27" s="20"/>
      <c r="M27" s="20"/>
      <c r="N27" s="234"/>
      <c r="O27" s="20"/>
      <c r="P27" s="33">
        <v>65403</v>
      </c>
      <c r="Q27" s="18">
        <v>19293</v>
      </c>
      <c r="R27" s="16" t="s">
        <v>674</v>
      </c>
      <c r="S27" s="25">
        <f t="shared" ref="S27:S39" si="0">I27*I$1*Q27</f>
        <v>95693.28</v>
      </c>
      <c r="T27" s="403">
        <f>0.16*30.417</f>
        <v>4.8667199999999999</v>
      </c>
      <c r="U27" s="246">
        <v>214854</v>
      </c>
      <c r="V27" s="16"/>
      <c r="W27" s="112"/>
      <c r="X27" s="112"/>
    </row>
    <row r="28" spans="1:24" s="47" customFormat="1" x14ac:dyDescent="0.2">
      <c r="A28" s="16" t="s">
        <v>451</v>
      </c>
      <c r="B28" s="18" t="s">
        <v>525</v>
      </c>
      <c r="C28" s="18" t="s">
        <v>322</v>
      </c>
      <c r="D28" s="19">
        <v>36861</v>
      </c>
      <c r="E28" s="19">
        <v>36891</v>
      </c>
      <c r="F28" s="16" t="s">
        <v>758</v>
      </c>
      <c r="G28" s="16" t="s">
        <v>673</v>
      </c>
      <c r="H28" s="18" t="s">
        <v>529</v>
      </c>
      <c r="I28" s="24">
        <f>4.65/31</f>
        <v>0.15000000000000002</v>
      </c>
      <c r="J28" s="20"/>
      <c r="K28" s="20"/>
      <c r="L28" s="20"/>
      <c r="M28" s="20"/>
      <c r="N28" s="234"/>
      <c r="O28" s="20"/>
      <c r="P28" s="33">
        <v>65403</v>
      </c>
      <c r="Q28" s="18">
        <v>-5000</v>
      </c>
      <c r="R28" s="16" t="s">
        <v>759</v>
      </c>
      <c r="S28" s="25">
        <f>+Q28*I28*I1</f>
        <v>-23250.000000000004</v>
      </c>
      <c r="T28" s="403"/>
      <c r="U28" s="246">
        <v>498161</v>
      </c>
      <c r="V28" s="16"/>
      <c r="W28" s="112"/>
      <c r="X28" s="112"/>
    </row>
    <row r="29" spans="1:24" s="47" customFormat="1" x14ac:dyDescent="0.2">
      <c r="A29" s="16" t="s">
        <v>656</v>
      </c>
      <c r="B29" s="18" t="s">
        <v>525</v>
      </c>
      <c r="C29" s="18" t="s">
        <v>525</v>
      </c>
      <c r="D29" s="19">
        <v>36617</v>
      </c>
      <c r="E29" s="19">
        <v>36981</v>
      </c>
      <c r="F29" s="16" t="s">
        <v>522</v>
      </c>
      <c r="G29" s="16" t="s">
        <v>687</v>
      </c>
      <c r="H29" s="18" t="s">
        <v>68</v>
      </c>
      <c r="I29" s="24">
        <f>4.41/I$1</f>
        <v>0.14225806451612905</v>
      </c>
      <c r="J29" s="20">
        <v>0</v>
      </c>
      <c r="K29" s="20">
        <v>0</v>
      </c>
      <c r="L29" s="20">
        <v>0</v>
      </c>
      <c r="M29" s="20">
        <v>0</v>
      </c>
      <c r="N29" s="234">
        <v>0</v>
      </c>
      <c r="O29" s="20">
        <f t="shared" ref="O29:O39" si="1">SUM(I29:M29)</f>
        <v>0.14225806451612905</v>
      </c>
      <c r="P29" s="33">
        <v>66930</v>
      </c>
      <c r="Q29" s="18">
        <v>4000</v>
      </c>
      <c r="R29" s="16" t="s">
        <v>685</v>
      </c>
      <c r="S29" s="25">
        <f t="shared" si="0"/>
        <v>17640</v>
      </c>
      <c r="T29" s="403">
        <v>4.41</v>
      </c>
      <c r="U29" s="246">
        <v>227986</v>
      </c>
      <c r="V29" s="112"/>
      <c r="W29" s="112"/>
    </row>
    <row r="30" spans="1:24" s="47" customFormat="1" x14ac:dyDescent="0.2">
      <c r="A30" s="16" t="s">
        <v>656</v>
      </c>
      <c r="B30" s="18" t="s">
        <v>525</v>
      </c>
      <c r="C30" s="18" t="s">
        <v>525</v>
      </c>
      <c r="D30" s="19">
        <v>36923</v>
      </c>
      <c r="E30" s="19" t="s">
        <v>830</v>
      </c>
      <c r="F30" s="16" t="s">
        <v>522</v>
      </c>
      <c r="G30" s="16" t="s">
        <v>687</v>
      </c>
      <c r="H30" s="18" t="s">
        <v>68</v>
      </c>
      <c r="I30" s="24">
        <f>14.56/28</f>
        <v>0.52</v>
      </c>
      <c r="J30" s="20">
        <v>0</v>
      </c>
      <c r="K30" s="20">
        <v>0</v>
      </c>
      <c r="L30" s="20">
        <v>0</v>
      </c>
      <c r="M30" s="20">
        <v>0</v>
      </c>
      <c r="N30" s="234">
        <v>0</v>
      </c>
      <c r="O30" s="20">
        <f>SUM(I30:M30)</f>
        <v>0.52</v>
      </c>
      <c r="P30" s="33">
        <v>66930</v>
      </c>
      <c r="Q30" s="18">
        <v>-1033</v>
      </c>
      <c r="R30" s="16" t="s">
        <v>685</v>
      </c>
      <c r="S30" s="25">
        <f>I30*I$1*Q30</f>
        <v>-16651.960000000003</v>
      </c>
      <c r="T30" s="403">
        <v>16.12</v>
      </c>
      <c r="U30" s="246">
        <v>521359</v>
      </c>
      <c r="V30" s="112"/>
      <c r="W30" s="112"/>
    </row>
    <row r="31" spans="1:24" s="47" customFormat="1" x14ac:dyDescent="0.2">
      <c r="A31" s="16" t="s">
        <v>656</v>
      </c>
      <c r="B31" s="18" t="s">
        <v>525</v>
      </c>
      <c r="C31" s="18" t="s">
        <v>525</v>
      </c>
      <c r="D31" s="19">
        <v>36617</v>
      </c>
      <c r="E31" s="19">
        <v>36981</v>
      </c>
      <c r="F31" s="16" t="s">
        <v>522</v>
      </c>
      <c r="G31" s="37" t="s">
        <v>657</v>
      </c>
      <c r="H31" s="18" t="s">
        <v>592</v>
      </c>
      <c r="I31" s="24">
        <f>4.41/I$1</f>
        <v>0.14225806451612905</v>
      </c>
      <c r="J31" s="20">
        <v>0</v>
      </c>
      <c r="K31" s="20">
        <v>0</v>
      </c>
      <c r="L31" s="20">
        <v>0</v>
      </c>
      <c r="M31" s="20">
        <v>0</v>
      </c>
      <c r="N31" s="234">
        <v>0</v>
      </c>
      <c r="O31" s="20">
        <f t="shared" si="1"/>
        <v>0.14225806451612905</v>
      </c>
      <c r="P31" s="33">
        <v>66931</v>
      </c>
      <c r="Q31" s="18">
        <v>4000</v>
      </c>
      <c r="R31" s="16" t="s">
        <v>590</v>
      </c>
      <c r="S31" s="25">
        <f t="shared" si="0"/>
        <v>17640</v>
      </c>
      <c r="T31" s="403">
        <v>4.41</v>
      </c>
      <c r="U31" s="246">
        <v>227996</v>
      </c>
      <c r="V31" s="112"/>
      <c r="W31" s="112"/>
    </row>
    <row r="32" spans="1:24" s="47" customFormat="1" x14ac:dyDescent="0.2">
      <c r="A32" s="16" t="s">
        <v>656</v>
      </c>
      <c r="B32" s="18" t="s">
        <v>525</v>
      </c>
      <c r="C32" s="18" t="s">
        <v>525</v>
      </c>
      <c r="D32" s="19">
        <v>36617</v>
      </c>
      <c r="E32" s="19">
        <v>36981</v>
      </c>
      <c r="F32" s="16" t="s">
        <v>522</v>
      </c>
      <c r="G32" s="16" t="s">
        <v>591</v>
      </c>
      <c r="H32" s="18" t="s">
        <v>68</v>
      </c>
      <c r="I32" s="24">
        <f>6.201/I$1</f>
        <v>0.20003225806451611</v>
      </c>
      <c r="J32" s="20">
        <v>0</v>
      </c>
      <c r="K32" s="20">
        <v>0</v>
      </c>
      <c r="L32" s="20">
        <v>0</v>
      </c>
      <c r="M32" s="20">
        <v>0</v>
      </c>
      <c r="N32" s="234">
        <v>0</v>
      </c>
      <c r="O32" s="20">
        <f t="shared" si="1"/>
        <v>0.20003225806451611</v>
      </c>
      <c r="P32" s="33">
        <v>66932</v>
      </c>
      <c r="Q32" s="18">
        <v>4000</v>
      </c>
      <c r="R32" s="16" t="s">
        <v>590</v>
      </c>
      <c r="S32" s="25">
        <f t="shared" si="0"/>
        <v>24804</v>
      </c>
      <c r="T32" s="403">
        <v>6.2009999999999996</v>
      </c>
      <c r="U32" s="246">
        <v>228003</v>
      </c>
      <c r="V32" s="112"/>
      <c r="W32" s="112"/>
    </row>
    <row r="33" spans="1:23" s="47" customFormat="1" x14ac:dyDescent="0.2">
      <c r="A33" s="16" t="s">
        <v>537</v>
      </c>
      <c r="B33" s="18" t="s">
        <v>525</v>
      </c>
      <c r="C33" s="18" t="s">
        <v>525</v>
      </c>
      <c r="D33" s="19">
        <v>36831</v>
      </c>
      <c r="E33" s="19">
        <v>36981</v>
      </c>
      <c r="F33" s="16" t="s">
        <v>522</v>
      </c>
      <c r="G33" s="16" t="s">
        <v>591</v>
      </c>
      <c r="H33" s="18" t="s">
        <v>68</v>
      </c>
      <c r="I33" s="24">
        <f>IF(30,0.6,0)</f>
        <v>0.6</v>
      </c>
      <c r="J33" s="20">
        <v>0</v>
      </c>
      <c r="K33" s="20">
        <v>0</v>
      </c>
      <c r="L33" s="20">
        <v>0</v>
      </c>
      <c r="M33" s="20">
        <v>0</v>
      </c>
      <c r="N33" s="234">
        <v>0</v>
      </c>
      <c r="O33" s="20">
        <f>SUM(I33:M33)</f>
        <v>0.6</v>
      </c>
      <c r="P33" s="33">
        <v>66932</v>
      </c>
      <c r="Q33" s="18">
        <v>-3000</v>
      </c>
      <c r="R33" s="16" t="s">
        <v>728</v>
      </c>
      <c r="S33" s="25">
        <f>I33*I$1*Q33</f>
        <v>-55799.999999999993</v>
      </c>
      <c r="T33" s="403">
        <v>6.2009999999999996</v>
      </c>
      <c r="U33" s="246">
        <v>452652</v>
      </c>
      <c r="V33" s="112"/>
      <c r="W33" s="112"/>
    </row>
    <row r="34" spans="1:23" s="47" customFormat="1" x14ac:dyDescent="0.2">
      <c r="A34" s="16" t="s">
        <v>537</v>
      </c>
      <c r="B34" s="18" t="s">
        <v>525</v>
      </c>
      <c r="C34" s="18" t="s">
        <v>738</v>
      </c>
      <c r="D34" s="19">
        <v>36832</v>
      </c>
      <c r="E34" s="19">
        <v>36981</v>
      </c>
      <c r="F34" s="16" t="s">
        <v>522</v>
      </c>
      <c r="G34" s="16" t="s">
        <v>591</v>
      </c>
      <c r="H34" s="18" t="s">
        <v>68</v>
      </c>
      <c r="I34" s="24">
        <f>18/I$1</f>
        <v>0.58064516129032262</v>
      </c>
      <c r="J34" s="20">
        <v>0</v>
      </c>
      <c r="K34" s="20">
        <v>0</v>
      </c>
      <c r="L34" s="20">
        <v>0</v>
      </c>
      <c r="M34" s="20">
        <v>0</v>
      </c>
      <c r="N34" s="234">
        <v>0</v>
      </c>
      <c r="O34" s="20">
        <f>SUM(I34:M34)</f>
        <v>0.58064516129032262</v>
      </c>
      <c r="P34" s="33">
        <v>66932</v>
      </c>
      <c r="Q34" s="18">
        <v>-1000</v>
      </c>
      <c r="R34" s="16" t="s">
        <v>739</v>
      </c>
      <c r="S34" s="25">
        <f>I34*I$1*Q34</f>
        <v>-18000</v>
      </c>
      <c r="T34" s="403">
        <v>6.2009999999999996</v>
      </c>
      <c r="U34" s="246">
        <v>461254</v>
      </c>
      <c r="V34" s="112"/>
      <c r="W34" s="112"/>
    </row>
    <row r="35" spans="1:23" s="47" customFormat="1" x14ac:dyDescent="0.2">
      <c r="A35" s="16" t="s">
        <v>451</v>
      </c>
      <c r="B35" s="18" t="s">
        <v>525</v>
      </c>
      <c r="C35" s="16" t="s">
        <v>688</v>
      </c>
      <c r="D35" s="19">
        <v>36770</v>
      </c>
      <c r="E35" s="19">
        <v>37134</v>
      </c>
      <c r="F35" s="16" t="s">
        <v>689</v>
      </c>
      <c r="G35" s="16" t="s">
        <v>690</v>
      </c>
      <c r="H35" s="18"/>
      <c r="I35" s="24">
        <f>6.201/I$1</f>
        <v>0.20003225806451611</v>
      </c>
      <c r="J35" s="20">
        <v>0</v>
      </c>
      <c r="K35" s="20">
        <v>0</v>
      </c>
      <c r="L35" s="20">
        <v>0</v>
      </c>
      <c r="M35" s="20">
        <v>0</v>
      </c>
      <c r="N35" s="234">
        <v>0</v>
      </c>
      <c r="O35" s="20">
        <f t="shared" si="1"/>
        <v>0.20003225806451611</v>
      </c>
      <c r="P35" s="33">
        <v>69204</v>
      </c>
      <c r="Q35" s="123">
        <v>2048</v>
      </c>
      <c r="R35" s="16" t="s">
        <v>691</v>
      </c>
      <c r="S35" s="25">
        <f t="shared" si="0"/>
        <v>12699.647999999999</v>
      </c>
      <c r="T35" s="403"/>
      <c r="U35" s="246">
        <v>382565</v>
      </c>
      <c r="V35" s="112"/>
      <c r="W35" s="112"/>
    </row>
    <row r="36" spans="1:23" s="47" customFormat="1" x14ac:dyDescent="0.2">
      <c r="A36" s="16" t="s">
        <v>451</v>
      </c>
      <c r="B36" s="18" t="s">
        <v>525</v>
      </c>
      <c r="C36" s="16" t="s">
        <v>688</v>
      </c>
      <c r="D36" s="19">
        <v>36770</v>
      </c>
      <c r="E36" s="19">
        <v>37134</v>
      </c>
      <c r="F36" s="16" t="s">
        <v>689</v>
      </c>
      <c r="G36" s="16" t="s">
        <v>690</v>
      </c>
      <c r="H36" s="18"/>
      <c r="I36" s="24">
        <f>6.201/I$1</f>
        <v>0.20003225806451611</v>
      </c>
      <c r="J36" s="20">
        <v>0</v>
      </c>
      <c r="K36" s="20">
        <v>0</v>
      </c>
      <c r="L36" s="20">
        <v>0</v>
      </c>
      <c r="M36" s="20">
        <v>0</v>
      </c>
      <c r="N36" s="234">
        <v>0</v>
      </c>
      <c r="O36" s="20">
        <f t="shared" si="1"/>
        <v>0.20003225806451611</v>
      </c>
      <c r="P36" s="33">
        <v>69205</v>
      </c>
      <c r="Q36" s="123">
        <v>2048</v>
      </c>
      <c r="R36" s="16" t="s">
        <v>692</v>
      </c>
      <c r="S36" s="25">
        <f t="shared" si="0"/>
        <v>12699.647999999999</v>
      </c>
      <c r="T36" s="403"/>
      <c r="U36" s="246">
        <v>382544</v>
      </c>
      <c r="V36" s="112"/>
      <c r="W36" s="112"/>
    </row>
    <row r="37" spans="1:23" s="47" customFormat="1" x14ac:dyDescent="0.2">
      <c r="A37" s="16" t="s">
        <v>451</v>
      </c>
      <c r="B37" s="18" t="s">
        <v>525</v>
      </c>
      <c r="C37" s="16" t="s">
        <v>688</v>
      </c>
      <c r="D37" s="19">
        <v>36770</v>
      </c>
      <c r="E37" s="19">
        <v>37134</v>
      </c>
      <c r="F37" s="16" t="s">
        <v>689</v>
      </c>
      <c r="G37" s="16" t="s">
        <v>690</v>
      </c>
      <c r="H37" s="18"/>
      <c r="I37" s="24">
        <f>6.201/I$1</f>
        <v>0.20003225806451611</v>
      </c>
      <c r="J37" s="20">
        <v>0</v>
      </c>
      <c r="K37" s="20">
        <v>0</v>
      </c>
      <c r="L37" s="20">
        <v>0</v>
      </c>
      <c r="M37" s="20">
        <v>0</v>
      </c>
      <c r="N37" s="234">
        <v>0</v>
      </c>
      <c r="O37" s="20">
        <f t="shared" si="1"/>
        <v>0.20003225806451611</v>
      </c>
      <c r="P37" s="33">
        <v>69310</v>
      </c>
      <c r="Q37" s="123">
        <v>2048</v>
      </c>
      <c r="R37" s="16" t="s">
        <v>693</v>
      </c>
      <c r="S37" s="25">
        <f t="shared" si="0"/>
        <v>12699.647999999999</v>
      </c>
      <c r="T37" s="403"/>
      <c r="U37" s="246">
        <v>386340</v>
      </c>
      <c r="V37" s="112"/>
      <c r="W37" s="112"/>
    </row>
    <row r="38" spans="1:23" s="47" customFormat="1" x14ac:dyDescent="0.2">
      <c r="A38" s="16" t="s">
        <v>451</v>
      </c>
      <c r="B38" s="18" t="s">
        <v>525</v>
      </c>
      <c r="C38" s="16" t="s">
        <v>755</v>
      </c>
      <c r="D38" s="19">
        <v>36861</v>
      </c>
      <c r="E38" s="19">
        <v>36981</v>
      </c>
      <c r="F38" s="16" t="s">
        <v>748</v>
      </c>
      <c r="G38" s="16" t="s">
        <v>756</v>
      </c>
      <c r="H38" s="18"/>
      <c r="I38" s="450">
        <f>2.42/I1</f>
        <v>7.8064516129032258E-2</v>
      </c>
      <c r="J38" s="20"/>
      <c r="K38" s="20"/>
      <c r="L38" s="20"/>
      <c r="M38" s="20"/>
      <c r="N38" s="234"/>
      <c r="O38" s="20"/>
      <c r="P38" s="33">
        <v>70022</v>
      </c>
      <c r="Q38" s="123">
        <v>2129</v>
      </c>
      <c r="R38" s="16" t="s">
        <v>757</v>
      </c>
      <c r="S38" s="25">
        <f>+Q38*I38*I1</f>
        <v>5152.1799999999994</v>
      </c>
      <c r="T38" s="403"/>
      <c r="U38" s="246">
        <v>509271</v>
      </c>
      <c r="V38" s="112"/>
      <c r="W38" s="112"/>
    </row>
    <row r="39" spans="1:23" s="47" customFormat="1" x14ac:dyDescent="0.2">
      <c r="A39" s="16" t="s">
        <v>418</v>
      </c>
      <c r="B39" s="18" t="s">
        <v>525</v>
      </c>
      <c r="C39" s="18" t="s">
        <v>527</v>
      </c>
      <c r="D39" s="19">
        <v>36434</v>
      </c>
      <c r="E39" s="19">
        <v>36714</v>
      </c>
      <c r="F39" s="16" t="s">
        <v>526</v>
      </c>
      <c r="G39" s="16" t="s">
        <v>527</v>
      </c>
      <c r="H39" s="18"/>
      <c r="I39" s="24">
        <v>0</v>
      </c>
      <c r="J39" s="20">
        <v>0</v>
      </c>
      <c r="K39" s="20">
        <v>0</v>
      </c>
      <c r="L39" s="20">
        <v>0</v>
      </c>
      <c r="M39" s="20">
        <v>0</v>
      </c>
      <c r="N39" s="234">
        <v>0</v>
      </c>
      <c r="O39" s="20">
        <f t="shared" si="1"/>
        <v>0</v>
      </c>
      <c r="P39" s="33"/>
      <c r="Q39" s="18">
        <v>40000</v>
      </c>
      <c r="R39" s="16"/>
      <c r="S39" s="25">
        <f t="shared" si="0"/>
        <v>0</v>
      </c>
      <c r="T39" s="25"/>
      <c r="U39" s="246"/>
      <c r="V39" s="112"/>
      <c r="W39" s="112"/>
    </row>
    <row r="40" spans="1:23" s="47" customFormat="1" x14ac:dyDescent="0.2">
      <c r="A40" s="16"/>
      <c r="B40" s="18"/>
      <c r="C40" s="18"/>
      <c r="D40" s="19"/>
      <c r="E40" s="19"/>
      <c r="F40" s="16"/>
      <c r="G40" s="16"/>
      <c r="H40" s="18"/>
      <c r="I40" s="24"/>
      <c r="J40" s="20"/>
      <c r="K40" s="20"/>
      <c r="L40" s="20"/>
      <c r="M40" s="20"/>
      <c r="N40" s="234"/>
      <c r="O40" s="20"/>
      <c r="P40" s="33"/>
      <c r="Q40" s="18"/>
      <c r="R40" s="16"/>
      <c r="S40" s="25"/>
      <c r="T40" s="25"/>
      <c r="U40" s="246"/>
      <c r="V40" s="112"/>
      <c r="W40" s="112"/>
    </row>
    <row r="41" spans="1:23" s="47" customFormat="1" x14ac:dyDescent="0.2">
      <c r="A41" s="16"/>
      <c r="B41" s="18"/>
      <c r="C41" s="18"/>
      <c r="D41" s="400"/>
      <c r="E41" s="19"/>
      <c r="F41" s="16"/>
      <c r="G41" s="16"/>
      <c r="H41" s="18"/>
      <c r="I41" s="24"/>
      <c r="J41" s="20"/>
      <c r="K41" s="20"/>
      <c r="L41" s="20"/>
      <c r="M41" s="20"/>
      <c r="N41" s="234"/>
      <c r="O41" s="20"/>
      <c r="P41" s="33"/>
      <c r="Q41" s="123">
        <f>SUM(Q27:Q40)</f>
        <v>69533</v>
      </c>
      <c r="R41" s="274" t="s">
        <v>536</v>
      </c>
      <c r="S41" s="36">
        <f>SUM(S27:S40)</f>
        <v>85326.443999999989</v>
      </c>
      <c r="T41" s="25"/>
      <c r="U41" s="246"/>
      <c r="V41" s="112"/>
      <c r="W41" s="112"/>
    </row>
    <row r="42" spans="1:23" s="47" customFormat="1" x14ac:dyDescent="0.2">
      <c r="A42" s="16"/>
      <c r="B42" s="18"/>
      <c r="C42" s="18"/>
      <c r="D42" s="400"/>
      <c r="E42" s="19"/>
      <c r="F42" s="16"/>
      <c r="G42" s="16"/>
      <c r="H42" s="18"/>
      <c r="I42" s="24"/>
      <c r="J42" s="20"/>
      <c r="K42" s="20"/>
      <c r="L42" s="20"/>
      <c r="M42" s="20"/>
      <c r="N42" s="234"/>
      <c r="O42" s="20"/>
      <c r="P42" s="33"/>
      <c r="Q42" s="123"/>
      <c r="R42" s="274" t="s">
        <v>702</v>
      </c>
      <c r="S42" s="36">
        <v>0</v>
      </c>
      <c r="T42" s="16"/>
      <c r="U42" s="246"/>
      <c r="V42" s="112"/>
      <c r="W42" s="112"/>
    </row>
    <row r="43" spans="1:23" s="47" customFormat="1" x14ac:dyDescent="0.2">
      <c r="A43" s="16"/>
      <c r="B43" s="18"/>
      <c r="C43" s="18"/>
      <c r="D43" s="19"/>
      <c r="E43" s="19"/>
      <c r="F43" s="16"/>
      <c r="G43" s="16"/>
      <c r="H43" s="18"/>
      <c r="I43" s="24"/>
      <c r="J43" s="20"/>
      <c r="K43" s="20"/>
      <c r="L43" s="20"/>
      <c r="M43" s="20"/>
      <c r="N43" s="234"/>
      <c r="O43" s="20"/>
      <c r="P43" s="33"/>
      <c r="Q43" s="260"/>
      <c r="R43" s="274" t="s">
        <v>665</v>
      </c>
      <c r="S43" s="36">
        <v>0</v>
      </c>
      <c r="T43" s="25"/>
      <c r="U43" s="246"/>
      <c r="V43" s="112"/>
      <c r="W43" s="112"/>
    </row>
    <row r="44" spans="1:23" s="47" customFormat="1" ht="13.5" thickBot="1" x14ac:dyDescent="0.25">
      <c r="A44" s="16"/>
      <c r="B44" s="18"/>
      <c r="C44" s="18"/>
      <c r="D44" s="19"/>
      <c r="E44" s="19"/>
      <c r="F44" s="16"/>
      <c r="G44" s="16"/>
      <c r="H44" s="18"/>
      <c r="I44" s="24"/>
      <c r="J44" s="20"/>
      <c r="K44" s="20"/>
      <c r="L44" s="20"/>
      <c r="M44" s="20"/>
      <c r="N44" s="234"/>
      <c r="O44" s="20"/>
      <c r="P44" s="33"/>
      <c r="Q44" s="260"/>
      <c r="R44" s="274" t="s">
        <v>666</v>
      </c>
      <c r="S44" s="399">
        <f>+S41-S43</f>
        <v>85326.443999999989</v>
      </c>
      <c r="T44" s="25"/>
      <c r="U44" s="246"/>
      <c r="V44" s="112"/>
      <c r="W44" s="112"/>
    </row>
    <row r="45" spans="1:23" s="47" customFormat="1" ht="13.5" thickTop="1" x14ac:dyDescent="0.2">
      <c r="A45" s="16"/>
      <c r="B45" s="18"/>
      <c r="C45" s="18"/>
      <c r="D45" s="19"/>
      <c r="E45" s="19"/>
      <c r="F45" s="16"/>
      <c r="G45" s="16"/>
      <c r="H45" s="18"/>
      <c r="I45" s="24"/>
      <c r="J45" s="20"/>
      <c r="K45" s="20"/>
      <c r="L45" s="20"/>
      <c r="M45" s="20"/>
      <c r="N45" s="234"/>
      <c r="O45" s="20"/>
      <c r="P45" s="33"/>
      <c r="Q45" s="18"/>
      <c r="R45" s="16"/>
      <c r="S45" s="25"/>
      <c r="T45" s="25"/>
      <c r="U45" s="246"/>
      <c r="V45" s="112"/>
      <c r="W45" s="112"/>
    </row>
    <row r="46" spans="1:23" s="386" customFormat="1" x14ac:dyDescent="0.2">
      <c r="A46" s="379" t="s">
        <v>49</v>
      </c>
      <c r="B46" s="380" t="s">
        <v>50</v>
      </c>
      <c r="C46" s="380" t="s">
        <v>51</v>
      </c>
      <c r="D46" s="381" t="s">
        <v>52</v>
      </c>
      <c r="E46" s="381"/>
      <c r="F46" s="379" t="s">
        <v>53</v>
      </c>
      <c r="G46" s="379" t="s">
        <v>54</v>
      </c>
      <c r="H46" s="380" t="s">
        <v>528</v>
      </c>
      <c r="I46" s="382" t="s">
        <v>56</v>
      </c>
      <c r="J46" s="380" t="s">
        <v>57</v>
      </c>
      <c r="K46" s="380" t="s">
        <v>58</v>
      </c>
      <c r="L46" s="380" t="s">
        <v>59</v>
      </c>
      <c r="M46" s="380" t="s">
        <v>60</v>
      </c>
      <c r="N46" s="383" t="s">
        <v>62</v>
      </c>
      <c r="O46" s="380" t="s">
        <v>63</v>
      </c>
      <c r="P46" s="384" t="s">
        <v>504</v>
      </c>
      <c r="Q46" s="380" t="s">
        <v>65</v>
      </c>
      <c r="R46" s="379" t="s">
        <v>66</v>
      </c>
      <c r="S46" s="374" t="s">
        <v>505</v>
      </c>
      <c r="T46" s="374" t="s">
        <v>506</v>
      </c>
      <c r="U46" s="385" t="s">
        <v>507</v>
      </c>
      <c r="V46" s="377"/>
      <c r="W46" s="377"/>
    </row>
    <row r="47" spans="1:23" s="47" customFormat="1" x14ac:dyDescent="0.2">
      <c r="A47" s="16" t="s">
        <v>656</v>
      </c>
      <c r="B47" s="16" t="s">
        <v>626</v>
      </c>
      <c r="C47" s="18" t="s">
        <v>662</v>
      </c>
      <c r="D47" s="19">
        <v>36631</v>
      </c>
      <c r="E47" s="19">
        <v>36981</v>
      </c>
      <c r="F47" s="16" t="s">
        <v>565</v>
      </c>
      <c r="G47" s="16"/>
      <c r="H47" s="18" t="s">
        <v>663</v>
      </c>
      <c r="I47" s="24">
        <v>0.65</v>
      </c>
      <c r="J47" s="20">
        <v>0</v>
      </c>
      <c r="K47" s="20">
        <v>2.2000000000000001E-3</v>
      </c>
      <c r="L47" s="20">
        <v>7.1999999999999998E-3</v>
      </c>
      <c r="M47" s="20">
        <v>1.3100000000000001E-2</v>
      </c>
      <c r="N47" s="234">
        <v>0</v>
      </c>
      <c r="O47" s="20">
        <f>SUM(I47:M47)</f>
        <v>0.67249999999999999</v>
      </c>
      <c r="P47" s="33" t="s">
        <v>627</v>
      </c>
      <c r="Q47" s="18">
        <v>36000</v>
      </c>
      <c r="R47" s="37" t="s">
        <v>628</v>
      </c>
      <c r="S47" s="25">
        <f>+Q47*I47</f>
        <v>23400</v>
      </c>
      <c r="T47" s="25"/>
      <c r="U47" s="252">
        <v>247741</v>
      </c>
      <c r="V47" s="112"/>
      <c r="W47" s="112"/>
    </row>
    <row r="48" spans="1:23" s="47" customFormat="1" x14ac:dyDescent="0.2">
      <c r="A48" s="16"/>
      <c r="B48" s="18"/>
      <c r="C48" s="18"/>
      <c r="D48" s="19"/>
      <c r="E48" s="19"/>
      <c r="F48" s="16"/>
      <c r="G48" s="16"/>
      <c r="H48" s="18"/>
      <c r="I48" s="24"/>
      <c r="J48" s="20"/>
      <c r="K48" s="20"/>
      <c r="L48" s="20"/>
      <c r="M48" s="20"/>
      <c r="N48" s="234"/>
      <c r="O48" s="20"/>
      <c r="P48" s="232"/>
      <c r="Q48" s="18"/>
      <c r="R48" s="16"/>
      <c r="S48" s="25"/>
      <c r="T48" s="25"/>
      <c r="U48" s="252"/>
      <c r="V48" s="112"/>
      <c r="W48" s="112"/>
    </row>
    <row r="49" spans="1:23" s="47" customFormat="1" x14ac:dyDescent="0.2">
      <c r="A49" s="16"/>
      <c r="B49" s="18"/>
      <c r="C49" s="18"/>
      <c r="D49" s="19"/>
      <c r="E49" s="19"/>
      <c r="F49" s="16"/>
      <c r="G49" s="16"/>
      <c r="H49" s="18"/>
      <c r="I49" s="24"/>
      <c r="J49" s="20"/>
      <c r="K49" s="20"/>
      <c r="L49" s="20"/>
      <c r="M49" s="20"/>
      <c r="N49" s="234"/>
      <c r="O49" s="20"/>
      <c r="P49" s="232"/>
      <c r="Q49" s="123">
        <f>SUM(Q47:Q48)</f>
        <v>36000</v>
      </c>
      <c r="R49" s="274" t="s">
        <v>536</v>
      </c>
      <c r="S49" s="36">
        <f>SUM(S47:S48)</f>
        <v>23400</v>
      </c>
      <c r="T49" s="25"/>
      <c r="U49" s="252"/>
      <c r="V49" s="112"/>
      <c r="W49" s="112"/>
    </row>
    <row r="50" spans="1:23" s="47" customFormat="1" x14ac:dyDescent="0.2">
      <c r="A50" s="16"/>
      <c r="B50" s="18"/>
      <c r="C50" s="18"/>
      <c r="D50" s="19"/>
      <c r="E50" s="19"/>
      <c r="F50" s="16"/>
      <c r="G50" s="16"/>
      <c r="H50" s="18"/>
      <c r="I50" s="24"/>
      <c r="J50" s="20"/>
      <c r="K50" s="20"/>
      <c r="L50" s="20"/>
      <c r="M50" s="20"/>
      <c r="N50" s="234"/>
      <c r="O50" s="20"/>
      <c r="P50" s="232"/>
      <c r="Q50" s="260"/>
      <c r="R50" s="274" t="s">
        <v>665</v>
      </c>
      <c r="S50" s="36">
        <v>0</v>
      </c>
      <c r="T50" s="25"/>
      <c r="U50" s="252"/>
      <c r="V50" s="112"/>
      <c r="W50" s="112"/>
    </row>
    <row r="51" spans="1:23" s="47" customFormat="1" ht="13.5" thickBot="1" x14ac:dyDescent="0.25">
      <c r="A51" s="16"/>
      <c r="B51" s="18"/>
      <c r="C51" s="18"/>
      <c r="D51" s="19"/>
      <c r="E51" s="19"/>
      <c r="F51" s="16"/>
      <c r="G51" s="16"/>
      <c r="H51" s="18"/>
      <c r="I51" s="24"/>
      <c r="J51" s="20"/>
      <c r="K51" s="20"/>
      <c r="L51" s="20"/>
      <c r="M51" s="20"/>
      <c r="N51" s="234"/>
      <c r="O51" s="20"/>
      <c r="P51" s="232"/>
      <c r="Q51" s="260"/>
      <c r="R51" s="274" t="s">
        <v>666</v>
      </c>
      <c r="S51" s="398">
        <f>+S49-S50</f>
        <v>23400</v>
      </c>
      <c r="T51" s="25"/>
      <c r="U51" s="252"/>
      <c r="V51" s="112"/>
      <c r="W51" s="112"/>
    </row>
    <row r="52" spans="1:23" s="47" customFormat="1" ht="13.5" thickTop="1" x14ac:dyDescent="0.2">
      <c r="A52" s="16"/>
      <c r="B52" s="18"/>
      <c r="C52" s="18"/>
      <c r="D52" s="19"/>
      <c r="E52" s="19"/>
      <c r="F52" s="16"/>
      <c r="G52" s="16"/>
      <c r="H52" s="18"/>
      <c r="I52" s="24"/>
      <c r="J52" s="20"/>
      <c r="K52" s="20"/>
      <c r="L52" s="20"/>
      <c r="M52" s="20"/>
      <c r="N52" s="234"/>
      <c r="O52" s="20"/>
      <c r="P52" s="232"/>
      <c r="Q52" s="18"/>
      <c r="R52" s="16"/>
      <c r="S52" s="25"/>
      <c r="T52" s="25"/>
      <c r="U52" s="252"/>
      <c r="V52" s="112"/>
      <c r="W52" s="112"/>
    </row>
    <row r="53" spans="1:23" x14ac:dyDescent="0.2">
      <c r="A53" s="238" t="s">
        <v>49</v>
      </c>
      <c r="B53" s="239" t="s">
        <v>50</v>
      </c>
      <c r="C53" s="239" t="s">
        <v>51</v>
      </c>
      <c r="D53" s="240" t="s">
        <v>52</v>
      </c>
      <c r="E53" s="240"/>
      <c r="F53" s="238" t="s">
        <v>53</v>
      </c>
      <c r="G53" s="238" t="s">
        <v>54</v>
      </c>
      <c r="H53" s="239" t="s">
        <v>528</v>
      </c>
      <c r="I53" s="241" t="s">
        <v>56</v>
      </c>
      <c r="J53" s="239" t="s">
        <v>57</v>
      </c>
      <c r="K53" s="239" t="s">
        <v>58</v>
      </c>
      <c r="L53" s="239" t="s">
        <v>59</v>
      </c>
      <c r="M53" s="239" t="s">
        <v>60</v>
      </c>
      <c r="N53" s="242" t="s">
        <v>62</v>
      </c>
      <c r="O53" s="239" t="s">
        <v>63</v>
      </c>
      <c r="P53" s="243" t="s">
        <v>504</v>
      </c>
      <c r="Q53" s="239" t="s">
        <v>65</v>
      </c>
      <c r="R53" s="238" t="s">
        <v>66</v>
      </c>
      <c r="S53" s="229" t="s">
        <v>505</v>
      </c>
      <c r="T53" s="244" t="s">
        <v>506</v>
      </c>
      <c r="U53" s="245" t="s">
        <v>507</v>
      </c>
      <c r="V53" s="112"/>
      <c r="W53" s="112"/>
    </row>
    <row r="54" spans="1:23" s="47" customFormat="1" x14ac:dyDescent="0.2">
      <c r="A54" s="16" t="s">
        <v>67</v>
      </c>
      <c r="B54" s="18" t="s">
        <v>79</v>
      </c>
      <c r="C54" s="18" t="s">
        <v>79</v>
      </c>
      <c r="D54" s="19">
        <v>36100</v>
      </c>
      <c r="E54" s="19">
        <v>39022</v>
      </c>
      <c r="F54" s="16">
        <v>1</v>
      </c>
      <c r="G54" s="16">
        <v>2</v>
      </c>
      <c r="H54" s="18" t="s">
        <v>68</v>
      </c>
      <c r="I54" s="24">
        <f>(14.1123+0.2)/I$1</f>
        <v>0.46168709677419351</v>
      </c>
      <c r="J54" s="20">
        <v>5.4000000000000003E-3</v>
      </c>
      <c r="K54" s="20">
        <v>2.2000000000000001E-3</v>
      </c>
      <c r="L54" s="20">
        <v>7.4999999999999997E-3</v>
      </c>
      <c r="M54" s="20">
        <v>1.1999999999999999E-3</v>
      </c>
      <c r="N54" s="21">
        <v>7.0000000000000001E-3</v>
      </c>
      <c r="O54" s="20">
        <f>SUM(I54:M54)</f>
        <v>0.47798709677419349</v>
      </c>
      <c r="P54" s="33" t="s">
        <v>80</v>
      </c>
      <c r="Q54" s="18">
        <v>2017</v>
      </c>
      <c r="R54" s="16" t="s">
        <v>248</v>
      </c>
      <c r="S54" s="25">
        <f>I54*I$1*Q54</f>
        <v>28867.909099999997</v>
      </c>
      <c r="T54" s="25"/>
      <c r="U54" s="112">
        <v>77758</v>
      </c>
      <c r="V54" s="112"/>
    </row>
    <row r="55" spans="1:23" s="47" customFormat="1" x14ac:dyDescent="0.2">
      <c r="A55" s="16" t="s">
        <v>67</v>
      </c>
      <c r="B55" s="18" t="s">
        <v>79</v>
      </c>
      <c r="C55" s="18" t="s">
        <v>72</v>
      </c>
      <c r="D55" s="19">
        <v>36100</v>
      </c>
      <c r="E55" s="19">
        <v>39539</v>
      </c>
      <c r="F55" s="16" t="s">
        <v>81</v>
      </c>
      <c r="G55" s="16" t="s">
        <v>82</v>
      </c>
      <c r="H55" s="18" t="s">
        <v>47</v>
      </c>
      <c r="I55" s="24">
        <f>(8.5058)/I$1</f>
        <v>0.27438064516129035</v>
      </c>
      <c r="J55" s="20">
        <v>3.0000000000000001E-3</v>
      </c>
      <c r="K55" s="20">
        <v>2.2000000000000001E-3</v>
      </c>
      <c r="L55" s="20">
        <v>0</v>
      </c>
      <c r="M55" s="20">
        <v>6.9999999999999999E-4</v>
      </c>
      <c r="N55" s="21">
        <v>0</v>
      </c>
      <c r="O55" s="20">
        <f>SUM(I55:M55)</f>
        <v>0.28028064516129031</v>
      </c>
      <c r="P55" s="33" t="s">
        <v>83</v>
      </c>
      <c r="Q55" s="18">
        <v>35465</v>
      </c>
      <c r="R55" s="16" t="s">
        <v>249</v>
      </c>
      <c r="S55" s="25">
        <f>I55*I$1*Q55</f>
        <v>301658.19700000004</v>
      </c>
      <c r="T55" s="25"/>
      <c r="U55" s="112">
        <v>77729</v>
      </c>
      <c r="V55" s="112"/>
    </row>
    <row r="56" spans="1:23" s="47" customFormat="1" x14ac:dyDescent="0.2">
      <c r="A56" s="16"/>
      <c r="B56" s="18"/>
      <c r="C56" s="18"/>
      <c r="D56" s="19"/>
      <c r="E56" s="19"/>
      <c r="F56" s="16"/>
      <c r="G56" s="16"/>
      <c r="H56" s="18"/>
      <c r="I56" s="24"/>
      <c r="J56" s="20"/>
      <c r="K56" s="20"/>
      <c r="L56" s="20"/>
      <c r="M56" s="20"/>
      <c r="N56" s="21"/>
      <c r="O56" s="20"/>
      <c r="P56" s="33"/>
      <c r="Q56" s="18"/>
      <c r="R56" s="16"/>
      <c r="S56" s="25"/>
      <c r="T56" s="25"/>
      <c r="U56" s="112"/>
      <c r="V56" s="112"/>
    </row>
    <row r="57" spans="1:23" s="47" customFormat="1" x14ac:dyDescent="0.2">
      <c r="A57" s="16"/>
      <c r="B57" s="18"/>
      <c r="C57" s="18"/>
      <c r="D57" s="19"/>
      <c r="E57" s="19"/>
      <c r="F57" s="16"/>
      <c r="G57" s="16"/>
      <c r="H57" s="18"/>
      <c r="I57" s="24"/>
      <c r="J57" s="20"/>
      <c r="K57" s="20"/>
      <c r="L57" s="20"/>
      <c r="M57" s="20"/>
      <c r="N57" s="234"/>
      <c r="O57" s="20"/>
      <c r="P57" s="232"/>
      <c r="Q57" s="123">
        <f>SUM(Q54:Q56)</f>
        <v>37482</v>
      </c>
      <c r="R57" s="274" t="s">
        <v>536</v>
      </c>
      <c r="S57" s="36">
        <f>SUM(S54:S56)</f>
        <v>330526.10610000003</v>
      </c>
      <c r="T57" s="25"/>
      <c r="U57" s="252"/>
      <c r="V57" s="112"/>
      <c r="W57" s="112"/>
    </row>
    <row r="58" spans="1:23" s="47" customFormat="1" x14ac:dyDescent="0.2">
      <c r="A58" s="16"/>
      <c r="B58" s="18"/>
      <c r="C58" s="18"/>
      <c r="D58" s="19"/>
      <c r="E58" s="19"/>
      <c r="F58" s="16"/>
      <c r="G58" s="16"/>
      <c r="H58" s="18"/>
      <c r="I58" s="24"/>
      <c r="J58" s="20"/>
      <c r="K58" s="20"/>
      <c r="L58" s="20"/>
      <c r="M58" s="20"/>
      <c r="N58" s="234"/>
      <c r="O58" s="20"/>
      <c r="P58" s="232"/>
      <c r="Q58" s="260"/>
      <c r="R58" s="274" t="s">
        <v>665</v>
      </c>
      <c r="S58" s="36">
        <f>SUM(S55)</f>
        <v>301658.19700000004</v>
      </c>
      <c r="T58" s="25"/>
      <c r="U58" s="252"/>
      <c r="V58" s="112"/>
      <c r="W58" s="112"/>
    </row>
    <row r="59" spans="1:23" s="47" customFormat="1" ht="13.5" thickBot="1" x14ac:dyDescent="0.25">
      <c r="A59" s="16"/>
      <c r="B59" s="18"/>
      <c r="C59" s="18"/>
      <c r="D59" s="19"/>
      <c r="E59" s="19"/>
      <c r="F59" s="16"/>
      <c r="G59" s="16"/>
      <c r="H59" s="18"/>
      <c r="I59" s="24"/>
      <c r="J59" s="20"/>
      <c r="K59" s="20"/>
      <c r="L59" s="20"/>
      <c r="M59" s="20"/>
      <c r="N59" s="234"/>
      <c r="O59" s="20"/>
      <c r="P59" s="232"/>
      <c r="Q59" s="260"/>
      <c r="R59" s="274" t="s">
        <v>666</v>
      </c>
      <c r="S59" s="398">
        <f>+S57-S58</f>
        <v>28867.90909999999</v>
      </c>
      <c r="T59" s="25"/>
      <c r="U59" s="252"/>
      <c r="V59" s="112"/>
      <c r="W59" s="112"/>
    </row>
    <row r="60" spans="1:23" s="47" customFormat="1" ht="13.5" thickTop="1" x14ac:dyDescent="0.2">
      <c r="A60" s="16"/>
      <c r="B60" s="18"/>
      <c r="C60" s="18"/>
      <c r="D60" s="19"/>
      <c r="E60" s="19"/>
      <c r="F60" s="16"/>
      <c r="G60" s="16"/>
      <c r="H60" s="18"/>
      <c r="I60" s="24"/>
      <c r="J60" s="20"/>
      <c r="K60" s="20"/>
      <c r="L60" s="20"/>
      <c r="M60" s="20"/>
      <c r="N60" s="234"/>
      <c r="O60" s="20"/>
      <c r="P60" s="232"/>
      <c r="Q60" s="18"/>
      <c r="R60" s="16"/>
      <c r="S60" s="25"/>
      <c r="T60" s="25"/>
      <c r="U60" s="252"/>
      <c r="V60" s="112"/>
      <c r="W60" s="112"/>
    </row>
    <row r="61" spans="1:23" s="386" customFormat="1" x14ac:dyDescent="0.2">
      <c r="A61" s="379" t="s">
        <v>49</v>
      </c>
      <c r="B61" s="380" t="s">
        <v>50</v>
      </c>
      <c r="C61" s="380" t="s">
        <v>51</v>
      </c>
      <c r="D61" s="381" t="s">
        <v>52</v>
      </c>
      <c r="E61" s="381"/>
      <c r="F61" s="379" t="s">
        <v>53</v>
      </c>
      <c r="G61" s="379" t="s">
        <v>54</v>
      </c>
      <c r="H61" s="380" t="s">
        <v>55</v>
      </c>
      <c r="I61" s="382" t="s">
        <v>56</v>
      </c>
      <c r="J61" s="380" t="s">
        <v>57</v>
      </c>
      <c r="K61" s="380" t="s">
        <v>58</v>
      </c>
      <c r="L61" s="380" t="s">
        <v>59</v>
      </c>
      <c r="M61" s="380" t="s">
        <v>60</v>
      </c>
      <c r="N61" s="387" t="s">
        <v>62</v>
      </c>
      <c r="O61" s="380" t="s">
        <v>63</v>
      </c>
      <c r="P61" s="384" t="s">
        <v>64</v>
      </c>
      <c r="Q61" s="380" t="s">
        <v>65</v>
      </c>
      <c r="R61" s="379" t="s">
        <v>66</v>
      </c>
      <c r="S61" s="374" t="s">
        <v>472</v>
      </c>
      <c r="T61" s="374" t="s">
        <v>473</v>
      </c>
      <c r="U61" s="377"/>
      <c r="V61" s="377"/>
    </row>
    <row r="62" spans="1:23" s="47" customFormat="1" x14ac:dyDescent="0.2">
      <c r="A62" s="16" t="s">
        <v>67</v>
      </c>
      <c r="B62" s="18" t="s">
        <v>245</v>
      </c>
      <c r="C62" s="18" t="s">
        <v>84</v>
      </c>
      <c r="D62" s="19">
        <v>36100</v>
      </c>
      <c r="E62" s="19">
        <v>39387</v>
      </c>
      <c r="F62" s="16" t="s">
        <v>76</v>
      </c>
      <c r="G62" s="16" t="s">
        <v>246</v>
      </c>
      <c r="H62" s="18" t="s">
        <v>47</v>
      </c>
      <c r="I62" s="20">
        <f>6.1038/I$1</f>
        <v>0.19689677419354837</v>
      </c>
      <c r="J62" s="20">
        <v>1.2999999999999999E-3</v>
      </c>
      <c r="K62" s="20">
        <v>2.2000000000000001E-3</v>
      </c>
      <c r="L62" s="20">
        <v>0</v>
      </c>
      <c r="M62" s="20">
        <v>0</v>
      </c>
      <c r="N62" s="21">
        <v>0.02</v>
      </c>
      <c r="O62" s="20">
        <f>SUM(I62:M62)</f>
        <v>0.20039677419354837</v>
      </c>
      <c r="P62" s="33" t="s">
        <v>69</v>
      </c>
      <c r="Q62" s="18">
        <v>117</v>
      </c>
      <c r="R62" s="16" t="s">
        <v>247</v>
      </c>
      <c r="S62" s="106">
        <f>I62*I$1*Q62</f>
        <v>714.14459999999997</v>
      </c>
      <c r="T62" s="106"/>
      <c r="U62" s="112">
        <v>79923</v>
      </c>
      <c r="V62" s="112"/>
    </row>
    <row r="63" spans="1:23" s="47" customFormat="1" x14ac:dyDescent="0.2">
      <c r="A63" s="16" t="s">
        <v>67</v>
      </c>
      <c r="B63" s="18" t="s">
        <v>245</v>
      </c>
      <c r="C63" s="18" t="s">
        <v>84</v>
      </c>
      <c r="D63" s="19">
        <v>36861</v>
      </c>
      <c r="E63" s="19">
        <v>37195</v>
      </c>
      <c r="F63" s="16" t="s">
        <v>76</v>
      </c>
      <c r="G63" s="16" t="s">
        <v>246</v>
      </c>
      <c r="H63" s="18" t="s">
        <v>47</v>
      </c>
      <c r="I63" s="20">
        <f>6.1038/I$1</f>
        <v>0.19689677419354837</v>
      </c>
      <c r="J63" s="20">
        <v>1.2999999999999999E-3</v>
      </c>
      <c r="K63" s="20">
        <v>2.2000000000000001E-3</v>
      </c>
      <c r="L63" s="20">
        <v>0</v>
      </c>
      <c r="M63" s="20">
        <v>0</v>
      </c>
      <c r="N63" s="21">
        <v>0.02</v>
      </c>
      <c r="O63" s="20">
        <f>SUM(I63:M63)</f>
        <v>0.20039677419354837</v>
      </c>
      <c r="P63" s="33" t="s">
        <v>740</v>
      </c>
      <c r="Q63" s="18">
        <v>9189</v>
      </c>
      <c r="R63" s="16" t="s">
        <v>664</v>
      </c>
      <c r="S63" s="106">
        <f>I63*I$1*Q63</f>
        <v>56087.818199999994</v>
      </c>
      <c r="T63" s="106"/>
      <c r="U63" s="112">
        <v>506530</v>
      </c>
      <c r="V63" s="112"/>
    </row>
    <row r="64" spans="1:23" s="47" customFormat="1" x14ac:dyDescent="0.2">
      <c r="A64" s="16"/>
      <c r="B64" s="18"/>
      <c r="C64" s="18"/>
      <c r="D64" s="19"/>
      <c r="E64" s="19"/>
      <c r="F64" s="16"/>
      <c r="G64" s="16"/>
      <c r="H64" s="18"/>
      <c r="I64" s="24"/>
      <c r="J64" s="20"/>
      <c r="K64" s="20"/>
      <c r="L64" s="20"/>
      <c r="M64" s="20"/>
      <c r="N64" s="21"/>
      <c r="O64" s="20"/>
      <c r="P64" s="33"/>
      <c r="Q64" s="18"/>
      <c r="R64" s="16"/>
      <c r="S64" s="25"/>
      <c r="T64" s="25">
        <f>SUM(T62:T63)</f>
        <v>0</v>
      </c>
      <c r="U64" s="112"/>
      <c r="V64" s="112"/>
    </row>
    <row r="65" spans="1:23" s="47" customFormat="1" x14ac:dyDescent="0.2">
      <c r="A65" s="16"/>
      <c r="B65" s="18"/>
      <c r="C65" s="18"/>
      <c r="D65" s="19"/>
      <c r="E65" s="19"/>
      <c r="F65" s="16"/>
      <c r="G65" s="16"/>
      <c r="H65" s="18"/>
      <c r="I65" s="24"/>
      <c r="J65" s="20"/>
      <c r="K65" s="20"/>
      <c r="L65" s="20"/>
      <c r="M65" s="20"/>
      <c r="N65" s="234"/>
      <c r="O65" s="20"/>
      <c r="P65" s="232"/>
      <c r="Q65" s="123">
        <f>SUM(Q62:Q64)</f>
        <v>9306</v>
      </c>
      <c r="R65" s="274" t="s">
        <v>536</v>
      </c>
      <c r="S65" s="36">
        <f>SUM(S62:S64)</f>
        <v>56801.962799999994</v>
      </c>
      <c r="T65" s="25"/>
      <c r="U65" s="252"/>
      <c r="V65" s="112"/>
      <c r="W65" s="112"/>
    </row>
    <row r="66" spans="1:23" s="47" customFormat="1" x14ac:dyDescent="0.2">
      <c r="A66" s="16"/>
      <c r="B66" s="18"/>
      <c r="C66" s="18"/>
      <c r="D66" s="19"/>
      <c r="E66" s="19"/>
      <c r="F66" s="16"/>
      <c r="G66" s="16"/>
      <c r="H66" s="18"/>
      <c r="I66" s="24"/>
      <c r="J66" s="20"/>
      <c r="K66" s="20"/>
      <c r="L66" s="20"/>
      <c r="M66" s="20"/>
      <c r="N66" s="234"/>
      <c r="O66" s="20"/>
      <c r="P66" s="232"/>
      <c r="Q66" s="260"/>
      <c r="R66" s="274" t="s">
        <v>665</v>
      </c>
      <c r="S66" s="36">
        <f>SUM(S63)</f>
        <v>56087.818199999994</v>
      </c>
      <c r="T66" s="25"/>
      <c r="U66" s="252"/>
      <c r="V66" s="112"/>
      <c r="W66" s="112"/>
    </row>
    <row r="67" spans="1:23" s="47" customFormat="1" ht="13.5" thickBot="1" x14ac:dyDescent="0.25">
      <c r="A67" s="16"/>
      <c r="B67" s="18"/>
      <c r="C67" s="18"/>
      <c r="D67" s="19"/>
      <c r="E67" s="19"/>
      <c r="F67" s="16"/>
      <c r="G67" s="16"/>
      <c r="H67" s="18"/>
      <c r="I67" s="24"/>
      <c r="J67" s="20"/>
      <c r="K67" s="20"/>
      <c r="L67" s="20"/>
      <c r="M67" s="20"/>
      <c r="N67" s="234"/>
      <c r="O67" s="20"/>
      <c r="P67" s="232"/>
      <c r="Q67" s="260"/>
      <c r="R67" s="274" t="s">
        <v>666</v>
      </c>
      <c r="S67" s="398">
        <f>+S65-S66</f>
        <v>714.14459999999963</v>
      </c>
      <c r="T67" s="25"/>
      <c r="U67" s="252"/>
      <c r="V67" s="112"/>
      <c r="W67" s="112"/>
    </row>
    <row r="68" spans="1:23" s="47" customFormat="1" ht="13.5" thickTop="1" x14ac:dyDescent="0.2">
      <c r="A68" s="16"/>
      <c r="B68" s="18"/>
      <c r="C68" s="18"/>
      <c r="D68" s="19"/>
      <c r="E68" s="19"/>
      <c r="F68" s="16"/>
      <c r="G68" s="16"/>
      <c r="H68" s="18"/>
      <c r="I68" s="24"/>
      <c r="J68" s="20"/>
      <c r="K68" s="20"/>
      <c r="L68" s="20"/>
      <c r="M68" s="20"/>
      <c r="N68" s="234"/>
      <c r="O68" s="20"/>
      <c r="P68" s="232"/>
      <c r="Q68" s="18"/>
      <c r="R68" s="16"/>
      <c r="S68" s="25"/>
      <c r="T68" s="25"/>
      <c r="U68" s="252"/>
      <c r="V68" s="112"/>
      <c r="W68" s="112"/>
    </row>
    <row r="69" spans="1:23" s="386" customFormat="1" x14ac:dyDescent="0.2">
      <c r="A69" s="379" t="s">
        <v>49</v>
      </c>
      <c r="B69" s="380" t="s">
        <v>50</v>
      </c>
      <c r="C69" s="380" t="s">
        <v>51</v>
      </c>
      <c r="D69" s="381" t="s">
        <v>52</v>
      </c>
      <c r="E69" s="381"/>
      <c r="F69" s="379" t="s">
        <v>53</v>
      </c>
      <c r="G69" s="379" t="s">
        <v>54</v>
      </c>
      <c r="H69" s="380" t="s">
        <v>55</v>
      </c>
      <c r="I69" s="382" t="s">
        <v>56</v>
      </c>
      <c r="J69" s="380" t="s">
        <v>57</v>
      </c>
      <c r="K69" s="380" t="s">
        <v>58</v>
      </c>
      <c r="L69" s="380" t="s">
        <v>59</v>
      </c>
      <c r="M69" s="380" t="s">
        <v>60</v>
      </c>
      <c r="N69" s="387" t="s">
        <v>62</v>
      </c>
      <c r="O69" s="380" t="s">
        <v>63</v>
      </c>
      <c r="P69" s="384" t="s">
        <v>64</v>
      </c>
      <c r="Q69" s="380" t="s">
        <v>65</v>
      </c>
      <c r="R69" s="379" t="s">
        <v>66</v>
      </c>
      <c r="S69" s="374" t="s">
        <v>472</v>
      </c>
      <c r="T69" s="374" t="s">
        <v>473</v>
      </c>
      <c r="U69" s="377"/>
      <c r="V69" s="377"/>
    </row>
    <row r="70" spans="1:23" s="47" customFormat="1" x14ac:dyDescent="0.2">
      <c r="A70" s="16" t="s">
        <v>67</v>
      </c>
      <c r="B70" s="18" t="s">
        <v>73</v>
      </c>
      <c r="C70" s="18" t="s">
        <v>72</v>
      </c>
      <c r="D70" s="19">
        <v>36342</v>
      </c>
      <c r="E70" s="19">
        <v>39172</v>
      </c>
      <c r="F70" s="16" t="s">
        <v>74</v>
      </c>
      <c r="G70" s="16" t="s">
        <v>75</v>
      </c>
      <c r="H70" s="18" t="s">
        <v>70</v>
      </c>
      <c r="I70" s="24">
        <f>10.81/I1</f>
        <v>0.34870967741935488</v>
      </c>
      <c r="J70" s="20">
        <v>0</v>
      </c>
      <c r="K70" s="20">
        <v>2.2000000000000001E-3</v>
      </c>
      <c r="L70" s="20">
        <v>7.4999999999999997E-3</v>
      </c>
      <c r="M70" s="20">
        <v>0</v>
      </c>
      <c r="N70" s="230">
        <v>1.3100000000000001E-2</v>
      </c>
      <c r="O70" s="20">
        <f>SUM(I70:M70)</f>
        <v>0.35840967741935487</v>
      </c>
      <c r="P70" s="33">
        <v>29667</v>
      </c>
      <c r="Q70" s="18">
        <v>35000</v>
      </c>
      <c r="R70" s="401" t="s">
        <v>680</v>
      </c>
      <c r="S70" s="402">
        <f>I70*$I$1*Q70</f>
        <v>378350</v>
      </c>
      <c r="T70" s="25"/>
      <c r="U70" s="112" t="s">
        <v>684</v>
      </c>
      <c r="V70" s="112"/>
    </row>
    <row r="71" spans="1:23" s="47" customFormat="1" ht="12" customHeight="1" x14ac:dyDescent="0.2">
      <c r="A71" s="16" t="s">
        <v>377</v>
      </c>
      <c r="B71" s="18" t="s">
        <v>595</v>
      </c>
      <c r="C71" s="18" t="s">
        <v>337</v>
      </c>
      <c r="D71" s="19">
        <v>36617</v>
      </c>
      <c r="E71" s="19">
        <v>36829</v>
      </c>
      <c r="F71" s="16">
        <v>4</v>
      </c>
      <c r="G71" s="16">
        <v>6</v>
      </c>
      <c r="H71" s="18" t="s">
        <v>68</v>
      </c>
      <c r="I71" s="24">
        <f>0.76/I$1</f>
        <v>2.4516129032258065E-2</v>
      </c>
      <c r="J71" s="20">
        <v>0</v>
      </c>
      <c r="K71" s="20">
        <v>0</v>
      </c>
      <c r="L71" s="20">
        <v>0</v>
      </c>
      <c r="M71" s="20">
        <v>0</v>
      </c>
      <c r="N71" s="21">
        <v>1.01E-2</v>
      </c>
      <c r="O71" s="20">
        <f>SUM(I71:M71)</f>
        <v>2.4516129032258065E-2</v>
      </c>
      <c r="P71" s="33">
        <v>33141</v>
      </c>
      <c r="Q71" s="18">
        <v>5265</v>
      </c>
      <c r="R71" s="42" t="s">
        <v>47</v>
      </c>
      <c r="S71" s="402">
        <f>I71*$I$1*Q71</f>
        <v>4001.4</v>
      </c>
      <c r="T71" s="25"/>
      <c r="U71" s="112">
        <v>238860</v>
      </c>
      <c r="V71" s="112"/>
    </row>
    <row r="72" spans="1:23" s="47" customFormat="1" ht="12" customHeight="1" x14ac:dyDescent="0.2">
      <c r="A72" s="16" t="s">
        <v>792</v>
      </c>
      <c r="B72" s="18" t="s">
        <v>73</v>
      </c>
      <c r="C72" s="18" t="s">
        <v>337</v>
      </c>
      <c r="D72" s="19">
        <v>36896</v>
      </c>
      <c r="E72" s="19">
        <v>36922</v>
      </c>
      <c r="F72" s="16" t="s">
        <v>790</v>
      </c>
      <c r="G72" s="16" t="s">
        <v>791</v>
      </c>
      <c r="H72" s="18" t="s">
        <v>68</v>
      </c>
      <c r="I72" s="24">
        <v>0</v>
      </c>
      <c r="J72" s="20">
        <v>0</v>
      </c>
      <c r="K72" s="20">
        <v>0</v>
      </c>
      <c r="L72" s="20">
        <v>0</v>
      </c>
      <c r="M72" s="20">
        <v>0</v>
      </c>
      <c r="N72" s="21">
        <v>1.01E-2</v>
      </c>
      <c r="O72" s="20">
        <f>SUM(I72:M72)</f>
        <v>0</v>
      </c>
      <c r="P72" s="33">
        <v>2891</v>
      </c>
      <c r="Q72" s="18">
        <v>5000</v>
      </c>
      <c r="R72" s="42" t="s">
        <v>793</v>
      </c>
      <c r="S72" s="402"/>
      <c r="T72" s="25"/>
      <c r="U72" s="112">
        <v>238860</v>
      </c>
      <c r="V72" s="112"/>
    </row>
    <row r="73" spans="1:23" s="75" customFormat="1" x14ac:dyDescent="0.2">
      <c r="A73" s="274" t="s">
        <v>47</v>
      </c>
      <c r="B73" s="123" t="s">
        <v>47</v>
      </c>
      <c r="C73" s="123" t="s">
        <v>47</v>
      </c>
      <c r="D73" s="275" t="s">
        <v>47</v>
      </c>
      <c r="E73" s="275" t="s">
        <v>47</v>
      </c>
      <c r="F73" s="274" t="s">
        <v>47</v>
      </c>
      <c r="G73" s="274" t="s">
        <v>47</v>
      </c>
      <c r="H73" s="123" t="s">
        <v>47</v>
      </c>
      <c r="I73" s="276" t="s">
        <v>47</v>
      </c>
      <c r="J73" s="32" t="s">
        <v>47</v>
      </c>
      <c r="K73" s="32" t="s">
        <v>47</v>
      </c>
      <c r="L73" s="32" t="s">
        <v>47</v>
      </c>
      <c r="M73" s="32" t="s">
        <v>48</v>
      </c>
      <c r="N73" s="230" t="s">
        <v>47</v>
      </c>
      <c r="O73" s="32" t="s">
        <v>47</v>
      </c>
      <c r="P73" s="255" t="s">
        <v>47</v>
      </c>
      <c r="Q73" s="123" t="s">
        <v>47</v>
      </c>
      <c r="R73" s="274" t="s">
        <v>47</v>
      </c>
      <c r="S73" s="36"/>
      <c r="T73" s="36">
        <f>SUM(T69:T71)</f>
        <v>0</v>
      </c>
      <c r="U73" s="111"/>
      <c r="V73" s="111"/>
    </row>
    <row r="74" spans="1:23" s="75" customFormat="1" x14ac:dyDescent="0.2">
      <c r="A74" s="274"/>
      <c r="B74" s="123"/>
      <c r="C74" s="123">
        <f>65000/12</f>
        <v>5416.666666666667</v>
      </c>
      <c r="D74" s="275"/>
      <c r="E74" s="275"/>
      <c r="F74" s="274"/>
      <c r="G74" s="274"/>
      <c r="H74" s="123"/>
      <c r="I74" s="276"/>
      <c r="J74" s="32"/>
      <c r="K74" s="32"/>
      <c r="L74" s="32"/>
      <c r="M74" s="32"/>
      <c r="N74" s="366"/>
      <c r="O74" s="32"/>
      <c r="P74" s="388"/>
      <c r="Q74" s="123">
        <f>SUM(Q70:Q73)</f>
        <v>45265</v>
      </c>
      <c r="R74" s="274" t="s">
        <v>536</v>
      </c>
      <c r="S74" s="36">
        <f>SUM(S70:S73)</f>
        <v>382351.4</v>
      </c>
      <c r="T74" s="36"/>
      <c r="U74" s="259"/>
      <c r="V74" s="111"/>
      <c r="W74" s="111"/>
    </row>
    <row r="75" spans="1:23" s="47" customFormat="1" x14ac:dyDescent="0.2">
      <c r="A75" s="16"/>
      <c r="B75" s="18"/>
      <c r="C75" s="18"/>
      <c r="D75" s="19"/>
      <c r="E75" s="19"/>
      <c r="F75" s="16"/>
      <c r="G75" s="16"/>
      <c r="H75" s="18"/>
      <c r="I75" s="24"/>
      <c r="J75" s="20"/>
      <c r="K75" s="20"/>
      <c r="L75" s="20"/>
      <c r="M75" s="20"/>
      <c r="N75" s="234"/>
      <c r="O75" s="20"/>
      <c r="P75" s="232"/>
      <c r="Q75" s="260"/>
      <c r="R75" s="274" t="s">
        <v>665</v>
      </c>
      <c r="S75" s="36">
        <f>SUM(S70)</f>
        <v>378350</v>
      </c>
      <c r="T75" s="25"/>
      <c r="U75" s="252"/>
      <c r="V75" s="112"/>
      <c r="W75" s="112"/>
    </row>
    <row r="76" spans="1:23" s="47" customFormat="1" ht="13.5" thickBot="1" x14ac:dyDescent="0.25">
      <c r="A76" s="16"/>
      <c r="B76" s="18"/>
      <c r="C76" s="18"/>
      <c r="D76" s="19"/>
      <c r="E76" s="19"/>
      <c r="F76" s="16"/>
      <c r="G76" s="16"/>
      <c r="H76" s="18"/>
      <c r="I76" s="24"/>
      <c r="J76" s="20"/>
      <c r="K76" s="20"/>
      <c r="L76" s="20"/>
      <c r="M76" s="20"/>
      <c r="N76" s="234"/>
      <c r="O76" s="20"/>
      <c r="P76" s="232"/>
      <c r="Q76" s="260"/>
      <c r="R76" s="274" t="s">
        <v>666</v>
      </c>
      <c r="S76" s="398">
        <f>+S74-S75</f>
        <v>4001.4000000000233</v>
      </c>
      <c r="T76" s="25"/>
      <c r="U76" s="252"/>
      <c r="V76" s="112"/>
      <c r="W76" s="112"/>
    </row>
    <row r="77" spans="1:23" s="47" customFormat="1" ht="13.5" thickTop="1" x14ac:dyDescent="0.2">
      <c r="A77" s="16"/>
      <c r="B77" s="18"/>
      <c r="C77" s="18"/>
      <c r="D77" s="19"/>
      <c r="E77" s="19"/>
      <c r="F77" s="16"/>
      <c r="G77" s="16"/>
      <c r="H77" s="18"/>
      <c r="I77" s="24"/>
      <c r="J77" s="20"/>
      <c r="K77" s="20"/>
      <c r="L77" s="20"/>
      <c r="M77" s="20"/>
      <c r="N77" s="234"/>
      <c r="O77" s="20"/>
      <c r="P77" s="232"/>
      <c r="Q77" s="18"/>
      <c r="R77" s="16"/>
      <c r="S77" s="25"/>
      <c r="T77" s="25"/>
      <c r="U77" s="252"/>
      <c r="V77" s="112"/>
      <c r="W77" s="112"/>
    </row>
    <row r="78" spans="1:23" s="386" customFormat="1" x14ac:dyDescent="0.2">
      <c r="A78" s="379" t="s">
        <v>49</v>
      </c>
      <c r="B78" s="380" t="s">
        <v>50</v>
      </c>
      <c r="C78" s="380" t="s">
        <v>51</v>
      </c>
      <c r="D78" s="381" t="s">
        <v>52</v>
      </c>
      <c r="E78" s="381"/>
      <c r="F78" s="379" t="s">
        <v>53</v>
      </c>
      <c r="G78" s="379" t="s">
        <v>54</v>
      </c>
      <c r="H78" s="380" t="s">
        <v>55</v>
      </c>
      <c r="I78" s="382" t="s">
        <v>56</v>
      </c>
      <c r="J78" s="380" t="s">
        <v>57</v>
      </c>
      <c r="K78" s="380" t="s">
        <v>58</v>
      </c>
      <c r="L78" s="380" t="s">
        <v>59</v>
      </c>
      <c r="M78" s="380" t="s">
        <v>60</v>
      </c>
      <c r="N78" s="380" t="s">
        <v>61</v>
      </c>
      <c r="O78" s="380" t="s">
        <v>63</v>
      </c>
      <c r="P78" s="384" t="s">
        <v>64</v>
      </c>
      <c r="Q78" s="380" t="s">
        <v>65</v>
      </c>
      <c r="R78" s="379" t="s">
        <v>66</v>
      </c>
      <c r="S78" s="389" t="s">
        <v>472</v>
      </c>
      <c r="T78" s="374" t="s">
        <v>473</v>
      </c>
      <c r="U78" s="377"/>
      <c r="V78" s="377"/>
    </row>
    <row r="79" spans="1:23" x14ac:dyDescent="0.2">
      <c r="A79" s="16" t="s">
        <v>377</v>
      </c>
      <c r="B79" s="17" t="s">
        <v>493</v>
      </c>
      <c r="C79" s="18"/>
      <c r="D79" s="19"/>
      <c r="E79" s="19"/>
      <c r="F79" s="16"/>
      <c r="G79" s="16"/>
      <c r="H79" s="17" t="s">
        <v>596</v>
      </c>
      <c r="I79" s="24">
        <v>0</v>
      </c>
      <c r="J79" s="20"/>
      <c r="K79" s="20"/>
      <c r="L79" s="20"/>
      <c r="M79" s="20"/>
      <c r="N79" s="20"/>
      <c r="O79" s="20"/>
      <c r="P79" s="363"/>
      <c r="Q79" s="18"/>
      <c r="R79" s="16" t="s">
        <v>754</v>
      </c>
      <c r="S79" s="25">
        <f>I79*$I$1*Q79</f>
        <v>0</v>
      </c>
      <c r="T79" s="25"/>
      <c r="U79" s="112"/>
      <c r="V79" s="112"/>
      <c r="W79" s="34"/>
    </row>
    <row r="80" spans="1:23" x14ac:dyDescent="0.2">
      <c r="A80" s="16"/>
      <c r="B80" s="17"/>
      <c r="C80" s="18"/>
      <c r="D80" s="19"/>
      <c r="E80" s="19"/>
      <c r="F80" s="37"/>
      <c r="G80" s="37"/>
      <c r="H80" s="17"/>
      <c r="I80" s="24"/>
      <c r="J80" s="20"/>
      <c r="K80" s="20"/>
      <c r="L80" s="20"/>
      <c r="M80" s="20"/>
      <c r="N80" s="20"/>
      <c r="O80" s="20"/>
      <c r="P80" s="363"/>
      <c r="Q80" s="18"/>
      <c r="R80" s="16"/>
      <c r="S80" s="25"/>
      <c r="T80" s="25"/>
      <c r="U80" s="415"/>
      <c r="V80" s="112"/>
      <c r="W80" s="34"/>
    </row>
    <row r="81" spans="1:23" x14ac:dyDescent="0.2">
      <c r="N81" s="34"/>
      <c r="P81" s="47"/>
      <c r="Q81" s="47"/>
      <c r="S81" s="364"/>
      <c r="W81" s="34"/>
    </row>
    <row r="82" spans="1:23" s="75" customFormat="1" x14ac:dyDescent="0.2">
      <c r="A82" s="274"/>
      <c r="B82" s="123"/>
      <c r="C82" s="123"/>
      <c r="D82" s="275"/>
      <c r="E82" s="275"/>
      <c r="F82" s="274"/>
      <c r="G82" s="274"/>
      <c r="H82" s="123"/>
      <c r="I82" s="276"/>
      <c r="J82" s="32"/>
      <c r="K82" s="32"/>
      <c r="L82" s="32"/>
      <c r="M82" s="32"/>
      <c r="N82" s="366"/>
      <c r="O82" s="32"/>
      <c r="P82" s="388"/>
      <c r="Q82" s="123">
        <f>SUM(Q80:Q81)</f>
        <v>0</v>
      </c>
      <c r="R82" s="274" t="s">
        <v>536</v>
      </c>
      <c r="S82" s="36">
        <f>SUM(S79:S81)</f>
        <v>0</v>
      </c>
      <c r="T82" s="36"/>
      <c r="U82" s="259"/>
      <c r="V82" s="111"/>
      <c r="W82" s="111"/>
    </row>
    <row r="83" spans="1:23" s="47" customFormat="1" x14ac:dyDescent="0.2">
      <c r="A83" s="16"/>
      <c r="B83" s="18"/>
      <c r="C83" s="18"/>
      <c r="D83" s="19"/>
      <c r="E83" s="19"/>
      <c r="F83" s="16"/>
      <c r="G83" s="16"/>
      <c r="H83" s="18"/>
      <c r="I83" s="24"/>
      <c r="J83" s="20"/>
      <c r="K83" s="20"/>
      <c r="L83" s="20"/>
      <c r="M83" s="20"/>
      <c r="N83" s="234"/>
      <c r="O83" s="20"/>
      <c r="P83" s="232"/>
      <c r="Q83" s="260"/>
      <c r="R83" s="274" t="s">
        <v>665</v>
      </c>
      <c r="S83" s="36">
        <v>0</v>
      </c>
      <c r="T83" s="25"/>
      <c r="U83" s="252"/>
      <c r="V83" s="112"/>
      <c r="W83" s="112"/>
    </row>
    <row r="84" spans="1:23" s="47" customFormat="1" ht="13.5" thickBot="1" x14ac:dyDescent="0.25">
      <c r="A84" s="16"/>
      <c r="B84" s="18"/>
      <c r="C84" s="18"/>
      <c r="D84" s="19"/>
      <c r="E84" s="19"/>
      <c r="F84" s="16"/>
      <c r="G84" s="16"/>
      <c r="H84" s="18"/>
      <c r="I84" s="24"/>
      <c r="J84" s="20"/>
      <c r="K84" s="20"/>
      <c r="L84" s="20"/>
      <c r="M84" s="20"/>
      <c r="N84" s="234"/>
      <c r="O84" s="20"/>
      <c r="P84" s="232"/>
      <c r="Q84" s="260"/>
      <c r="R84" s="274" t="s">
        <v>666</v>
      </c>
      <c r="S84" s="399">
        <f>+S82-S83</f>
        <v>0</v>
      </c>
      <c r="T84" s="25"/>
      <c r="U84" s="252"/>
      <c r="V84" s="112"/>
      <c r="W84" s="112"/>
    </row>
    <row r="85" spans="1:23" s="47" customFormat="1" ht="13.5" thickTop="1" x14ac:dyDescent="0.2">
      <c r="A85" s="16"/>
      <c r="B85" s="18"/>
      <c r="C85" s="18"/>
      <c r="D85" s="19"/>
      <c r="E85" s="19"/>
      <c r="F85" s="16"/>
      <c r="G85" s="16"/>
      <c r="H85" s="18"/>
      <c r="I85" s="24"/>
      <c r="J85" s="20"/>
      <c r="K85" s="20"/>
      <c r="L85" s="20"/>
      <c r="M85" s="20"/>
      <c r="N85" s="234"/>
      <c r="O85" s="20"/>
      <c r="P85" s="232"/>
      <c r="Q85" s="18"/>
      <c r="R85" s="16"/>
      <c r="S85" s="25"/>
      <c r="T85" s="25"/>
      <c r="U85" s="252"/>
      <c r="V85" s="112"/>
      <c r="W85" s="112"/>
    </row>
    <row r="86" spans="1:23" x14ac:dyDescent="0.2">
      <c r="A86" s="16"/>
      <c r="B86" s="18"/>
      <c r="C86" s="18"/>
      <c r="D86" s="19"/>
      <c r="E86" s="19"/>
      <c r="F86" s="16"/>
      <c r="G86" s="16"/>
      <c r="H86" s="18"/>
      <c r="I86" s="24"/>
      <c r="J86" s="20"/>
      <c r="K86" s="32"/>
      <c r="L86" s="20"/>
      <c r="M86" s="20"/>
      <c r="N86" s="234"/>
      <c r="O86" s="20"/>
      <c r="P86" s="255"/>
      <c r="Q86" s="260"/>
      <c r="R86" s="123"/>
      <c r="S86" s="390"/>
      <c r="T86" s="36"/>
      <c r="U86" s="246"/>
      <c r="V86" s="112"/>
      <c r="W86" s="112"/>
    </row>
    <row r="87" spans="1:23" x14ac:dyDescent="0.2">
      <c r="A87" s="16"/>
      <c r="B87" s="18"/>
      <c r="C87" s="18"/>
      <c r="D87" s="19"/>
      <c r="E87" s="19"/>
      <c r="F87" s="16"/>
      <c r="G87" s="16"/>
      <c r="H87" s="18"/>
      <c r="I87" s="24"/>
      <c r="J87" s="20"/>
      <c r="K87" s="32"/>
      <c r="L87" s="20"/>
      <c r="M87" s="20"/>
      <c r="N87" s="253"/>
      <c r="O87" s="20"/>
      <c r="P87" s="255"/>
      <c r="Q87" s="123"/>
      <c r="R87" s="123"/>
      <c r="S87" s="75"/>
      <c r="T87" s="46"/>
      <c r="V87" s="254"/>
      <c r="W87" s="254"/>
    </row>
    <row r="88" spans="1:23" x14ac:dyDescent="0.2">
      <c r="A88" s="16"/>
      <c r="B88" s="18"/>
      <c r="C88" s="18"/>
      <c r="D88" s="19" t="s">
        <v>47</v>
      </c>
      <c r="E88" s="19"/>
      <c r="F88" s="16"/>
      <c r="G88" s="16"/>
      <c r="H88" s="18"/>
      <c r="I88" s="24"/>
      <c r="J88" s="20"/>
      <c r="K88" s="32"/>
      <c r="L88" s="20"/>
      <c r="M88" s="20"/>
      <c r="N88" s="234"/>
      <c r="O88" s="20"/>
      <c r="P88" s="255"/>
      <c r="Q88" s="41"/>
      <c r="R88" s="452" t="s">
        <v>676</v>
      </c>
      <c r="S88" s="257">
        <f>SUM(S82,S74,S65,S57,S49,S41,S22,S14)</f>
        <v>878405.9129</v>
      </c>
      <c r="T88" s="258"/>
      <c r="U88" s="259"/>
      <c r="V88" s="111"/>
      <c r="W88" s="111"/>
    </row>
    <row r="89" spans="1:23" x14ac:dyDescent="0.2">
      <c r="A89" s="35"/>
      <c r="B89" s="18"/>
      <c r="C89" s="18"/>
      <c r="D89" s="19"/>
      <c r="E89" s="19"/>
      <c r="F89" s="16"/>
      <c r="G89" s="16"/>
      <c r="H89" s="18"/>
      <c r="I89" s="24"/>
      <c r="J89" s="20"/>
      <c r="K89" s="20"/>
      <c r="L89" s="20"/>
      <c r="M89" s="20"/>
      <c r="N89" s="234"/>
      <c r="O89" s="20"/>
      <c r="P89" s="255"/>
      <c r="Q89" s="260"/>
      <c r="R89" s="36" t="s">
        <v>677</v>
      </c>
      <c r="S89" s="257">
        <f>SUM(S83,S75,S66,S58,S50,S42,S23,S15)</f>
        <v>736096.01520000002</v>
      </c>
      <c r="T89" s="36"/>
      <c r="U89" s="235"/>
      <c r="V89" s="111"/>
      <c r="W89" s="111"/>
    </row>
    <row r="90" spans="1:23" ht="13.5" thickBot="1" x14ac:dyDescent="0.25">
      <c r="A90" s="35"/>
      <c r="B90" s="18"/>
      <c r="C90" s="18"/>
      <c r="D90" s="19"/>
      <c r="E90" s="19"/>
      <c r="F90" s="16"/>
      <c r="G90" s="16"/>
      <c r="H90" s="18"/>
      <c r="I90" s="20"/>
      <c r="J90" s="20"/>
      <c r="K90" s="20"/>
      <c r="L90" s="20"/>
      <c r="M90" s="20"/>
      <c r="N90" s="234"/>
      <c r="O90" s="20"/>
      <c r="P90" s="255"/>
      <c r="Q90" s="260"/>
      <c r="R90" s="36" t="s">
        <v>666</v>
      </c>
      <c r="S90" s="397">
        <f>SUM(S16,S24,S44,S51,S59,S67,S76,S84)</f>
        <v>142309.8977</v>
      </c>
      <c r="T90" s="36"/>
      <c r="U90" s="235"/>
      <c r="V90" s="111"/>
      <c r="W90" s="111"/>
    </row>
    <row r="91" spans="1:23" ht="13.5" thickTop="1" x14ac:dyDescent="0.2">
      <c r="A91" s="35"/>
      <c r="B91" s="18"/>
      <c r="C91" s="18"/>
      <c r="D91" s="19"/>
      <c r="E91" s="19"/>
      <c r="F91" s="16"/>
      <c r="G91" s="16"/>
      <c r="H91" s="18"/>
      <c r="I91" s="24"/>
      <c r="J91" s="20"/>
      <c r="K91" s="20"/>
      <c r="L91" s="20"/>
      <c r="M91" s="20"/>
      <c r="N91" s="234"/>
      <c r="O91" s="20"/>
      <c r="P91" s="255"/>
      <c r="Q91" s="260"/>
      <c r="R91" s="36"/>
      <c r="S91" s="36"/>
      <c r="T91" s="36"/>
      <c r="U91" s="235"/>
      <c r="V91" s="111"/>
      <c r="W91" s="111"/>
    </row>
    <row r="92" spans="1:23" x14ac:dyDescent="0.2">
      <c r="A92" s="35"/>
      <c r="B92" s="18"/>
      <c r="C92" s="18"/>
      <c r="D92" s="19"/>
      <c r="E92" s="19"/>
      <c r="F92" s="16"/>
      <c r="G92" s="16"/>
      <c r="H92" s="18"/>
      <c r="I92" s="20"/>
      <c r="J92" s="20"/>
      <c r="K92" s="20"/>
      <c r="L92" s="20"/>
      <c r="M92" s="20"/>
      <c r="N92" s="234"/>
      <c r="O92" s="20"/>
      <c r="P92" s="255"/>
      <c r="Q92" s="260"/>
      <c r="R92" s="36"/>
      <c r="S92" s="36"/>
      <c r="T92" s="36"/>
      <c r="U92" s="235"/>
      <c r="V92" s="111"/>
      <c r="W92" s="111"/>
    </row>
    <row r="93" spans="1:23" x14ac:dyDescent="0.2">
      <c r="A93" s="35"/>
      <c r="B93" s="18"/>
      <c r="C93" s="18"/>
      <c r="D93" s="19"/>
      <c r="E93" s="19"/>
      <c r="F93" s="16"/>
      <c r="G93" s="16"/>
      <c r="H93" s="18"/>
      <c r="I93" s="24"/>
      <c r="J93" s="20"/>
      <c r="K93" s="20"/>
      <c r="L93" s="20"/>
      <c r="M93" s="20"/>
      <c r="N93" s="234"/>
      <c r="O93" s="20"/>
      <c r="P93" s="255"/>
      <c r="Q93" s="260"/>
      <c r="R93" s="36"/>
      <c r="S93" s="36"/>
      <c r="T93" s="36"/>
      <c r="U93" s="235"/>
      <c r="V93" s="111"/>
      <c r="W93" s="111"/>
    </row>
    <row r="94" spans="1:23" x14ac:dyDescent="0.2">
      <c r="A94" s="35"/>
      <c r="B94" s="18"/>
      <c r="C94" s="18"/>
      <c r="D94" s="19"/>
      <c r="E94" s="19"/>
      <c r="F94" s="16"/>
      <c r="G94" s="16"/>
      <c r="H94" s="18"/>
      <c r="I94" s="20"/>
      <c r="J94" s="20"/>
      <c r="K94" s="20"/>
      <c r="L94" s="20"/>
      <c r="M94" s="20"/>
      <c r="N94" s="234"/>
      <c r="O94" s="20"/>
      <c r="P94" s="255"/>
      <c r="Q94" s="260"/>
      <c r="R94" s="36"/>
      <c r="S94" s="36"/>
      <c r="T94" s="36"/>
      <c r="U94" s="235"/>
      <c r="V94" s="111"/>
      <c r="W94" s="111"/>
    </row>
    <row r="95" spans="1:23" x14ac:dyDescent="0.2">
      <c r="A95" s="35"/>
      <c r="B95" s="18"/>
      <c r="C95" s="18"/>
      <c r="D95" s="19"/>
      <c r="E95" s="19"/>
      <c r="F95" s="16"/>
      <c r="G95" s="16"/>
      <c r="H95" s="18"/>
      <c r="I95" s="20"/>
      <c r="J95" s="20"/>
      <c r="K95" s="20"/>
      <c r="L95" s="20"/>
      <c r="M95" s="20"/>
      <c r="N95" s="234"/>
      <c r="O95" s="20"/>
      <c r="P95" s="255"/>
      <c r="Q95" s="260"/>
      <c r="R95" s="36"/>
      <c r="S95" s="36"/>
      <c r="T95" s="36"/>
      <c r="U95" s="235"/>
      <c r="V95" s="123"/>
      <c r="W95" s="111"/>
    </row>
    <row r="96" spans="1:23" x14ac:dyDescent="0.2">
      <c r="A96" s="35"/>
      <c r="B96" s="18"/>
      <c r="C96" s="18"/>
      <c r="D96" s="19"/>
      <c r="E96" s="19"/>
      <c r="F96" s="16"/>
      <c r="G96" s="16"/>
      <c r="H96" s="18"/>
      <c r="I96" s="20"/>
      <c r="J96" s="20"/>
      <c r="K96" s="20"/>
      <c r="L96" s="20"/>
      <c r="M96" s="20"/>
      <c r="N96" s="234"/>
      <c r="O96" s="20"/>
      <c r="P96" s="255"/>
      <c r="Q96" s="260"/>
      <c r="R96" s="36"/>
      <c r="S96" s="36"/>
      <c r="T96" s="36"/>
      <c r="U96" s="235"/>
      <c r="V96" s="111"/>
      <c r="W96" s="111"/>
    </row>
    <row r="97" spans="1:23" x14ac:dyDescent="0.2">
      <c r="A97" s="35"/>
      <c r="B97" s="18"/>
      <c r="C97" s="18"/>
      <c r="D97" s="19"/>
      <c r="E97" s="19"/>
      <c r="F97" s="16"/>
      <c r="G97" s="16"/>
      <c r="H97" s="18"/>
      <c r="I97" s="20"/>
      <c r="J97" s="20"/>
      <c r="K97" s="20"/>
      <c r="L97" s="20"/>
      <c r="M97" s="20"/>
      <c r="N97" s="234"/>
      <c r="O97" s="20"/>
      <c r="P97" s="255"/>
      <c r="Q97" s="260"/>
      <c r="R97" s="36"/>
      <c r="S97" s="36"/>
      <c r="T97" s="36"/>
      <c r="U97" s="235"/>
      <c r="V97" s="111"/>
      <c r="W97" s="111"/>
    </row>
    <row r="98" spans="1:23" x14ac:dyDescent="0.2">
      <c r="A98" s="35"/>
      <c r="B98" s="18"/>
      <c r="C98" s="18"/>
      <c r="D98" s="19"/>
      <c r="E98" s="19"/>
      <c r="F98" s="16"/>
      <c r="G98" s="16"/>
      <c r="H98" s="18"/>
      <c r="I98" s="24"/>
      <c r="J98" s="20"/>
      <c r="K98" s="20"/>
      <c r="L98" s="20"/>
      <c r="M98" s="20"/>
      <c r="N98" s="234"/>
      <c r="O98" s="20"/>
      <c r="P98" s="255"/>
      <c r="Q98" s="260"/>
      <c r="R98" s="123"/>
      <c r="S98" s="36"/>
      <c r="T98" s="36"/>
      <c r="U98" s="235"/>
      <c r="V98" s="111"/>
      <c r="W98" s="111"/>
    </row>
    <row r="99" spans="1:23" x14ac:dyDescent="0.2">
      <c r="A99" s="35"/>
      <c r="B99" s="18"/>
      <c r="C99" s="18"/>
      <c r="D99" s="19"/>
      <c r="E99" s="19"/>
      <c r="F99" s="16"/>
      <c r="G99" s="16"/>
      <c r="H99" s="18"/>
      <c r="I99" s="24"/>
      <c r="J99" s="20"/>
      <c r="K99" s="20"/>
      <c r="L99" s="20"/>
      <c r="M99" s="20"/>
      <c r="N99" s="234"/>
      <c r="O99" s="20"/>
      <c r="P99" s="255"/>
      <c r="Q99" s="260"/>
      <c r="R99" s="123"/>
      <c r="S99" s="36"/>
      <c r="T99" s="36"/>
      <c r="U99" s="235"/>
      <c r="V99" s="111"/>
      <c r="W99" s="111"/>
    </row>
    <row r="100" spans="1:23" x14ac:dyDescent="0.2">
      <c r="P100" s="46"/>
      <c r="Q100" s="46"/>
      <c r="R100" s="46"/>
      <c r="S100" s="75"/>
      <c r="T100" s="46"/>
      <c r="U100" s="262"/>
      <c r="V100" s="262"/>
    </row>
    <row r="101" spans="1:23" x14ac:dyDescent="0.2">
      <c r="P101" s="46"/>
      <c r="Q101" s="46"/>
      <c r="R101" s="46"/>
      <c r="S101" s="75"/>
      <c r="T101" s="46"/>
      <c r="U101" s="262"/>
      <c r="V101" s="262"/>
    </row>
  </sheetData>
  <pageMargins left="0.75" right="0.75" top="1" bottom="1" header="0.5" footer="0.5"/>
  <pageSetup scale="77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C90"/>
  <sheetViews>
    <sheetView workbookViewId="0">
      <selection activeCell="K13" sqref="K13"/>
    </sheetView>
  </sheetViews>
  <sheetFormatPr defaultRowHeight="12.75" x14ac:dyDescent="0.2"/>
  <cols>
    <col min="1" max="1" width="8.5703125" style="47" customWidth="1"/>
    <col min="2" max="3" width="9.140625" style="47"/>
    <col min="4" max="5" width="9.85546875" style="47" customWidth="1"/>
    <col min="6" max="6" width="12.42578125" style="47" customWidth="1"/>
    <col min="7" max="7" width="9.140625" style="47"/>
    <col min="8" max="8" width="10.28515625" style="47" customWidth="1"/>
    <col min="9" max="9" width="7.7109375" style="47" customWidth="1"/>
    <col min="10" max="10" width="14" style="47" customWidth="1"/>
    <col min="11" max="11" width="8.140625" style="47" customWidth="1"/>
    <col min="12" max="12" width="10" style="47" customWidth="1"/>
    <col min="13" max="13" width="9.7109375" style="79" bestFit="1" customWidth="1"/>
    <col min="14" max="16384" width="9.140625" style="47"/>
  </cols>
  <sheetData>
    <row r="1" spans="1:29" x14ac:dyDescent="0.2">
      <c r="A1" s="65" t="s">
        <v>47</v>
      </c>
      <c r="B1" s="65"/>
    </row>
    <row r="2" spans="1:29" x14ac:dyDescent="0.2">
      <c r="B2" s="65"/>
    </row>
    <row r="3" spans="1:29" x14ac:dyDescent="0.2">
      <c r="A3" s="283" t="s">
        <v>354</v>
      </c>
      <c r="B3" s="279"/>
      <c r="C3" s="279"/>
      <c r="D3" s="279"/>
      <c r="E3" s="279"/>
      <c r="F3" s="279"/>
      <c r="G3" s="279"/>
      <c r="H3" s="280"/>
      <c r="J3" s="285" t="s">
        <v>357</v>
      </c>
      <c r="K3" s="72">
        <f>+Rates!W17</f>
        <v>0.16048478776478262</v>
      </c>
      <c r="Z3" s="47">
        <v>2.8</v>
      </c>
      <c r="AC3" s="47">
        <v>3.03</v>
      </c>
    </row>
    <row r="4" spans="1:29" x14ac:dyDescent="0.2">
      <c r="A4" s="281"/>
      <c r="B4" s="297">
        <v>1</v>
      </c>
      <c r="C4" s="297">
        <v>2</v>
      </c>
      <c r="D4" s="297">
        <v>3</v>
      </c>
      <c r="E4" s="297">
        <v>4</v>
      </c>
      <c r="F4" s="297" t="s">
        <v>207</v>
      </c>
      <c r="G4" s="297">
        <v>5</v>
      </c>
      <c r="H4" s="333">
        <v>6</v>
      </c>
      <c r="J4" s="286" t="s">
        <v>602</v>
      </c>
      <c r="K4" s="313">
        <f>(E69/(1-0.02184))-Rates!W3</f>
        <v>0.13798478776478262</v>
      </c>
    </row>
    <row r="5" spans="1:29" x14ac:dyDescent="0.2">
      <c r="A5" s="296">
        <v>1</v>
      </c>
      <c r="B5" s="76">
        <f>+Rates!B17</f>
        <v>4.1372754641244472E-2</v>
      </c>
      <c r="C5" s="76">
        <f>+Rates!B22</f>
        <v>7.0569523137413021E-2</v>
      </c>
      <c r="D5" s="76">
        <f>+Rates!B27</f>
        <v>9.9327891432043708E-2</v>
      </c>
      <c r="E5" s="76"/>
      <c r="F5" s="76"/>
      <c r="G5" s="76">
        <f>+Rates!B37</f>
        <v>0.32752285174693041</v>
      </c>
      <c r="H5" s="332">
        <f>+Rates!B42</f>
        <v>0.38543953636074996</v>
      </c>
      <c r="J5" s="66"/>
    </row>
    <row r="6" spans="1:29" x14ac:dyDescent="0.2">
      <c r="A6" s="296">
        <v>2</v>
      </c>
      <c r="B6" s="76"/>
      <c r="C6" s="76"/>
      <c r="D6" s="76">
        <f>+Rates!B52</f>
        <v>6.0505530325966464E-2</v>
      </c>
      <c r="E6" s="76"/>
      <c r="F6" s="76"/>
      <c r="G6" s="76">
        <f>+Rates!B62</f>
        <v>0.30517183775872891</v>
      </c>
      <c r="H6" s="332">
        <f>+Rates!B67</f>
        <v>0.36302149335583184</v>
      </c>
      <c r="J6" s="285" t="s">
        <v>358</v>
      </c>
      <c r="K6" s="314">
        <f>+Rates!Z17</f>
        <v>0.19095816618911213</v>
      </c>
    </row>
    <row r="7" spans="1:29" x14ac:dyDescent="0.2">
      <c r="A7" s="296">
        <v>3</v>
      </c>
      <c r="B7" s="76"/>
      <c r="C7" s="76"/>
      <c r="D7" s="76">
        <f>+Rates!B72</f>
        <v>4.8583023606228085E-2</v>
      </c>
      <c r="E7" s="76">
        <f>+Rates!B77</f>
        <v>0.1754883256528415</v>
      </c>
      <c r="F7" s="76"/>
      <c r="G7" s="76">
        <f>+Rates!B82</f>
        <v>0.28086978776529342</v>
      </c>
      <c r="H7" s="332">
        <f>+Rates!B87</f>
        <v>0.33981385390428231</v>
      </c>
      <c r="J7" s="286" t="s">
        <v>600</v>
      </c>
      <c r="K7" s="313">
        <f>(E68/(1-0.0228))-Rates!Z3</f>
        <v>0.14535816618911213</v>
      </c>
    </row>
    <row r="8" spans="1:29" x14ac:dyDescent="0.2">
      <c r="A8" s="296">
        <v>4</v>
      </c>
      <c r="B8" s="76"/>
      <c r="C8" s="76"/>
      <c r="D8" s="76"/>
      <c r="E8" s="76">
        <f>+Rates!B92</f>
        <v>0.14486483180428136</v>
      </c>
      <c r="F8" s="76"/>
      <c r="G8" s="76"/>
      <c r="H8" s="332">
        <f>+Rates!B102</f>
        <v>0.3074132873707302</v>
      </c>
      <c r="J8" s="65"/>
      <c r="K8" s="68"/>
    </row>
    <row r="9" spans="1:29" x14ac:dyDescent="0.2">
      <c r="A9" s="299" t="s">
        <v>207</v>
      </c>
      <c r="B9" s="76"/>
      <c r="C9" s="76"/>
      <c r="D9" s="76"/>
      <c r="E9" s="76"/>
      <c r="F9" s="76">
        <f>+Rates!B107</f>
        <v>3.7941796599939723E-2</v>
      </c>
      <c r="G9" s="76"/>
      <c r="H9" s="332"/>
      <c r="K9" s="117"/>
    </row>
    <row r="10" spans="1:29" x14ac:dyDescent="0.2">
      <c r="A10" s="296">
        <v>5</v>
      </c>
      <c r="B10" s="76"/>
      <c r="C10" s="76"/>
      <c r="D10" s="76"/>
      <c r="E10" s="76"/>
      <c r="F10" s="76"/>
      <c r="G10" s="76">
        <f>+Rates!B112</f>
        <v>0.12660919061643106</v>
      </c>
      <c r="H10" s="332"/>
      <c r="K10" s="68"/>
      <c r="N10" s="79" t="s">
        <v>531</v>
      </c>
    </row>
    <row r="11" spans="1:29" x14ac:dyDescent="0.2">
      <c r="A11" s="296">
        <v>6</v>
      </c>
      <c r="B11" s="75"/>
      <c r="C11" s="75"/>
      <c r="D11" s="75"/>
      <c r="E11" s="75"/>
      <c r="F11" s="75"/>
      <c r="G11" s="75"/>
      <c r="H11" s="332">
        <f>+Rates!B122</f>
        <v>7.7607139975796463E-2</v>
      </c>
      <c r="J11" s="283" t="s">
        <v>557</v>
      </c>
      <c r="K11" s="288"/>
      <c r="N11" s="79">
        <v>4.46</v>
      </c>
      <c r="O11" s="47">
        <v>4.4550000000000001</v>
      </c>
    </row>
    <row r="12" spans="1:29" x14ac:dyDescent="0.2">
      <c r="A12" s="350"/>
      <c r="B12" s="328" t="s">
        <v>599</v>
      </c>
      <c r="C12" s="328"/>
      <c r="D12" s="328"/>
      <c r="E12" s="328"/>
      <c r="F12" s="328"/>
      <c r="G12" s="328"/>
      <c r="H12" s="351"/>
      <c r="J12" s="289" t="s">
        <v>559</v>
      </c>
      <c r="K12" s="290">
        <f>SUM(Rates!AI17)</f>
        <v>3.7182412060301887E-2</v>
      </c>
      <c r="N12" s="79">
        <v>4.42</v>
      </c>
      <c r="O12" s="47">
        <v>4.4400000000000004</v>
      </c>
    </row>
    <row r="13" spans="1:29" x14ac:dyDescent="0.2">
      <c r="A13" s="355" t="s">
        <v>651</v>
      </c>
      <c r="B13" s="354" t="s">
        <v>650</v>
      </c>
      <c r="C13" s="329" t="s">
        <v>212</v>
      </c>
      <c r="D13" s="329" t="s">
        <v>213</v>
      </c>
      <c r="E13" s="329" t="s">
        <v>214</v>
      </c>
      <c r="F13" s="327"/>
      <c r="G13" s="327"/>
      <c r="H13" s="352"/>
      <c r="J13" s="289" t="s">
        <v>558</v>
      </c>
      <c r="K13" s="291">
        <f>SUM(Rates!H132)</f>
        <v>9.5254463064130268E-2</v>
      </c>
      <c r="N13" s="79"/>
    </row>
    <row r="14" spans="1:29" ht="13.5" thickBot="1" x14ac:dyDescent="0.25">
      <c r="A14" s="73" t="s">
        <v>649</v>
      </c>
      <c r="B14" s="311">
        <f>SUM(Rates!B69+Rates!B71)</f>
        <v>2.9683023606228084E-2</v>
      </c>
      <c r="C14" s="311">
        <f>SUM(Rates!K22+Rates!B69+Rates!B71)</f>
        <v>0.23054423121582307</v>
      </c>
      <c r="D14" s="311">
        <f>SUM(Rates!B69+Rates!B71+Rates!K47)</f>
        <v>0.16069883889024961</v>
      </c>
      <c r="E14" s="311">
        <f>0.0622+B14</f>
        <v>9.1883023606228076E-2</v>
      </c>
      <c r="F14" s="134" t="s">
        <v>726</v>
      </c>
      <c r="G14" s="134"/>
      <c r="H14" s="353"/>
      <c r="J14" s="281" t="s">
        <v>30</v>
      </c>
      <c r="K14" s="292">
        <f>SUM(K12:K13)</f>
        <v>0.13243687512443214</v>
      </c>
      <c r="M14" s="79" t="s">
        <v>86</v>
      </c>
      <c r="N14" s="79">
        <f>+N11-E14</f>
        <v>4.3681169763937717</v>
      </c>
    </row>
    <row r="15" spans="1:29" ht="13.5" thickTop="1" x14ac:dyDescent="0.2">
      <c r="A15" s="75"/>
      <c r="B15" s="409"/>
      <c r="C15" s="409"/>
      <c r="D15" s="409"/>
      <c r="E15" s="409"/>
      <c r="F15" s="75"/>
      <c r="G15" s="75"/>
      <c r="H15" s="75"/>
      <c r="J15" s="281"/>
      <c r="K15" s="290"/>
      <c r="N15" s="79"/>
    </row>
    <row r="16" spans="1:29" x14ac:dyDescent="0.2">
      <c r="A16" s="283" t="s">
        <v>694</v>
      </c>
      <c r="B16" s="410"/>
      <c r="C16" s="410">
        <v>2</v>
      </c>
      <c r="D16" s="410">
        <v>3</v>
      </c>
      <c r="E16" s="410">
        <v>4</v>
      </c>
      <c r="F16" s="410" t="s">
        <v>207</v>
      </c>
      <c r="G16" s="410">
        <v>5</v>
      </c>
      <c r="H16" s="411">
        <v>6</v>
      </c>
      <c r="J16" s="394"/>
      <c r="K16" s="336"/>
      <c r="N16" s="79"/>
    </row>
    <row r="17" spans="1:14" x14ac:dyDescent="0.2">
      <c r="A17" s="296">
        <v>2</v>
      </c>
      <c r="B17" s="76"/>
      <c r="C17" s="300">
        <f>SUM(Rates!E37)</f>
        <v>9.5972232268435417E-2</v>
      </c>
      <c r="D17" s="300">
        <f>SUM(Rates!E39,Rates!E41)</f>
        <v>0.15660553032596647</v>
      </c>
      <c r="E17" s="300">
        <f>SUM(Rates!E47)</f>
        <v>0.41574652742051627</v>
      </c>
      <c r="F17" s="300"/>
      <c r="G17" s="300"/>
      <c r="H17" s="358"/>
      <c r="J17" s="281"/>
      <c r="K17" s="290"/>
      <c r="N17" s="79"/>
    </row>
    <row r="18" spans="1:14" x14ac:dyDescent="0.2">
      <c r="A18" s="296">
        <v>3</v>
      </c>
      <c r="B18" s="76"/>
      <c r="C18" s="300"/>
      <c r="D18" s="300">
        <f>SUM(Rates!E49,Rates!E51)</f>
        <v>0.10598302360622809</v>
      </c>
      <c r="E18" s="300">
        <f>SUM(Rates!E57)</f>
        <v>0.36748832565284151</v>
      </c>
      <c r="F18" s="300"/>
      <c r="G18" s="300"/>
      <c r="H18" s="358"/>
      <c r="J18" s="281"/>
      <c r="K18" s="290"/>
      <c r="N18" s="79"/>
    </row>
    <row r="19" spans="1:14" x14ac:dyDescent="0.2">
      <c r="A19" s="296">
        <v>4</v>
      </c>
      <c r="B19" s="76"/>
      <c r="C19" s="300"/>
      <c r="D19" s="300"/>
      <c r="E19" s="300">
        <f>SUM(Rates!E72)</f>
        <v>0.49481301646474096</v>
      </c>
      <c r="F19" s="300"/>
      <c r="G19" s="300"/>
      <c r="H19" s="358"/>
      <c r="J19" s="281"/>
      <c r="K19" s="290"/>
      <c r="N19" s="79"/>
    </row>
    <row r="20" spans="1:14" x14ac:dyDescent="0.2">
      <c r="A20" s="281">
        <v>6</v>
      </c>
      <c r="B20" s="409"/>
      <c r="C20" s="409"/>
      <c r="D20" s="409"/>
      <c r="E20" s="409"/>
      <c r="F20" s="413"/>
      <c r="G20" s="413"/>
      <c r="H20" s="414">
        <f>SUM(Rates!E102)</f>
        <v>0.44539306829765524</v>
      </c>
      <c r="J20" s="281"/>
      <c r="K20" s="290"/>
      <c r="N20" s="79"/>
    </row>
    <row r="21" spans="1:14" x14ac:dyDescent="0.2">
      <c r="A21" s="73"/>
      <c r="B21" s="412" t="s">
        <v>695</v>
      </c>
      <c r="C21" s="311"/>
      <c r="D21" s="311"/>
      <c r="E21" s="311"/>
      <c r="F21" s="134"/>
      <c r="G21" s="134"/>
      <c r="H21" s="353"/>
      <c r="J21" s="281"/>
      <c r="K21" s="290"/>
      <c r="N21" s="79"/>
    </row>
    <row r="22" spans="1:14" x14ac:dyDescent="0.2">
      <c r="A22" s="70"/>
      <c r="J22" s="281"/>
      <c r="K22" s="290"/>
      <c r="N22" s="79">
        <f>+N12-E14</f>
        <v>4.3281169763937717</v>
      </c>
    </row>
    <row r="23" spans="1:14" x14ac:dyDescent="0.2">
      <c r="A23" s="293" t="s">
        <v>355</v>
      </c>
      <c r="B23" s="279"/>
      <c r="C23" s="279"/>
      <c r="D23" s="279"/>
      <c r="E23" s="279"/>
      <c r="F23" s="279"/>
      <c r="G23" s="279"/>
      <c r="H23" s="279"/>
      <c r="I23" s="279"/>
      <c r="J23" s="279"/>
      <c r="K23" s="336"/>
      <c r="N23" s="79"/>
    </row>
    <row r="24" spans="1:14" x14ac:dyDescent="0.2">
      <c r="A24" s="337"/>
      <c r="B24" s="75"/>
      <c r="C24" s="297" t="s">
        <v>222</v>
      </c>
      <c r="D24" s="75"/>
      <c r="E24" s="75"/>
      <c r="F24" s="75"/>
      <c r="G24" s="75"/>
      <c r="H24" s="75"/>
      <c r="I24" s="75"/>
      <c r="J24" s="75"/>
      <c r="K24" s="338"/>
      <c r="M24" s="79" t="s">
        <v>88</v>
      </c>
      <c r="N24" s="79">
        <f>+N11-D14</f>
        <v>4.2993011611097502</v>
      </c>
    </row>
    <row r="25" spans="1:14" x14ac:dyDescent="0.2">
      <c r="A25" s="337"/>
      <c r="B25" s="75"/>
      <c r="C25" s="297" t="s">
        <v>223</v>
      </c>
      <c r="D25" s="75" t="s">
        <v>224</v>
      </c>
      <c r="E25" s="75"/>
      <c r="F25" s="75"/>
      <c r="G25" s="75"/>
      <c r="H25" s="75"/>
      <c r="I25" s="75"/>
      <c r="J25" s="75"/>
      <c r="K25" s="338"/>
      <c r="N25" s="79">
        <f>+N12-D14</f>
        <v>4.2593011611097502</v>
      </c>
    </row>
    <row r="26" spans="1:14" x14ac:dyDescent="0.2">
      <c r="A26" s="296"/>
      <c r="B26" s="297" t="s">
        <v>225</v>
      </c>
      <c r="C26" s="297" t="s">
        <v>226</v>
      </c>
      <c r="D26" s="297" t="s">
        <v>227</v>
      </c>
      <c r="E26" s="297" t="s">
        <v>228</v>
      </c>
      <c r="F26" s="297" t="s">
        <v>229</v>
      </c>
      <c r="G26" s="75" t="s">
        <v>230</v>
      </c>
      <c r="H26" s="297" t="s">
        <v>231</v>
      </c>
      <c r="I26" s="297" t="s">
        <v>232</v>
      </c>
      <c r="J26" s="297" t="s">
        <v>233</v>
      </c>
      <c r="K26" s="339" t="s">
        <v>234</v>
      </c>
      <c r="N26" s="79"/>
    </row>
    <row r="27" spans="1:14" x14ac:dyDescent="0.2">
      <c r="A27" s="340" t="s">
        <v>208</v>
      </c>
      <c r="B27" s="76">
        <f>+Rates!H22-0.0225+B35+B36</f>
        <v>0.31291151725280308</v>
      </c>
      <c r="C27" s="76">
        <f>+Rates!H22-0.0072</f>
        <v>0.25685982923567596</v>
      </c>
      <c r="D27" s="76">
        <f>+C27-0.0072</f>
        <v>0.24965982923567595</v>
      </c>
      <c r="E27" s="76">
        <f>+D27-0.0225</f>
        <v>0.22715982923567596</v>
      </c>
      <c r="F27" s="76">
        <f>+D27+0.0072</f>
        <v>0.25685982923567596</v>
      </c>
      <c r="G27" s="76">
        <f>+Rates!H27</f>
        <v>0.41085879375790763</v>
      </c>
      <c r="H27" s="76">
        <f>+Rates!H32</f>
        <v>0.46015937101572424</v>
      </c>
      <c r="I27" s="76">
        <f>+Rates!H37</f>
        <v>0.54095869541894581</v>
      </c>
      <c r="J27" s="341">
        <f>+Rates!H42</f>
        <v>0.62544155449413819</v>
      </c>
      <c r="K27" s="332">
        <f>+Rates!H47</f>
        <v>0.72003998247343581</v>
      </c>
      <c r="M27" s="79" t="s">
        <v>87</v>
      </c>
      <c r="N27" s="79">
        <f>+N11-C14</f>
        <v>4.2294557687841765</v>
      </c>
    </row>
    <row r="28" spans="1:14" x14ac:dyDescent="0.2">
      <c r="A28" s="299" t="s">
        <v>209</v>
      </c>
      <c r="B28" s="76"/>
      <c r="C28" s="76">
        <f>+Rates!H52-0.0072</f>
        <v>0.1126348014951007</v>
      </c>
      <c r="D28" s="76"/>
      <c r="E28" s="76"/>
      <c r="F28" s="76">
        <f>+C28+0.0072</f>
        <v>0.1198348014951007</v>
      </c>
      <c r="G28" s="76"/>
      <c r="H28" s="76"/>
      <c r="I28" s="76"/>
      <c r="J28" s="326"/>
      <c r="K28" s="339"/>
      <c r="N28" s="79">
        <f>+N12-C14</f>
        <v>4.1894557687841765</v>
      </c>
    </row>
    <row r="29" spans="1:14" x14ac:dyDescent="0.2">
      <c r="A29" s="296">
        <v>1</v>
      </c>
      <c r="B29" s="76">
        <f>+Rates!H57-0.0225+B35+B36</f>
        <v>0.25137030357426815</v>
      </c>
      <c r="C29" s="76"/>
      <c r="D29" s="76">
        <f>+Rates!H57-0.0072</f>
        <v>0.19531861555714103</v>
      </c>
      <c r="E29" s="76">
        <f>+D29-0.0225</f>
        <v>0.17281861555714104</v>
      </c>
      <c r="F29" s="76"/>
      <c r="G29" s="76">
        <f>+Rates!H62</f>
        <v>0.34770472210614289</v>
      </c>
      <c r="H29" s="76">
        <f>+Rates!H67</f>
        <v>0.39605879381117781</v>
      </c>
      <c r="I29" s="76">
        <f>+Rates!H72</f>
        <v>0.47645015940488844</v>
      </c>
      <c r="J29" s="76">
        <f>+Rates!H77</f>
        <v>0.56031897645414441</v>
      </c>
      <c r="K29" s="332">
        <f>+Rates!H82</f>
        <v>0.65450650900412244</v>
      </c>
    </row>
    <row r="30" spans="1:14" x14ac:dyDescent="0.2">
      <c r="A30" s="296">
        <v>2</v>
      </c>
      <c r="B30" s="76"/>
      <c r="C30" s="76"/>
      <c r="D30" s="76"/>
      <c r="E30" s="76"/>
      <c r="F30" s="76"/>
      <c r="G30" s="76"/>
      <c r="H30" s="76"/>
      <c r="I30" s="76"/>
      <c r="J30" s="76">
        <f>SUM(Rates!H87)</f>
        <v>0.34013693270735479</v>
      </c>
      <c r="K30" s="332"/>
    </row>
    <row r="31" spans="1:14" x14ac:dyDescent="0.2">
      <c r="A31" s="296">
        <v>4</v>
      </c>
      <c r="B31" s="76"/>
      <c r="C31" s="76"/>
      <c r="D31" s="76"/>
      <c r="E31" s="76"/>
      <c r="F31" s="76"/>
      <c r="G31" s="76"/>
      <c r="H31" s="76"/>
      <c r="I31" s="76"/>
      <c r="J31" s="76"/>
      <c r="K31" s="332">
        <f>+Rates!H97</f>
        <v>0.23112243688030265</v>
      </c>
    </row>
    <row r="32" spans="1:14" x14ac:dyDescent="0.2">
      <c r="A32" s="296">
        <v>5</v>
      </c>
      <c r="B32" s="76"/>
      <c r="C32" s="76"/>
      <c r="D32" s="76"/>
      <c r="E32" s="76"/>
      <c r="F32" s="76"/>
      <c r="G32" s="76"/>
      <c r="H32" s="76"/>
      <c r="I32" s="76">
        <f>+Rates!H137</f>
        <v>0.128392189397006</v>
      </c>
      <c r="J32" s="76">
        <f>+Rates!H102</f>
        <v>0.13287244732577025</v>
      </c>
      <c r="K32" s="332">
        <f>+Rates!H112</f>
        <v>0.21900660810948824</v>
      </c>
    </row>
    <row r="33" spans="1:12" x14ac:dyDescent="0.2">
      <c r="A33" s="342">
        <v>6</v>
      </c>
      <c r="B33" s="307"/>
      <c r="C33" s="307"/>
      <c r="D33" s="307"/>
      <c r="E33" s="307"/>
      <c r="F33" s="76"/>
      <c r="G33" s="76"/>
      <c r="H33" s="76"/>
      <c r="I33" s="76"/>
      <c r="J33" s="76"/>
      <c r="K33" s="332">
        <f>+Rates!H127</f>
        <v>0.1257978407829686</v>
      </c>
    </row>
    <row r="34" spans="1:12" x14ac:dyDescent="0.2">
      <c r="A34" s="68"/>
      <c r="B34" s="67"/>
      <c r="C34" s="67"/>
      <c r="D34" s="67"/>
      <c r="E34" s="67"/>
      <c r="F34" s="349"/>
      <c r="G34" s="76"/>
      <c r="H34" s="76"/>
      <c r="I34" s="76"/>
      <c r="J34" s="76"/>
      <c r="K34" s="332"/>
    </row>
    <row r="35" spans="1:12" x14ac:dyDescent="0.2">
      <c r="A35" s="71" t="s">
        <v>240</v>
      </c>
      <c r="B35" s="72">
        <f>0.0009+0.0022+0.0075</f>
        <v>1.06E-2</v>
      </c>
      <c r="F35" s="343" t="s">
        <v>255</v>
      </c>
      <c r="G35" s="75"/>
      <c r="H35" s="75"/>
      <c r="I35" s="75"/>
      <c r="J35" s="75"/>
      <c r="K35" s="339"/>
    </row>
    <row r="36" spans="1:12" x14ac:dyDescent="0.2">
      <c r="A36" s="73" t="s">
        <v>200</v>
      </c>
      <c r="B36" s="74">
        <f>0.0101*(+Rates!H4+Rates!H57-0.0225)</f>
        <v>6.0751688017127117E-2</v>
      </c>
      <c r="F36" s="343" t="s">
        <v>323</v>
      </c>
      <c r="G36" s="75"/>
      <c r="H36" s="75"/>
      <c r="I36" s="344">
        <f>+I27-I32</f>
        <v>0.41256650602193978</v>
      </c>
      <c r="J36" s="344">
        <f>+J27-J32</f>
        <v>0.49256910716836794</v>
      </c>
      <c r="K36" s="345">
        <f>+K27-K32</f>
        <v>0.50103337436394757</v>
      </c>
    </row>
    <row r="37" spans="1:12" x14ac:dyDescent="0.2">
      <c r="A37" s="75"/>
      <c r="B37" s="76"/>
      <c r="F37" s="346" t="s">
        <v>324</v>
      </c>
      <c r="G37" s="134"/>
      <c r="H37" s="134"/>
      <c r="I37" s="347">
        <f>+I29-I32</f>
        <v>0.34805797000788241</v>
      </c>
      <c r="J37" s="347">
        <f>+J29-J32</f>
        <v>0.42744652912837416</v>
      </c>
      <c r="K37" s="348">
        <f>+K29-K32</f>
        <v>0.4354999008946342</v>
      </c>
    </row>
    <row r="38" spans="1:12" x14ac:dyDescent="0.2">
      <c r="A38" s="75"/>
      <c r="B38" s="76"/>
    </row>
    <row r="39" spans="1:12" x14ac:dyDescent="0.2">
      <c r="A39" s="293" t="s">
        <v>450</v>
      </c>
      <c r="B39" s="279"/>
      <c r="C39" s="279"/>
      <c r="D39" s="279"/>
      <c r="E39" s="279"/>
      <c r="F39" s="279"/>
      <c r="G39" s="279"/>
      <c r="H39" s="279"/>
      <c r="I39" s="279"/>
      <c r="J39" s="294"/>
      <c r="K39" s="295"/>
      <c r="L39" s="75"/>
    </row>
    <row r="40" spans="1:12" x14ac:dyDescent="0.2">
      <c r="A40" s="296"/>
      <c r="B40" s="297" t="s">
        <v>212</v>
      </c>
      <c r="C40" s="297" t="s">
        <v>206</v>
      </c>
      <c r="D40" s="297" t="s">
        <v>235</v>
      </c>
      <c r="E40" s="297" t="s">
        <v>236</v>
      </c>
      <c r="F40" s="297" t="s">
        <v>237</v>
      </c>
      <c r="G40" s="297" t="s">
        <v>238</v>
      </c>
      <c r="H40" s="221"/>
      <c r="I40" s="75"/>
      <c r="J40" s="221" t="s">
        <v>468</v>
      </c>
      <c r="K40" s="298" t="s">
        <v>469</v>
      </c>
      <c r="L40" s="75"/>
    </row>
    <row r="41" spans="1:12" x14ac:dyDescent="0.2">
      <c r="A41" s="299" t="s">
        <v>212</v>
      </c>
      <c r="B41" s="76">
        <f>+Rates!K17</f>
        <v>0.19220078374755034</v>
      </c>
      <c r="C41" s="76">
        <f>+Rates!K27</f>
        <v>0.29201551362683442</v>
      </c>
      <c r="D41" s="76">
        <f>+Rates!K22</f>
        <v>0.200861207609595</v>
      </c>
      <c r="E41" s="76">
        <f>+Rates!K32</f>
        <v>0.48542013828867769</v>
      </c>
      <c r="F41" s="76">
        <f>+Rates!K37</f>
        <v>0.66879618286728804</v>
      </c>
      <c r="G41" s="76">
        <f>+Rates!K42</f>
        <v>0.79451174875734287</v>
      </c>
      <c r="H41" s="300"/>
      <c r="I41" s="75"/>
      <c r="J41" s="220">
        <f>+Rates!N32</f>
        <v>1.1445961828672879</v>
      </c>
      <c r="K41" s="301">
        <f>SUM(Rates!N37)</f>
        <v>1.3535117487573429</v>
      </c>
      <c r="L41" s="75"/>
    </row>
    <row r="42" spans="1:12" x14ac:dyDescent="0.2">
      <c r="A42" s="299" t="s">
        <v>217</v>
      </c>
      <c r="B42" s="76"/>
      <c r="C42" s="76">
        <f>+Rates!K87</f>
        <v>0.19451306947021238</v>
      </c>
      <c r="D42" s="302">
        <f>+D44</f>
        <v>0.18911306947021239</v>
      </c>
      <c r="E42" s="76">
        <f>+E44</f>
        <v>0.38733021873009132</v>
      </c>
      <c r="F42" s="76">
        <f>+F44</f>
        <v>0.57001310224547663</v>
      </c>
      <c r="G42" s="76">
        <f>+G44</f>
        <v>0.69516605280674493</v>
      </c>
      <c r="H42" s="300"/>
      <c r="I42" s="75"/>
      <c r="J42" s="220">
        <f>SUM(Rates!N77)</f>
        <v>0.90051310224547665</v>
      </c>
      <c r="K42" s="301">
        <f>SUM(Rates!N82)</f>
        <v>1.1088660528067449</v>
      </c>
      <c r="L42" s="75"/>
    </row>
    <row r="43" spans="1:12" x14ac:dyDescent="0.2">
      <c r="A43" s="299" t="s">
        <v>213</v>
      </c>
      <c r="B43" s="76"/>
      <c r="C43" s="76">
        <f>+Rates!K52</f>
        <v>0.22350134673158553</v>
      </c>
      <c r="D43" s="76">
        <f>+Rates!K47</f>
        <v>0.13101581528402151</v>
      </c>
      <c r="E43" s="76">
        <f>+Rates!K57</f>
        <v>0.41580994769986129</v>
      </c>
      <c r="F43" s="76">
        <f>+Rates!K62</f>
        <v>0.59807808219178094</v>
      </c>
      <c r="G43" s="76">
        <f>+Rates!K67</f>
        <v>0.72297289459007252</v>
      </c>
      <c r="H43" s="300"/>
      <c r="I43" s="75"/>
      <c r="J43" s="220">
        <f>SUM(Rates!N52)</f>
        <v>0.94317808219178101</v>
      </c>
      <c r="K43" s="301">
        <f>SUM(Rates!N57)</f>
        <v>1.1512728945900725</v>
      </c>
      <c r="L43" s="75"/>
    </row>
    <row r="44" spans="1:12" x14ac:dyDescent="0.2">
      <c r="A44" s="299" t="s">
        <v>214</v>
      </c>
      <c r="B44" s="76"/>
      <c r="C44" s="76">
        <f>+Rates!K87</f>
        <v>0.19451306947021238</v>
      </c>
      <c r="D44" s="76">
        <f>+Rates!K77</f>
        <v>0.18911306947021239</v>
      </c>
      <c r="E44" s="76">
        <f>+Rates!K112</f>
        <v>0.38733021873009132</v>
      </c>
      <c r="F44" s="76">
        <f>+Rates!K117</f>
        <v>0.57001310224547663</v>
      </c>
      <c r="G44" s="76">
        <f>+Rates!K122</f>
        <v>0.69516605280674493</v>
      </c>
      <c r="H44" s="300"/>
      <c r="I44" s="75"/>
      <c r="J44" s="220">
        <f>SUM(Rates!N77)</f>
        <v>0.90051310224547665</v>
      </c>
      <c r="K44" s="301">
        <f>SUM(Rates!N82)</f>
        <v>1.1088660528067449</v>
      </c>
      <c r="L44" s="75"/>
    </row>
    <row r="45" spans="1:12" x14ac:dyDescent="0.2">
      <c r="A45" s="303" t="s">
        <v>215</v>
      </c>
      <c r="B45" s="75"/>
      <c r="C45" s="75"/>
      <c r="D45" s="75"/>
      <c r="E45" s="219">
        <f>+Rates!K127</f>
        <v>0.19882696582955905</v>
      </c>
      <c r="F45" s="76">
        <f>+Rates!K132</f>
        <v>0.37833817567567551</v>
      </c>
      <c r="G45" s="76">
        <f>+Rates!K137</f>
        <v>0.50116838487972515</v>
      </c>
      <c r="H45" s="304"/>
      <c r="I45" s="75"/>
      <c r="J45" s="220">
        <f>SUM(Rates!N87)</f>
        <v>0.63843817567567551</v>
      </c>
      <c r="K45" s="301">
        <f>SUM(Rates!N92)</f>
        <v>0.8444683848797252</v>
      </c>
    </row>
    <row r="46" spans="1:12" x14ac:dyDescent="0.2">
      <c r="A46" s="303" t="s">
        <v>216</v>
      </c>
      <c r="B46" s="75"/>
      <c r="C46" s="75"/>
      <c r="D46" s="75"/>
      <c r="E46" s="219"/>
      <c r="F46" s="76">
        <f>+Rates!K142</f>
        <v>0.29908554593805464</v>
      </c>
      <c r="G46" s="76">
        <f>+Rates!K147</f>
        <v>0.4354055702917769</v>
      </c>
      <c r="H46" s="300"/>
      <c r="I46" s="75"/>
      <c r="J46" s="220"/>
      <c r="K46" s="301">
        <f>SUM(Rates!N102)</f>
        <v>0.70285278514588878</v>
      </c>
    </row>
    <row r="47" spans="1:12" x14ac:dyDescent="0.2">
      <c r="A47" s="305" t="s">
        <v>95</v>
      </c>
      <c r="B47" s="134"/>
      <c r="C47" s="134"/>
      <c r="D47" s="134"/>
      <c r="E47" s="306"/>
      <c r="F47" s="134"/>
      <c r="G47" s="307">
        <f>+Rates!K152</f>
        <v>0.24631124443984734</v>
      </c>
      <c r="H47" s="308"/>
      <c r="I47" s="134"/>
      <c r="J47" s="309"/>
      <c r="K47" s="287">
        <f>SUM(Rates!N107)</f>
        <v>0.40871124443984735</v>
      </c>
    </row>
    <row r="48" spans="1:12" x14ac:dyDescent="0.2">
      <c r="A48" s="78"/>
      <c r="E48" s="79"/>
      <c r="G48" s="67"/>
      <c r="H48" s="118"/>
      <c r="J48" s="220"/>
      <c r="K48" s="220"/>
    </row>
    <row r="49" spans="1:13" x14ac:dyDescent="0.2">
      <c r="F49" s="283" t="s">
        <v>601</v>
      </c>
      <c r="G49" s="279"/>
      <c r="H49" s="279"/>
      <c r="I49" s="279"/>
      <c r="J49" s="280"/>
    </row>
    <row r="50" spans="1:13" x14ac:dyDescent="0.2">
      <c r="A50" s="283" t="s">
        <v>478</v>
      </c>
      <c r="B50" s="310" t="s">
        <v>488</v>
      </c>
      <c r="C50" s="310" t="s">
        <v>489</v>
      </c>
      <c r="D50" s="310" t="s">
        <v>490</v>
      </c>
      <c r="E50" s="310" t="s">
        <v>491</v>
      </c>
      <c r="F50" s="281"/>
      <c r="G50" s="75" t="s">
        <v>256</v>
      </c>
      <c r="H50" s="75" t="s">
        <v>257</v>
      </c>
      <c r="I50" s="330" t="s">
        <v>210</v>
      </c>
      <c r="J50" s="331" t="s">
        <v>211</v>
      </c>
    </row>
    <row r="51" spans="1:13" x14ac:dyDescent="0.2">
      <c r="A51" s="73"/>
      <c r="B51" s="311">
        <f>+Rates!Q17</f>
        <v>0.10527614213197979</v>
      </c>
      <c r="C51" s="311">
        <f>SUM(Rates!Q22)</f>
        <v>0.10727614213197978</v>
      </c>
      <c r="D51" s="311">
        <f>SUM(Rates!Q27)</f>
        <v>0.16144769703173023</v>
      </c>
      <c r="E51" s="311">
        <f>SUM(Rates!Q32)</f>
        <v>0.18809527720739205</v>
      </c>
      <c r="F51" s="289" t="s">
        <v>221</v>
      </c>
      <c r="G51" s="300">
        <f>+Rates!AF17-0.0072</f>
        <v>2.9654618473895722E-2</v>
      </c>
      <c r="H51" s="356">
        <f>+G51+0.0072</f>
        <v>3.685461847389572E-2</v>
      </c>
      <c r="I51" s="357">
        <f>+Rates!AF35</f>
        <v>0.14908739143762148</v>
      </c>
      <c r="J51" s="358">
        <f>+Rates!AF23</f>
        <v>0.23661550243195684</v>
      </c>
    </row>
    <row r="52" spans="1:13" x14ac:dyDescent="0.2">
      <c r="F52" s="73">
        <v>1</v>
      </c>
      <c r="G52" s="134"/>
      <c r="H52" s="134"/>
      <c r="I52" s="134"/>
      <c r="J52" s="312">
        <f>SUM(Rates!AF29)</f>
        <v>0.23481550243195684</v>
      </c>
    </row>
    <row r="53" spans="1:13" ht="13.5" thickBot="1" x14ac:dyDescent="0.25">
      <c r="I53" s="284"/>
      <c r="J53" s="75"/>
      <c r="K53" s="75"/>
      <c r="L53" s="75"/>
      <c r="M53" s="219"/>
    </row>
    <row r="54" spans="1:13" ht="14.25" thickTop="1" thickBot="1" x14ac:dyDescent="0.25">
      <c r="A54" s="283" t="s">
        <v>303</v>
      </c>
      <c r="B54" s="279"/>
      <c r="C54" s="279"/>
      <c r="D54" s="279"/>
      <c r="E54" s="280"/>
      <c r="F54" s="391" t="s">
        <v>670</v>
      </c>
      <c r="G54" s="280"/>
      <c r="I54" s="321" t="s">
        <v>634</v>
      </c>
      <c r="J54" s="322" t="s">
        <v>644</v>
      </c>
      <c r="K54" s="325">
        <f>+Rates!AR17</f>
        <v>0.13084693877550996</v>
      </c>
      <c r="L54" s="323" t="s">
        <v>555</v>
      </c>
      <c r="M54" s="219"/>
    </row>
    <row r="55" spans="1:13" ht="13.5" thickTop="1" x14ac:dyDescent="0.2">
      <c r="A55" s="296"/>
      <c r="B55" s="297" t="s">
        <v>218</v>
      </c>
      <c r="C55" s="297" t="s">
        <v>219</v>
      </c>
      <c r="D55" s="297" t="s">
        <v>239</v>
      </c>
      <c r="E55" s="333"/>
      <c r="F55" s="392" t="s">
        <v>671</v>
      </c>
      <c r="G55" s="339"/>
      <c r="I55" s="445"/>
      <c r="J55" s="284"/>
      <c r="K55" s="396"/>
      <c r="L55" s="284"/>
      <c r="M55" s="219"/>
    </row>
    <row r="56" spans="1:13" x14ac:dyDescent="0.2">
      <c r="A56" s="299" t="s">
        <v>218</v>
      </c>
      <c r="B56" s="76">
        <f>+Rates!T32</f>
        <v>0.11871119976685988</v>
      </c>
      <c r="C56" s="76">
        <f>+C57+B56</f>
        <v>0.19336469635126408</v>
      </c>
      <c r="D56" s="76">
        <f>SUM(Rates!T27,Rates!T37,Rates!T32)</f>
        <v>0.38622926581378703</v>
      </c>
      <c r="E56" s="332"/>
      <c r="F56" s="393" t="s">
        <v>119</v>
      </c>
      <c r="G56" s="332">
        <f>Rates!AC34</f>
        <v>5.7474029370348428E-2</v>
      </c>
      <c r="H56" s="77"/>
      <c r="I56" s="282"/>
      <c r="J56" s="282"/>
      <c r="K56" s="282"/>
      <c r="L56" s="282"/>
      <c r="M56" s="219"/>
    </row>
    <row r="57" spans="1:13" x14ac:dyDescent="0.2">
      <c r="A57" s="299" t="s">
        <v>219</v>
      </c>
      <c r="B57" s="76"/>
      <c r="C57" s="334">
        <f>+Rates!T37</f>
        <v>7.4653496584404178E-2</v>
      </c>
      <c r="D57" s="334">
        <f>+Rates!T37+Rates!T27</f>
        <v>0.26751806604692713</v>
      </c>
      <c r="E57" s="332"/>
      <c r="F57" s="394"/>
      <c r="G57" s="394"/>
      <c r="H57" s="310"/>
      <c r="I57" s="521"/>
      <c r="J57" s="521" t="s">
        <v>829</v>
      </c>
      <c r="K57" s="521"/>
      <c r="L57" s="522"/>
      <c r="M57" s="219"/>
    </row>
    <row r="58" spans="1:13" x14ac:dyDescent="0.2">
      <c r="A58" s="299" t="s">
        <v>220</v>
      </c>
      <c r="B58" s="76"/>
      <c r="C58" s="76"/>
      <c r="D58" s="76">
        <f>+Rates!T27</f>
        <v>0.19286456946252295</v>
      </c>
      <c r="E58" s="332"/>
      <c r="F58" s="67"/>
      <c r="G58" s="523"/>
      <c r="H58" s="75" t="s">
        <v>828</v>
      </c>
      <c r="I58" s="282"/>
      <c r="J58" s="282"/>
      <c r="K58" s="282"/>
      <c r="L58" s="524"/>
      <c r="M58" s="219"/>
    </row>
    <row r="59" spans="1:13" x14ac:dyDescent="0.2">
      <c r="A59" s="335"/>
      <c r="B59" s="307" t="s">
        <v>378</v>
      </c>
      <c r="C59" s="307"/>
      <c r="D59" s="307"/>
      <c r="E59" s="74"/>
      <c r="F59" s="67"/>
      <c r="G59" s="281"/>
      <c r="H59" s="520">
        <v>0</v>
      </c>
      <c r="I59" s="520" t="s">
        <v>209</v>
      </c>
      <c r="J59" s="520">
        <v>1</v>
      </c>
      <c r="K59" s="520">
        <v>2</v>
      </c>
      <c r="L59" s="525">
        <v>3</v>
      </c>
      <c r="M59" s="219"/>
    </row>
    <row r="60" spans="1:13" x14ac:dyDescent="0.2">
      <c r="G60" s="527" t="s">
        <v>208</v>
      </c>
      <c r="H60" s="409">
        <f>+Rates!H238</f>
        <v>7.3069246291998527E-2</v>
      </c>
      <c r="I60" s="520"/>
      <c r="J60" s="409">
        <f>+Rates!H244</f>
        <v>0.19045982923567592</v>
      </c>
      <c r="K60" s="409">
        <f>+Rates!H250</f>
        <v>0.33865879375790764</v>
      </c>
      <c r="L60" s="414">
        <f>+Rates!H256</f>
        <v>0.38515937101572428</v>
      </c>
      <c r="M60" s="219"/>
    </row>
    <row r="61" spans="1:13" ht="13.5" thickBot="1" x14ac:dyDescent="0.25">
      <c r="F61" s="317"/>
      <c r="G61" s="528" t="s">
        <v>209</v>
      </c>
      <c r="H61" s="413"/>
      <c r="I61" s="409">
        <f>+Rates!H262</f>
        <v>8.4534801495100703E-2</v>
      </c>
      <c r="J61" s="520"/>
      <c r="K61" s="520"/>
      <c r="L61" s="525"/>
      <c r="M61" s="219"/>
    </row>
    <row r="62" spans="1:13" ht="13.5" thickBot="1" x14ac:dyDescent="0.25">
      <c r="A62" s="121" t="s">
        <v>434</v>
      </c>
      <c r="B62" s="122"/>
      <c r="C62" s="122"/>
      <c r="D62" s="122"/>
      <c r="E62" s="122"/>
      <c r="F62" s="362">
        <f>Rates!A1</f>
        <v>36935</v>
      </c>
      <c r="G62" s="526">
        <v>1</v>
      </c>
      <c r="H62" s="308"/>
      <c r="I62" s="526"/>
      <c r="J62" s="311">
        <f>+Rates!H268</f>
        <v>0.13861861555714103</v>
      </c>
      <c r="K62" s="311">
        <f>+Rates!H274</f>
        <v>0.28590472210614293</v>
      </c>
      <c r="L62" s="312">
        <f>+Rates!H280</f>
        <v>0.33145879381117782</v>
      </c>
      <c r="M62" s="219"/>
    </row>
    <row r="63" spans="1:13" x14ac:dyDescent="0.2">
      <c r="A63" s="118" t="s">
        <v>421</v>
      </c>
      <c r="B63" s="79">
        <f>+Rates!B6</f>
        <v>5.7149999999999999</v>
      </c>
      <c r="D63" s="80" t="s">
        <v>428</v>
      </c>
      <c r="E63" s="79">
        <f>Rates!T3</f>
        <v>5.91</v>
      </c>
      <c r="F63" s="360" t="str">
        <f>Rates!A2</f>
        <v xml:space="preserve">Gas Daily </v>
      </c>
      <c r="I63" s="282"/>
      <c r="J63" s="282"/>
      <c r="K63" s="282"/>
      <c r="L63" s="282"/>
      <c r="M63" s="219"/>
    </row>
    <row r="64" spans="1:13" ht="13.5" thickBot="1" x14ac:dyDescent="0.25">
      <c r="A64" s="66" t="s">
        <v>422</v>
      </c>
      <c r="B64" s="119">
        <f>+Rates!B5</f>
        <v>5.75</v>
      </c>
      <c r="C64" s="66"/>
      <c r="D64" s="69" t="s">
        <v>29</v>
      </c>
      <c r="E64" s="79">
        <f>Rates!T4</f>
        <v>5.9846534965844045</v>
      </c>
      <c r="F64" s="361" t="str">
        <f>Rates!B2</f>
        <v>-.07</v>
      </c>
      <c r="I64" s="282"/>
      <c r="J64" s="282"/>
      <c r="K64" s="282"/>
      <c r="L64" s="282"/>
      <c r="M64" s="219"/>
    </row>
    <row r="65" spans="1:13" x14ac:dyDescent="0.2">
      <c r="A65" s="66" t="s">
        <v>423</v>
      </c>
      <c r="B65" s="79">
        <f>Rates!B4</f>
        <v>5.9249999999999998</v>
      </c>
      <c r="C65" s="67"/>
      <c r="D65" s="117" t="s">
        <v>425</v>
      </c>
      <c r="E65" s="219">
        <f>+Rates!AF3</f>
        <v>5.89</v>
      </c>
      <c r="I65" s="282"/>
      <c r="J65" s="282"/>
      <c r="K65" s="282"/>
      <c r="L65" s="282"/>
      <c r="M65" s="219"/>
    </row>
    <row r="66" spans="1:13" x14ac:dyDescent="0.2">
      <c r="A66" s="118" t="s">
        <v>424</v>
      </c>
      <c r="B66" s="79">
        <f>Rates!B3</f>
        <v>5.91</v>
      </c>
      <c r="C66" s="67"/>
      <c r="D66" s="47" t="s">
        <v>429</v>
      </c>
      <c r="E66" s="79">
        <f>+Rates!H4</f>
        <v>5.835</v>
      </c>
      <c r="I66" s="282"/>
      <c r="J66" s="282"/>
      <c r="K66" s="282"/>
      <c r="L66" s="282"/>
      <c r="M66" s="219"/>
    </row>
    <row r="67" spans="1:13" x14ac:dyDescent="0.2">
      <c r="A67" s="118" t="s">
        <v>427</v>
      </c>
      <c r="B67" s="79">
        <f>Rates!B7</f>
        <v>6.34</v>
      </c>
      <c r="C67" s="67"/>
      <c r="D67" s="80" t="s">
        <v>645</v>
      </c>
      <c r="E67" s="79">
        <f>+Rates!H5</f>
        <v>6.2450000000000001</v>
      </c>
      <c r="I67" s="284"/>
      <c r="J67" s="446"/>
      <c r="K67" s="447"/>
      <c r="L67" s="284"/>
      <c r="M67" s="219"/>
    </row>
    <row r="68" spans="1:13" x14ac:dyDescent="0.2">
      <c r="A68" s="66" t="s">
        <v>87</v>
      </c>
      <c r="B68" s="79">
        <f>Rates!K5</f>
        <v>5.5750000000000002</v>
      </c>
      <c r="D68" s="117" t="s">
        <v>426</v>
      </c>
      <c r="E68" s="79">
        <f>Rates!Z3</f>
        <v>6.23</v>
      </c>
      <c r="I68" s="282"/>
      <c r="J68" s="282"/>
      <c r="K68" s="282"/>
      <c r="L68" s="282"/>
      <c r="M68" s="219"/>
    </row>
    <row r="69" spans="1:13" x14ac:dyDescent="0.2">
      <c r="A69" s="66" t="s">
        <v>88</v>
      </c>
      <c r="B69" s="79">
        <f>Rates!K4</f>
        <v>5.6749999999999998</v>
      </c>
      <c r="D69" s="117" t="s">
        <v>322</v>
      </c>
      <c r="E69" s="79">
        <f>Rates!W3</f>
        <v>6.18</v>
      </c>
      <c r="I69" s="282"/>
      <c r="J69" s="282"/>
      <c r="K69" s="282"/>
      <c r="L69" s="282"/>
      <c r="M69" s="219"/>
    </row>
    <row r="70" spans="1:13" x14ac:dyDescent="0.2">
      <c r="A70" s="118" t="s">
        <v>86</v>
      </c>
      <c r="B70" s="79">
        <f>Rates!K3</f>
        <v>5.75</v>
      </c>
      <c r="D70" s="80" t="s">
        <v>453</v>
      </c>
      <c r="E70" s="79">
        <f>Rates!AI3</f>
        <v>6.2649999999999997</v>
      </c>
      <c r="I70" s="282"/>
      <c r="J70" s="282"/>
      <c r="K70" s="282"/>
      <c r="L70" s="282"/>
      <c r="M70" s="219"/>
    </row>
    <row r="71" spans="1:13" x14ac:dyDescent="0.2">
      <c r="A71" s="118" t="s">
        <v>215</v>
      </c>
      <c r="B71" s="79">
        <f>Rates!K6</f>
        <v>6.0049999999999999</v>
      </c>
      <c r="E71" s="79"/>
      <c r="I71" s="282"/>
      <c r="J71" s="282"/>
      <c r="K71" s="282"/>
      <c r="L71" s="282"/>
      <c r="M71" s="219"/>
    </row>
    <row r="72" spans="1:13" x14ac:dyDescent="0.2">
      <c r="A72" s="118" t="s">
        <v>95</v>
      </c>
      <c r="B72" s="79">
        <f>Rates!K7</f>
        <v>6.3550000000000004</v>
      </c>
      <c r="D72" s="404" t="s">
        <v>686</v>
      </c>
      <c r="E72" s="405">
        <f>Rates!D2</f>
        <v>5.9</v>
      </c>
      <c r="I72" s="282"/>
      <c r="J72" s="282"/>
      <c r="K72" s="282"/>
      <c r="L72" s="282"/>
      <c r="M72" s="219"/>
    </row>
    <row r="73" spans="1:13" x14ac:dyDescent="0.2">
      <c r="I73" s="282"/>
      <c r="J73" s="282"/>
      <c r="K73" s="282"/>
      <c r="L73" s="282"/>
      <c r="M73" s="219"/>
    </row>
    <row r="74" spans="1:13" x14ac:dyDescent="0.2">
      <c r="I74" s="282"/>
      <c r="J74" s="282"/>
      <c r="K74" s="282"/>
      <c r="L74" s="282"/>
      <c r="M74" s="219"/>
    </row>
    <row r="75" spans="1:13" x14ac:dyDescent="0.2">
      <c r="I75" s="282"/>
      <c r="J75" s="282"/>
      <c r="K75" s="282"/>
      <c r="L75" s="282"/>
      <c r="M75" s="219"/>
    </row>
    <row r="76" spans="1:13" x14ac:dyDescent="0.2">
      <c r="I76" s="282"/>
      <c r="J76" s="282"/>
      <c r="K76" s="282"/>
      <c r="L76" s="282"/>
      <c r="M76" s="219"/>
    </row>
    <row r="77" spans="1:13" x14ac:dyDescent="0.2">
      <c r="I77" s="284"/>
      <c r="J77" s="75"/>
      <c r="K77" s="75"/>
      <c r="L77" s="75"/>
      <c r="M77" s="219"/>
    </row>
    <row r="78" spans="1:13" x14ac:dyDescent="0.2">
      <c r="I78" s="75"/>
      <c r="J78" s="284"/>
      <c r="K78" s="75"/>
      <c r="L78" s="284"/>
      <c r="M78" s="219"/>
    </row>
    <row r="79" spans="1:13" x14ac:dyDescent="0.2">
      <c r="I79" s="282"/>
      <c r="J79" s="282"/>
      <c r="K79" s="282"/>
      <c r="L79" s="282"/>
      <c r="M79" s="219"/>
    </row>
    <row r="80" spans="1:13" x14ac:dyDescent="0.2">
      <c r="I80" s="282"/>
      <c r="J80" s="282"/>
      <c r="K80" s="282"/>
      <c r="L80" s="282"/>
      <c r="M80" s="219"/>
    </row>
    <row r="81" spans="9:13" x14ac:dyDescent="0.2">
      <c r="I81" s="282"/>
      <c r="J81" s="282"/>
      <c r="K81" s="282"/>
      <c r="L81" s="282"/>
      <c r="M81" s="219"/>
    </row>
    <row r="82" spans="9:13" x14ac:dyDescent="0.2">
      <c r="I82" s="282"/>
      <c r="J82" s="282"/>
      <c r="K82" s="282"/>
      <c r="L82" s="282"/>
      <c r="M82" s="219"/>
    </row>
    <row r="83" spans="9:13" x14ac:dyDescent="0.2">
      <c r="I83" s="282"/>
      <c r="J83" s="282"/>
      <c r="K83" s="282"/>
      <c r="L83" s="282"/>
      <c r="M83" s="219"/>
    </row>
    <row r="84" spans="9:13" x14ac:dyDescent="0.2">
      <c r="I84" s="282"/>
      <c r="J84" s="282"/>
      <c r="K84" s="282"/>
      <c r="L84" s="282"/>
    </row>
    <row r="85" spans="9:13" x14ac:dyDescent="0.2">
      <c r="I85" s="282"/>
      <c r="J85" s="282"/>
      <c r="K85" s="282"/>
      <c r="L85" s="282"/>
    </row>
    <row r="86" spans="9:13" x14ac:dyDescent="0.2">
      <c r="I86" s="278"/>
      <c r="J86" s="278"/>
      <c r="K86" s="278"/>
      <c r="L86" s="278"/>
    </row>
    <row r="87" spans="9:13" x14ac:dyDescent="0.2">
      <c r="I87" s="278"/>
      <c r="J87" s="278"/>
      <c r="K87" s="278"/>
      <c r="L87" s="278"/>
    </row>
    <row r="88" spans="9:13" x14ac:dyDescent="0.2">
      <c r="I88" s="278"/>
      <c r="J88" s="278"/>
      <c r="K88" s="278"/>
      <c r="L88" s="278"/>
    </row>
    <row r="89" spans="9:13" x14ac:dyDescent="0.2">
      <c r="I89" s="278"/>
      <c r="J89" s="278"/>
      <c r="K89" s="278"/>
      <c r="L89" s="278"/>
    </row>
    <row r="90" spans="9:13" x14ac:dyDescent="0.2">
      <c r="I90" s="278"/>
      <c r="J90" s="278"/>
      <c r="K90" s="278"/>
      <c r="L90" s="278"/>
    </row>
  </sheetData>
  <pageMargins left="0.75" right="0.75" top="1" bottom="1" header="0.5" footer="0.5"/>
  <pageSetup scale="68" orientation="portrait" r:id="rId1"/>
  <headerFooter alignWithMargins="0">
    <oddHeader xml:space="preserve">&amp;C&amp;14February
 2001 Rates Using Current Cash Prices
</oddHeader>
    <oddFooter>&amp;L&amp;D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AW280"/>
  <sheetViews>
    <sheetView tabSelected="1" workbookViewId="0">
      <pane ySplit="7" topLeftCell="A8" activePane="bottomLeft" state="frozen"/>
      <selection activeCell="G38" sqref="G38"/>
      <selection pane="bottomLeft" activeCell="A3" sqref="A3"/>
    </sheetView>
  </sheetViews>
  <sheetFormatPr defaultRowHeight="12.75" x14ac:dyDescent="0.2"/>
  <cols>
    <col min="1" max="1" width="11.85546875" style="34" customWidth="1"/>
    <col min="2" max="2" width="10.85546875" style="34" customWidth="1"/>
    <col min="3" max="3" width="4" style="34" customWidth="1"/>
    <col min="4" max="4" width="11.85546875" style="34" customWidth="1"/>
    <col min="5" max="5" width="12" style="34" customWidth="1"/>
    <col min="6" max="6" width="2.85546875" style="34" customWidth="1"/>
    <col min="7" max="8" width="10.85546875" style="34" customWidth="1"/>
    <col min="9" max="9" width="2.85546875" style="34" customWidth="1"/>
    <col min="10" max="11" width="10.85546875" style="34" customWidth="1"/>
    <col min="12" max="12" width="2.85546875" style="34" customWidth="1"/>
    <col min="13" max="14" width="10.85546875" style="34" customWidth="1"/>
    <col min="15" max="15" width="2.85546875" style="34" customWidth="1"/>
    <col min="16" max="17" width="10.85546875" style="34" customWidth="1"/>
    <col min="18" max="18" width="2.85546875" style="34" customWidth="1"/>
    <col min="19" max="20" width="10.85546875" style="34" customWidth="1"/>
    <col min="21" max="21" width="2.85546875" style="34" customWidth="1"/>
    <col min="22" max="23" width="10.85546875" style="34" customWidth="1"/>
    <col min="24" max="24" width="2.85546875" style="34" customWidth="1"/>
    <col min="25" max="25" width="12.140625" style="34" customWidth="1"/>
    <col min="26" max="26" width="10.85546875" style="34" customWidth="1"/>
    <col min="27" max="27" width="3.42578125" style="34" customWidth="1"/>
    <col min="28" max="28" width="9.28515625" style="34" bestFit="1" customWidth="1"/>
    <col min="29" max="29" width="9.140625" style="34"/>
    <col min="30" max="30" width="3.42578125" style="34" customWidth="1"/>
    <col min="31" max="32" width="9.140625" style="34"/>
    <col min="33" max="33" width="3.42578125" style="34" customWidth="1"/>
    <col min="34" max="34" width="9.28515625" style="34" bestFit="1" customWidth="1"/>
    <col min="35" max="35" width="9.140625" style="34"/>
    <col min="36" max="36" width="3.42578125" style="34" customWidth="1"/>
    <col min="37" max="38" width="9.140625" style="34"/>
    <col min="39" max="39" width="3.42578125" style="34" customWidth="1"/>
    <col min="40" max="41" width="9.140625" style="34"/>
    <col min="42" max="42" width="3.42578125" style="34" customWidth="1"/>
    <col min="43" max="16384" width="9.140625" style="34"/>
  </cols>
  <sheetData>
    <row r="1" spans="1:47" ht="13.5" thickBot="1" x14ac:dyDescent="0.25">
      <c r="A1" s="269">
        <v>36935</v>
      </c>
      <c r="D1" s="406" t="s">
        <v>686</v>
      </c>
      <c r="AK1" s="34" t="s">
        <v>420</v>
      </c>
    </row>
    <row r="2" spans="1:47" ht="13.5" thickTop="1" x14ac:dyDescent="0.2">
      <c r="A2" s="82" t="s">
        <v>90</v>
      </c>
      <c r="B2" s="266" t="s">
        <v>844</v>
      </c>
      <c r="C2" s="82"/>
      <c r="D2" s="407">
        <v>5.9</v>
      </c>
      <c r="E2" s="464" t="s">
        <v>91</v>
      </c>
      <c r="F2" s="82"/>
      <c r="G2" s="82" t="s">
        <v>47</v>
      </c>
      <c r="H2" s="453"/>
      <c r="I2" s="82"/>
      <c r="J2" s="83"/>
      <c r="K2" s="127"/>
      <c r="L2" s="82"/>
      <c r="M2" s="82"/>
      <c r="N2" s="464" t="s">
        <v>91</v>
      </c>
      <c r="O2" s="82"/>
      <c r="P2" s="82"/>
      <c r="Q2" s="126"/>
      <c r="R2" s="82"/>
      <c r="S2" s="82"/>
      <c r="T2" s="126"/>
      <c r="U2" s="82"/>
      <c r="V2" s="82"/>
      <c r="W2" s="126"/>
      <c r="X2" s="82" t="s">
        <v>47</v>
      </c>
      <c r="Y2" s="82" t="s">
        <v>47</v>
      </c>
      <c r="Z2" s="82" t="s">
        <v>47</v>
      </c>
      <c r="AC2" s="34" t="s">
        <v>352</v>
      </c>
      <c r="AH2" s="395" t="s">
        <v>116</v>
      </c>
      <c r="AL2" s="34" t="s">
        <v>352</v>
      </c>
      <c r="AO2" s="34" t="s">
        <v>352</v>
      </c>
    </row>
    <row r="3" spans="1:47" x14ac:dyDescent="0.2">
      <c r="A3" s="83" t="s">
        <v>92</v>
      </c>
      <c r="B3" s="156">
        <v>5.91</v>
      </c>
      <c r="C3" s="82"/>
      <c r="D3" s="83" t="s">
        <v>92</v>
      </c>
      <c r="E3" s="465">
        <f>+B3</f>
        <v>5.91</v>
      </c>
      <c r="F3" s="82"/>
      <c r="G3" s="101" t="s">
        <v>93</v>
      </c>
      <c r="H3" s="454">
        <v>5.7649999999999997</v>
      </c>
      <c r="I3" s="82"/>
      <c r="J3" s="83" t="s">
        <v>77</v>
      </c>
      <c r="K3" s="127">
        <v>5.75</v>
      </c>
      <c r="L3" s="82"/>
      <c r="M3" s="83" t="s">
        <v>77</v>
      </c>
      <c r="N3" s="465">
        <f>+K3</f>
        <v>5.75</v>
      </c>
      <c r="O3" s="82"/>
      <c r="P3" s="83" t="s">
        <v>479</v>
      </c>
      <c r="Q3" s="127">
        <v>5.915</v>
      </c>
      <c r="R3" s="82" t="s">
        <v>47</v>
      </c>
      <c r="S3" s="83" t="s">
        <v>94</v>
      </c>
      <c r="T3" s="127">
        <v>5.91</v>
      </c>
      <c r="U3" s="82" t="s">
        <v>47</v>
      </c>
      <c r="V3" s="83" t="s">
        <v>322</v>
      </c>
      <c r="W3" s="127">
        <v>6.18</v>
      </c>
      <c r="X3" s="82"/>
      <c r="Y3" s="444" t="s">
        <v>749</v>
      </c>
      <c r="Z3" s="128">
        <v>6.23</v>
      </c>
      <c r="AB3" s="83" t="s">
        <v>95</v>
      </c>
      <c r="AC3" s="478">
        <f>K7</f>
        <v>6.3550000000000004</v>
      </c>
      <c r="AE3" s="65" t="s">
        <v>267</v>
      </c>
      <c r="AF3" s="128">
        <v>5.89</v>
      </c>
      <c r="AH3" s="83" t="s">
        <v>265</v>
      </c>
      <c r="AI3" s="127">
        <v>6.2649999999999997</v>
      </c>
      <c r="AK3" s="83" t="s">
        <v>114</v>
      </c>
      <c r="AL3" s="478">
        <f>+Z3</f>
        <v>6.23</v>
      </c>
      <c r="AN3" s="83" t="s">
        <v>350</v>
      </c>
      <c r="AO3" s="478">
        <f>+H3</f>
        <v>5.7649999999999997</v>
      </c>
      <c r="AQ3" s="83" t="s">
        <v>634</v>
      </c>
      <c r="AR3" s="127">
        <v>6.24</v>
      </c>
    </row>
    <row r="4" spans="1:47" x14ac:dyDescent="0.2">
      <c r="A4" s="83" t="s">
        <v>96</v>
      </c>
      <c r="B4" s="157">
        <v>5.9249999999999998</v>
      </c>
      <c r="C4" s="66"/>
      <c r="D4" s="83" t="s">
        <v>96</v>
      </c>
      <c r="E4" s="465">
        <f>+B4</f>
        <v>5.9249999999999998</v>
      </c>
      <c r="F4" s="66"/>
      <c r="G4" s="101" t="s">
        <v>97</v>
      </c>
      <c r="H4" s="157">
        <v>5.835</v>
      </c>
      <c r="I4" s="82"/>
      <c r="J4" s="83" t="s">
        <v>78</v>
      </c>
      <c r="K4" s="127">
        <v>5.6749999999999998</v>
      </c>
      <c r="L4" s="82"/>
      <c r="M4" s="83" t="s">
        <v>78</v>
      </c>
      <c r="N4" s="465">
        <f>+K4</f>
        <v>5.6749999999999998</v>
      </c>
      <c r="O4" s="82"/>
      <c r="P4" s="83"/>
      <c r="Q4" s="127"/>
      <c r="R4" s="82"/>
      <c r="S4" s="83" t="s">
        <v>765</v>
      </c>
      <c r="T4" s="127">
        <f>+T3+T37</f>
        <v>5.9846534965844045</v>
      </c>
      <c r="U4" s="82"/>
      <c r="V4" s="83"/>
      <c r="W4" s="127">
        <f>+W17+W3</f>
        <v>6.3404847877647823</v>
      </c>
      <c r="X4" s="82"/>
      <c r="Y4" s="82"/>
      <c r="Z4" s="82"/>
      <c r="AB4" s="65" t="s">
        <v>269</v>
      </c>
      <c r="AE4" s="65" t="s">
        <v>268</v>
      </c>
      <c r="AR4" s="120"/>
    </row>
    <row r="5" spans="1:47" x14ac:dyDescent="0.2">
      <c r="A5" s="83" t="s">
        <v>98</v>
      </c>
      <c r="B5" s="158">
        <v>5.75</v>
      </c>
      <c r="C5" s="67"/>
      <c r="D5" s="83" t="s">
        <v>98</v>
      </c>
      <c r="E5" s="465">
        <f>+B5</f>
        <v>5.75</v>
      </c>
      <c r="F5" s="67"/>
      <c r="G5" s="101" t="s">
        <v>76</v>
      </c>
      <c r="H5" s="158">
        <v>6.2450000000000001</v>
      </c>
      <c r="I5" s="82"/>
      <c r="J5" s="83" t="s">
        <v>99</v>
      </c>
      <c r="K5" s="455">
        <v>5.5750000000000002</v>
      </c>
      <c r="L5" s="82"/>
      <c r="M5" s="83" t="s">
        <v>99</v>
      </c>
      <c r="N5" s="465">
        <f>+K5</f>
        <v>5.5750000000000002</v>
      </c>
      <c r="O5" s="82"/>
      <c r="P5" s="83"/>
      <c r="Q5" s="126"/>
      <c r="R5" s="82"/>
      <c r="S5" s="83" t="s">
        <v>766</v>
      </c>
      <c r="T5" s="126">
        <f>+T4+T27</f>
        <v>6.1775180660469271</v>
      </c>
      <c r="U5" s="82"/>
      <c r="V5" s="83"/>
      <c r="W5" s="126"/>
      <c r="X5" s="82"/>
      <c r="Y5" s="82"/>
      <c r="Z5" s="129"/>
      <c r="AR5" s="120"/>
    </row>
    <row r="6" spans="1:47" s="75" customFormat="1" x14ac:dyDescent="0.2">
      <c r="A6" s="101" t="s">
        <v>100</v>
      </c>
      <c r="B6" s="542">
        <v>5.7149999999999999</v>
      </c>
      <c r="C6" s="67"/>
      <c r="D6" s="101" t="s">
        <v>100</v>
      </c>
      <c r="E6" s="465">
        <f>+B6</f>
        <v>5.7149999999999999</v>
      </c>
      <c r="F6" s="67"/>
      <c r="I6" s="114"/>
      <c r="J6" s="101" t="s">
        <v>101</v>
      </c>
      <c r="K6" s="442">
        <v>6.0049999999999999</v>
      </c>
      <c r="L6" s="114"/>
      <c r="M6" s="101" t="s">
        <v>101</v>
      </c>
      <c r="N6" s="465">
        <f>+K6</f>
        <v>6.0049999999999999</v>
      </c>
      <c r="O6" s="114"/>
      <c r="P6" s="101"/>
      <c r="Q6" s="130"/>
      <c r="R6" s="114"/>
      <c r="S6" s="101" t="s">
        <v>795</v>
      </c>
      <c r="T6" s="130">
        <f>+T5-T3</f>
        <v>0.26751806604692696</v>
      </c>
      <c r="U6" s="114"/>
      <c r="V6" s="101"/>
      <c r="W6" s="130"/>
      <c r="X6" s="114"/>
      <c r="Y6" s="114"/>
      <c r="Z6" s="131"/>
    </row>
    <row r="7" spans="1:47" s="134" customFormat="1" x14ac:dyDescent="0.2">
      <c r="A7" s="115" t="s">
        <v>386</v>
      </c>
      <c r="B7" s="158">
        <v>6.34</v>
      </c>
      <c r="C7" s="67"/>
      <c r="D7" s="115" t="s">
        <v>386</v>
      </c>
      <c r="E7" s="465">
        <f>+B7</f>
        <v>6.34</v>
      </c>
      <c r="F7" s="67"/>
      <c r="G7" s="67"/>
      <c r="H7" s="67"/>
      <c r="I7" s="116"/>
      <c r="J7" s="115" t="s">
        <v>95</v>
      </c>
      <c r="K7" s="456">
        <v>6.3550000000000004</v>
      </c>
      <c r="L7" s="116"/>
      <c r="M7" s="115" t="s">
        <v>95</v>
      </c>
      <c r="N7" s="465">
        <f>+K7</f>
        <v>6.3550000000000004</v>
      </c>
      <c r="O7" s="116"/>
      <c r="P7" s="115"/>
      <c r="Q7" s="132"/>
      <c r="R7" s="116"/>
      <c r="S7" s="115"/>
      <c r="T7" s="132"/>
      <c r="U7" s="116"/>
      <c r="V7" s="115"/>
      <c r="W7" s="132"/>
      <c r="X7" s="116"/>
      <c r="Y7" s="116"/>
      <c r="Z7" s="133"/>
    </row>
    <row r="8" spans="1:47" x14ac:dyDescent="0.2">
      <c r="A8" s="83" t="s">
        <v>102</v>
      </c>
      <c r="B8" s="81"/>
      <c r="C8" s="67"/>
      <c r="D8" s="67"/>
      <c r="E8" s="67"/>
      <c r="F8" s="67"/>
      <c r="G8" s="457" t="s">
        <v>723</v>
      </c>
      <c r="H8" s="67"/>
      <c r="I8" s="135"/>
      <c r="J8" s="101" t="s">
        <v>439</v>
      </c>
      <c r="K8" s="442"/>
      <c r="L8" s="82"/>
      <c r="M8" s="101" t="s">
        <v>439</v>
      </c>
      <c r="N8" s="442"/>
      <c r="O8" s="82"/>
      <c r="P8" s="83"/>
      <c r="Q8" s="126"/>
      <c r="R8" s="82"/>
      <c r="S8" s="135" t="s">
        <v>630</v>
      </c>
      <c r="T8" s="126"/>
      <c r="U8" s="82"/>
      <c r="V8" s="83" t="s">
        <v>254</v>
      </c>
      <c r="W8" s="126"/>
      <c r="X8" s="82"/>
      <c r="Y8" s="83" t="s">
        <v>258</v>
      </c>
      <c r="Z8" s="82"/>
      <c r="AB8" s="34" t="s">
        <v>266</v>
      </c>
      <c r="AE8" s="34" t="s">
        <v>722</v>
      </c>
      <c r="AH8" s="34" t="s">
        <v>104</v>
      </c>
      <c r="AK8" s="34" t="s">
        <v>241</v>
      </c>
      <c r="AQ8" s="34" t="s">
        <v>635</v>
      </c>
    </row>
    <row r="9" spans="1:47" x14ac:dyDescent="0.2">
      <c r="A9" s="101" t="s">
        <v>105</v>
      </c>
      <c r="B9" s="67"/>
      <c r="C9" s="67"/>
      <c r="D9" s="67"/>
      <c r="E9" s="67"/>
      <c r="F9" s="67"/>
      <c r="G9" s="67" t="s">
        <v>796</v>
      </c>
      <c r="H9" s="67"/>
      <c r="I9" s="136"/>
      <c r="J9" s="47" t="s">
        <v>250</v>
      </c>
      <c r="K9" s="442"/>
      <c r="L9" s="82"/>
      <c r="M9" s="47" t="s">
        <v>470</v>
      </c>
      <c r="N9" s="442"/>
      <c r="O9" s="82"/>
      <c r="P9" s="135" t="s">
        <v>623</v>
      </c>
      <c r="Q9" s="130"/>
      <c r="R9" s="114"/>
      <c r="S9" s="101" t="s">
        <v>300</v>
      </c>
      <c r="T9" s="130"/>
      <c r="U9" s="114"/>
      <c r="V9" s="101" t="s">
        <v>712</v>
      </c>
      <c r="W9" s="130"/>
      <c r="X9" s="82"/>
      <c r="Y9" s="83" t="s">
        <v>200</v>
      </c>
      <c r="Z9" s="82"/>
      <c r="AE9" s="34" t="s">
        <v>721</v>
      </c>
      <c r="AH9" s="34" t="s">
        <v>106</v>
      </c>
      <c r="AK9" s="34" t="s">
        <v>242</v>
      </c>
      <c r="AQ9" s="34" t="s">
        <v>642</v>
      </c>
    </row>
    <row r="10" spans="1:47" x14ac:dyDescent="0.2">
      <c r="A10" s="101"/>
      <c r="B10" s="67"/>
      <c r="C10" s="67"/>
      <c r="D10" s="67"/>
      <c r="E10" s="67"/>
      <c r="F10" s="67"/>
      <c r="G10" s="67" t="s">
        <v>272</v>
      </c>
      <c r="H10" s="67"/>
      <c r="I10" s="136"/>
      <c r="J10" s="135" t="s">
        <v>271</v>
      </c>
      <c r="K10" s="442"/>
      <c r="L10" s="82"/>
      <c r="M10" s="135" t="s">
        <v>271</v>
      </c>
      <c r="N10" s="442"/>
      <c r="O10" s="82"/>
      <c r="P10" s="135" t="s">
        <v>625</v>
      </c>
      <c r="Q10" s="130"/>
      <c r="R10" s="114"/>
      <c r="S10" s="101" t="s">
        <v>299</v>
      </c>
      <c r="T10" s="130"/>
      <c r="U10" s="114"/>
      <c r="V10" s="101" t="s">
        <v>301</v>
      </c>
      <c r="W10" s="130"/>
      <c r="X10" s="82"/>
      <c r="Y10" s="83" t="s">
        <v>787</v>
      </c>
      <c r="Z10" s="83"/>
      <c r="AB10" s="34" t="s">
        <v>446</v>
      </c>
      <c r="AE10" s="34" t="s">
        <v>263</v>
      </c>
      <c r="AH10" s="34" t="s">
        <v>597</v>
      </c>
      <c r="AK10" s="137">
        <v>36526</v>
      </c>
      <c r="AN10" s="137"/>
      <c r="AQ10" s="34" t="s">
        <v>636</v>
      </c>
    </row>
    <row r="11" spans="1:47" x14ac:dyDescent="0.2">
      <c r="A11" s="101"/>
      <c r="B11" s="47"/>
      <c r="C11" s="47"/>
      <c r="D11" s="47"/>
      <c r="E11" s="47"/>
      <c r="F11" s="47"/>
      <c r="G11" s="47" t="s">
        <v>714</v>
      </c>
      <c r="H11" s="67"/>
      <c r="I11" s="136"/>
      <c r="J11" s="135" t="s">
        <v>831</v>
      </c>
      <c r="K11" s="442"/>
      <c r="L11" s="82"/>
      <c r="M11" s="135" t="s">
        <v>831</v>
      </c>
      <c r="N11" s="442"/>
      <c r="O11" s="82"/>
      <c r="P11" s="135" t="s">
        <v>624</v>
      </c>
      <c r="Q11" s="130"/>
      <c r="R11" s="114"/>
      <c r="S11" s="101"/>
      <c r="T11" s="130"/>
      <c r="U11" s="114"/>
      <c r="V11" s="101" t="s">
        <v>302</v>
      </c>
      <c r="W11" s="130"/>
      <c r="X11" s="82"/>
      <c r="Y11" s="83"/>
      <c r="Z11" s="83"/>
      <c r="AB11" s="34" t="s">
        <v>445</v>
      </c>
      <c r="AE11" s="34" t="s">
        <v>264</v>
      </c>
      <c r="AK11" s="137"/>
      <c r="AN11" s="137"/>
      <c r="AQ11" s="34" t="s">
        <v>643</v>
      </c>
    </row>
    <row r="12" spans="1:47" x14ac:dyDescent="0.2">
      <c r="A12" s="175"/>
      <c r="B12" s="268"/>
      <c r="C12" s="82"/>
      <c r="D12" s="83"/>
      <c r="E12" s="461"/>
      <c r="F12" s="99"/>
      <c r="G12" s="470"/>
      <c r="H12" s="471"/>
      <c r="I12" s="82"/>
      <c r="J12" s="135" t="s">
        <v>560</v>
      </c>
      <c r="K12" s="127"/>
      <c r="L12" s="82"/>
      <c r="M12" s="83" t="s">
        <v>317</v>
      </c>
      <c r="N12" s="127"/>
      <c r="O12" s="82"/>
      <c r="P12" s="101" t="s">
        <v>487</v>
      </c>
      <c r="Q12" s="126"/>
      <c r="R12" s="82"/>
      <c r="S12" s="83"/>
      <c r="T12" s="126"/>
      <c r="U12" s="82"/>
      <c r="V12" s="83"/>
      <c r="W12" s="126"/>
      <c r="X12" s="82"/>
      <c r="Y12" s="83"/>
      <c r="Z12" s="83"/>
      <c r="AE12" s="34" t="s">
        <v>566</v>
      </c>
      <c r="AK12" s="137" t="s">
        <v>419</v>
      </c>
      <c r="AN12" s="137"/>
      <c r="AQ12" s="137">
        <v>36526</v>
      </c>
      <c r="AT12" s="34" t="s">
        <v>196</v>
      </c>
      <c r="AU12" s="138">
        <v>2.0249999999999999</v>
      </c>
    </row>
    <row r="13" spans="1:47" x14ac:dyDescent="0.2">
      <c r="A13" s="200" t="s">
        <v>22</v>
      </c>
      <c r="B13" s="180" t="s">
        <v>107</v>
      </c>
      <c r="C13" s="86"/>
      <c r="D13" s="34" t="s">
        <v>22</v>
      </c>
      <c r="E13" s="34" t="s">
        <v>108</v>
      </c>
      <c r="F13" s="89"/>
      <c r="G13" s="200" t="s">
        <v>36</v>
      </c>
      <c r="H13" s="201" t="s">
        <v>603</v>
      </c>
      <c r="I13" s="99"/>
      <c r="J13" s="179" t="s">
        <v>109</v>
      </c>
      <c r="K13" s="180" t="s">
        <v>110</v>
      </c>
      <c r="L13" s="99"/>
      <c r="M13" s="140" t="s">
        <v>703</v>
      </c>
      <c r="N13" s="85" t="s">
        <v>110</v>
      </c>
      <c r="O13" s="99"/>
      <c r="P13" s="84" t="s">
        <v>478</v>
      </c>
      <c r="Q13" s="139" t="s">
        <v>480</v>
      </c>
      <c r="R13" s="86"/>
      <c r="S13" s="84" t="s">
        <v>111</v>
      </c>
      <c r="T13" s="139" t="s">
        <v>292</v>
      </c>
      <c r="U13" s="86"/>
      <c r="V13" s="84" t="s">
        <v>112</v>
      </c>
      <c r="W13" s="139" t="s">
        <v>113</v>
      </c>
      <c r="X13" s="86"/>
      <c r="Y13" s="84" t="s">
        <v>114</v>
      </c>
      <c r="Z13" s="139" t="s">
        <v>259</v>
      </c>
      <c r="AB13" s="84" t="s">
        <v>118</v>
      </c>
      <c r="AC13" s="139" t="s">
        <v>119</v>
      </c>
      <c r="AE13" s="34" t="s">
        <v>115</v>
      </c>
      <c r="AH13" s="84" t="s">
        <v>116</v>
      </c>
      <c r="AI13" s="139" t="s">
        <v>117</v>
      </c>
      <c r="AK13" s="84" t="s">
        <v>243</v>
      </c>
      <c r="AL13" s="139" t="s">
        <v>244</v>
      </c>
      <c r="AN13" s="84" t="s">
        <v>351</v>
      </c>
      <c r="AO13" s="139" t="s">
        <v>317</v>
      </c>
      <c r="AQ13" s="84" t="s">
        <v>637</v>
      </c>
      <c r="AR13" s="139" t="s">
        <v>727</v>
      </c>
      <c r="AT13" s="65" t="s">
        <v>343</v>
      </c>
      <c r="AU13" s="138"/>
    </row>
    <row r="14" spans="1:47" x14ac:dyDescent="0.2">
      <c r="A14" s="202" t="s">
        <v>120</v>
      </c>
      <c r="B14" s="182">
        <v>2.3999999999999998E-3</v>
      </c>
      <c r="C14" s="89"/>
      <c r="D14" s="87" t="s">
        <v>252</v>
      </c>
      <c r="E14" s="98">
        <v>6.5299999999999997E-2</v>
      </c>
      <c r="F14" s="89"/>
      <c r="G14" s="202" t="s">
        <v>120</v>
      </c>
      <c r="H14" s="182">
        <v>4.3900000000000002E-2</v>
      </c>
      <c r="I14" s="89"/>
      <c r="J14" s="181" t="s">
        <v>120</v>
      </c>
      <c r="K14" s="182">
        <v>8.8000000000000005E-3</v>
      </c>
      <c r="L14" s="89"/>
      <c r="M14" s="443" t="s">
        <v>120</v>
      </c>
      <c r="N14" s="88">
        <v>0.1895</v>
      </c>
      <c r="O14" s="89"/>
      <c r="P14" s="87" t="s">
        <v>120</v>
      </c>
      <c r="Q14" s="88">
        <v>6.0000000000000001E-3</v>
      </c>
      <c r="R14" s="89"/>
      <c r="S14" s="87" t="s">
        <v>120</v>
      </c>
      <c r="T14" s="318">
        <v>2.0000000000000001E-4</v>
      </c>
      <c r="U14" s="89"/>
      <c r="V14" s="87" t="s">
        <v>120</v>
      </c>
      <c r="W14" s="318">
        <v>1.3299999999999999E-2</v>
      </c>
      <c r="X14" s="89"/>
      <c r="Y14" s="87" t="s">
        <v>120</v>
      </c>
      <c r="Z14" s="318">
        <v>4.3400000000000001E-2</v>
      </c>
      <c r="AB14" s="87" t="s">
        <v>120</v>
      </c>
      <c r="AC14" s="88">
        <v>1.12E-2</v>
      </c>
      <c r="AE14" s="87" t="s">
        <v>120</v>
      </c>
      <c r="AF14" s="88">
        <f>0.004</f>
        <v>4.0000000000000001E-3</v>
      </c>
      <c r="AH14" s="87" t="s">
        <v>120</v>
      </c>
      <c r="AI14" s="88">
        <v>3.0000000000000001E-3</v>
      </c>
      <c r="AK14" s="87" t="s">
        <v>120</v>
      </c>
      <c r="AL14" s="88">
        <v>0.2127</v>
      </c>
      <c r="AN14" s="87" t="s">
        <v>120</v>
      </c>
      <c r="AO14" s="88">
        <v>1.7000000000000001E-2</v>
      </c>
      <c r="AQ14" s="87" t="s">
        <v>120</v>
      </c>
      <c r="AR14" s="88">
        <f>+AR20+AR26+AR32</f>
        <v>1.2999999999999999E-3</v>
      </c>
      <c r="AT14" s="34" t="s">
        <v>252</v>
      </c>
      <c r="AU14" s="138">
        <v>0.01</v>
      </c>
    </row>
    <row r="15" spans="1:47" x14ac:dyDescent="0.2">
      <c r="A15" s="202" t="s">
        <v>60</v>
      </c>
      <c r="B15" s="182">
        <f>0.0022+0.007+0.0097</f>
        <v>1.89E-2</v>
      </c>
      <c r="C15" s="89"/>
      <c r="D15" s="87" t="s">
        <v>60</v>
      </c>
      <c r="E15" s="98">
        <f>0.007+0.0022+0.0097</f>
        <v>1.89E-2</v>
      </c>
      <c r="F15" s="91"/>
      <c r="G15" s="202" t="s">
        <v>60</v>
      </c>
      <c r="H15" s="182">
        <f>0.0022+0.007+0.0225</f>
        <v>3.1699999999999999E-2</v>
      </c>
      <c r="I15" s="89"/>
      <c r="J15" s="181" t="s">
        <v>60</v>
      </c>
      <c r="K15" s="182">
        <f>0.0022+0.007</f>
        <v>9.1999999999999998E-3</v>
      </c>
      <c r="L15" s="89"/>
      <c r="M15" s="443" t="s">
        <v>60</v>
      </c>
      <c r="N15" s="88">
        <f>0.0022+0.007</f>
        <v>9.1999999999999998E-3</v>
      </c>
      <c r="O15" s="89"/>
      <c r="P15" s="87" t="s">
        <v>60</v>
      </c>
      <c r="Q15" s="88">
        <f>0.0022+0.007</f>
        <v>9.1999999999999998E-3</v>
      </c>
      <c r="R15" s="89"/>
      <c r="S15" s="87" t="s">
        <v>60</v>
      </c>
      <c r="T15" s="318">
        <v>2.2000000000000001E-3</v>
      </c>
      <c r="U15" s="89"/>
      <c r="V15" s="87" t="s">
        <v>60</v>
      </c>
      <c r="W15" s="318">
        <f>0.0022+0.007</f>
        <v>9.1999999999999998E-3</v>
      </c>
      <c r="X15" s="89"/>
      <c r="Y15" s="87" t="s">
        <v>60</v>
      </c>
      <c r="Z15" s="88">
        <v>2.2000000000000001E-3</v>
      </c>
      <c r="AB15" s="87" t="s">
        <v>60</v>
      </c>
      <c r="AC15" s="88">
        <f>0.0022+0.007</f>
        <v>9.1999999999999998E-3</v>
      </c>
      <c r="AE15" s="87" t="s">
        <v>60</v>
      </c>
      <c r="AF15" s="88">
        <f>0.0022+0.007</f>
        <v>9.1999999999999998E-3</v>
      </c>
      <c r="AH15" s="87" t="s">
        <v>60</v>
      </c>
      <c r="AI15" s="88">
        <f>0.0022+0.0007-0.0002</f>
        <v>2.7000000000000001E-3</v>
      </c>
      <c r="AK15" s="87" t="s">
        <v>60</v>
      </c>
      <c r="AL15" s="88">
        <f>0.0022+0.007</f>
        <v>9.1999999999999998E-3</v>
      </c>
      <c r="AN15" s="87" t="s">
        <v>60</v>
      </c>
      <c r="AO15" s="88">
        <v>0</v>
      </c>
      <c r="AQ15" s="87" t="s">
        <v>60</v>
      </c>
      <c r="AR15" s="88">
        <f>0.0022</f>
        <v>2.2000000000000001E-3</v>
      </c>
      <c r="AT15" s="34" t="s">
        <v>344</v>
      </c>
      <c r="AU15" s="138">
        <v>2.2000000000000001E-3</v>
      </c>
    </row>
    <row r="16" spans="1:47" x14ac:dyDescent="0.2">
      <c r="A16" s="202" t="s">
        <v>296</v>
      </c>
      <c r="B16" s="183">
        <f>B6/(1-0.0035)-B6</f>
        <v>2.0072754641244472E-2</v>
      </c>
      <c r="C16" s="91"/>
      <c r="D16" s="87" t="s">
        <v>296</v>
      </c>
      <c r="E16" s="90">
        <f>(E6)/(1-0.0035)-E6</f>
        <v>2.0072754641244472E-2</v>
      </c>
      <c r="F16" s="94"/>
      <c r="G16" s="472">
        <v>8.8999999999999999E-3</v>
      </c>
      <c r="H16" s="440">
        <f>(H$3)/(1-G16)-H$3</f>
        <v>5.1769246291998527E-2</v>
      </c>
      <c r="I16" s="91"/>
      <c r="J16" s="472">
        <v>3.0300000000000001E-2</v>
      </c>
      <c r="K16" s="183">
        <f>(K$5)/(1-J16)-K$5</f>
        <v>0.17420078374755033</v>
      </c>
      <c r="L16" s="91"/>
      <c r="M16" s="319">
        <v>3.0300000000000001E-2</v>
      </c>
      <c r="N16" s="90">
        <f>(N$5)/(1-M16)-N$5</f>
        <v>0.17420078374755033</v>
      </c>
      <c r="O16" s="91"/>
      <c r="P16" s="87" t="s">
        <v>484</v>
      </c>
      <c r="Q16" s="90">
        <f>+Q$3/(1-0.015)-Q$3</f>
        <v>9.0076142131979786E-2</v>
      </c>
      <c r="R16" s="91"/>
      <c r="S16" s="87" t="s">
        <v>655</v>
      </c>
      <c r="T16" s="90">
        <f>(+T3-0.108)/(1-0.00489)-(T3-0.108)</f>
        <v>2.8511199766859896E-2</v>
      </c>
      <c r="U16" s="91"/>
      <c r="V16" s="319">
        <v>2.1839999999999998E-2</v>
      </c>
      <c r="W16" s="90">
        <f>+W$3/(1-V16)-W$3</f>
        <v>0.13798478776478262</v>
      </c>
      <c r="X16" s="91"/>
      <c r="Y16" s="319">
        <v>2.2800000000000001E-2</v>
      </c>
      <c r="Z16" s="90">
        <f>+Z$3/(1-Y16)-Z$3</f>
        <v>0.14535816618911213</v>
      </c>
      <c r="AB16" s="319">
        <v>5.7999999999999996E-3</v>
      </c>
      <c r="AC16" s="90">
        <f>+AC3/(1-AB16)-AC3</f>
        <v>3.7074029370348427E-2</v>
      </c>
      <c r="AE16" s="319">
        <v>4.0000000000000001E-3</v>
      </c>
      <c r="AF16" s="90">
        <f>+AF$3/(1-AE16)-AF$3</f>
        <v>2.3654618473895717E-2</v>
      </c>
      <c r="AH16" s="319">
        <v>5.0000000000000001E-3</v>
      </c>
      <c r="AI16" s="90">
        <f>+AI3/(1-AH16)-AI3</f>
        <v>3.148241206030189E-2</v>
      </c>
      <c r="AK16" s="408">
        <v>2.75E-2</v>
      </c>
      <c r="AL16" s="90">
        <f>+AL3/(1-AK16)-AL3</f>
        <v>0.17616966580976801</v>
      </c>
      <c r="AN16" s="87" t="s">
        <v>173</v>
      </c>
      <c r="AO16" s="90">
        <f>+AO3/(1-0)-AO3</f>
        <v>0</v>
      </c>
      <c r="AQ16" s="87" t="s">
        <v>641</v>
      </c>
      <c r="AR16" s="90">
        <f>+AR3/(1-0.02)-AR3</f>
        <v>0.12734693877550995</v>
      </c>
      <c r="AT16" s="34" t="s">
        <v>345</v>
      </c>
      <c r="AU16" s="138">
        <v>0</v>
      </c>
    </row>
    <row r="17" spans="1:49" x14ac:dyDescent="0.2">
      <c r="A17" s="203"/>
      <c r="B17" s="184">
        <f>SUM(B14:B16)</f>
        <v>4.1372754641244472E-2</v>
      </c>
      <c r="C17" s="94"/>
      <c r="D17" s="87"/>
      <c r="E17" s="93">
        <f>SUM(E14:E16)</f>
        <v>0.10427275464124447</v>
      </c>
      <c r="F17" s="99"/>
      <c r="G17" s="203"/>
      <c r="H17" s="184">
        <f>SUM(H14:H16)</f>
        <v>0.12736924629199853</v>
      </c>
      <c r="I17" s="94"/>
      <c r="J17" s="181"/>
      <c r="K17" s="184">
        <f>SUM(K14:K16)</f>
        <v>0.19220078374755034</v>
      </c>
      <c r="L17" s="94"/>
      <c r="M17" s="319"/>
      <c r="N17" s="90">
        <f>SUM(N14:N16)</f>
        <v>0.37290078374755031</v>
      </c>
      <c r="O17" s="94"/>
      <c r="P17" s="92"/>
      <c r="Q17" s="93">
        <f>SUM(Q14:Q16)</f>
        <v>0.10527614213197979</v>
      </c>
      <c r="R17" s="94"/>
      <c r="S17" s="92"/>
      <c r="T17" s="93">
        <f>SUM(T14:T16)</f>
        <v>3.0911199766859895E-2</v>
      </c>
      <c r="U17" s="94"/>
      <c r="V17" s="92"/>
      <c r="W17" s="93">
        <f>SUM(W14:W16)</f>
        <v>0.16048478776478262</v>
      </c>
      <c r="X17" s="94">
        <v>0</v>
      </c>
      <c r="Y17" s="92"/>
      <c r="Z17" s="93">
        <f>SUM(Z14:Z16)</f>
        <v>0.19095816618911213</v>
      </c>
      <c r="AB17" s="92"/>
      <c r="AC17" s="93">
        <f>SUM(AC14:AC16)</f>
        <v>5.7474029370348428E-2</v>
      </c>
      <c r="AE17" s="92"/>
      <c r="AF17" s="93">
        <f>SUM(AF14:AF16)</f>
        <v>3.685461847389572E-2</v>
      </c>
      <c r="AH17" s="92"/>
      <c r="AI17" s="93">
        <f>SUM(AI14:AI16)</f>
        <v>3.7182412060301887E-2</v>
      </c>
      <c r="AK17" s="92"/>
      <c r="AL17" s="93">
        <f>SUM(AL14:AL16)</f>
        <v>0.39806966580976799</v>
      </c>
      <c r="AN17" s="92"/>
      <c r="AO17" s="93">
        <f>SUM(AO14:AO16)</f>
        <v>1.7000000000000001E-2</v>
      </c>
      <c r="AQ17" s="92"/>
      <c r="AR17" s="93">
        <f>SUM(AR14:AR16)</f>
        <v>0.13084693877550996</v>
      </c>
      <c r="AT17" s="34" t="s">
        <v>346</v>
      </c>
      <c r="AU17" s="34">
        <v>1.6E-2</v>
      </c>
    </row>
    <row r="18" spans="1:49" x14ac:dyDescent="0.2">
      <c r="A18" s="466" t="s">
        <v>22</v>
      </c>
      <c r="B18" s="180" t="s">
        <v>121</v>
      </c>
      <c r="C18" s="86"/>
      <c r="D18" s="34" t="s">
        <v>22</v>
      </c>
      <c r="E18" s="34" t="s">
        <v>122</v>
      </c>
      <c r="F18" s="89"/>
      <c r="G18" s="466" t="s">
        <v>36</v>
      </c>
      <c r="H18" s="473" t="s">
        <v>604</v>
      </c>
      <c r="I18" s="99"/>
      <c r="J18" s="179" t="s">
        <v>109</v>
      </c>
      <c r="K18" s="180" t="s">
        <v>123</v>
      </c>
      <c r="L18" s="99"/>
      <c r="M18" s="140" t="s">
        <v>703</v>
      </c>
      <c r="N18" s="85" t="s">
        <v>123</v>
      </c>
      <c r="O18" s="99"/>
      <c r="P18" s="95" t="s">
        <v>478</v>
      </c>
      <c r="Q18" s="141" t="s">
        <v>481</v>
      </c>
      <c r="R18" s="86"/>
      <c r="S18" s="95" t="s">
        <v>111</v>
      </c>
      <c r="T18" s="141" t="s">
        <v>124</v>
      </c>
      <c r="U18" s="86"/>
      <c r="V18" s="95" t="s">
        <v>112</v>
      </c>
      <c r="W18" s="141" t="s">
        <v>125</v>
      </c>
      <c r="X18" s="86"/>
      <c r="Y18" s="84" t="s">
        <v>114</v>
      </c>
      <c r="Z18" s="139" t="s">
        <v>260</v>
      </c>
      <c r="AN18" s="46"/>
      <c r="AO18" s="46"/>
      <c r="AT18" s="34" t="s">
        <v>347</v>
      </c>
      <c r="AU18" s="138">
        <f>+AU12/(1-AU17)-AU12</f>
        <v>3.292682926829249E-2</v>
      </c>
    </row>
    <row r="19" spans="1:49" x14ac:dyDescent="0.2">
      <c r="A19" s="202" t="s">
        <v>120</v>
      </c>
      <c r="B19" s="182">
        <v>5.0000000000000001E-3</v>
      </c>
      <c r="C19" s="89"/>
      <c r="D19" s="87" t="s">
        <v>120</v>
      </c>
      <c r="E19" s="98">
        <v>8.9899999999999994E-2</v>
      </c>
      <c r="F19" s="89"/>
      <c r="G19" s="202" t="s">
        <v>120</v>
      </c>
      <c r="H19" s="182">
        <v>6.6900000000000001E-2</v>
      </c>
      <c r="I19" s="89"/>
      <c r="J19" s="181" t="s">
        <v>120</v>
      </c>
      <c r="K19" s="182">
        <v>9.5999999999999992E-3</v>
      </c>
      <c r="L19" s="89"/>
      <c r="M19" s="443" t="s">
        <v>120</v>
      </c>
      <c r="N19" s="88">
        <v>0.1953</v>
      </c>
      <c r="O19" s="89"/>
      <c r="P19" s="87" t="s">
        <v>120</v>
      </c>
      <c r="Q19" s="88">
        <v>8.0000000000000002E-3</v>
      </c>
      <c r="R19" s="89"/>
      <c r="S19" s="87" t="s">
        <v>120</v>
      </c>
      <c r="T19" s="318">
        <v>1.6999999999999999E-3</v>
      </c>
      <c r="U19" s="89"/>
      <c r="V19" s="87" t="s">
        <v>120</v>
      </c>
      <c r="W19" s="318">
        <v>0.14410000000000001</v>
      </c>
      <c r="X19" s="89"/>
      <c r="Y19" s="87" t="s">
        <v>120</v>
      </c>
      <c r="Z19" s="318">
        <v>0.1943</v>
      </c>
      <c r="AB19" s="84" t="s">
        <v>118</v>
      </c>
      <c r="AC19" s="139" t="s">
        <v>127</v>
      </c>
      <c r="AE19" s="34" t="s">
        <v>128</v>
      </c>
      <c r="AH19" s="84" t="s">
        <v>116</v>
      </c>
      <c r="AI19" s="139" t="s">
        <v>126</v>
      </c>
      <c r="AK19" s="84" t="s">
        <v>243</v>
      </c>
      <c r="AL19" s="139" t="s">
        <v>529</v>
      </c>
      <c r="AN19" s="142"/>
      <c r="AO19" s="86"/>
      <c r="AQ19" s="84" t="s">
        <v>637</v>
      </c>
      <c r="AR19" s="139" t="s">
        <v>638</v>
      </c>
      <c r="AT19" s="34" t="s">
        <v>348</v>
      </c>
      <c r="AU19" s="143">
        <f>+AU18+AU16+AU15+AU14</f>
        <v>4.5126829268292493E-2</v>
      </c>
    </row>
    <row r="20" spans="1:49" ht="13.5" thickBot="1" x14ac:dyDescent="0.25">
      <c r="A20" s="202" t="s">
        <v>60</v>
      </c>
      <c r="B20" s="182">
        <f>0.0022+0.007+0.0097</f>
        <v>1.89E-2</v>
      </c>
      <c r="C20" s="89"/>
      <c r="D20" s="87" t="s">
        <v>60</v>
      </c>
      <c r="E20" s="98">
        <f>0.007+0.0022+0.0097</f>
        <v>1.89E-2</v>
      </c>
      <c r="F20" s="91"/>
      <c r="G20" s="202" t="s">
        <v>60</v>
      </c>
      <c r="H20" s="182">
        <f>0.0022+0.007+0.0225</f>
        <v>3.1699999999999999E-2</v>
      </c>
      <c r="I20" s="89"/>
      <c r="J20" s="181" t="s">
        <v>60</v>
      </c>
      <c r="K20" s="182">
        <f>0.0022</f>
        <v>2.2000000000000001E-3</v>
      </c>
      <c r="L20" s="89"/>
      <c r="M20" s="443" t="s">
        <v>60</v>
      </c>
      <c r="N20" s="88">
        <f>0.0022+0.007</f>
        <v>9.1999999999999998E-3</v>
      </c>
      <c r="O20" s="89"/>
      <c r="P20" s="87" t="s">
        <v>60</v>
      </c>
      <c r="Q20" s="88">
        <f>0.0022+0.007</f>
        <v>9.1999999999999998E-3</v>
      </c>
      <c r="R20" s="89"/>
      <c r="S20" s="87" t="s">
        <v>60</v>
      </c>
      <c r="T20" s="318">
        <v>2.2000000000000001E-3</v>
      </c>
      <c r="U20" s="89"/>
      <c r="V20" s="87" t="s">
        <v>60</v>
      </c>
      <c r="W20" s="318">
        <f>0.0022+0.007</f>
        <v>9.1999999999999998E-3</v>
      </c>
      <c r="X20" s="89"/>
      <c r="Y20" s="87" t="s">
        <v>60</v>
      </c>
      <c r="Z20" s="88">
        <v>2.2000000000000001E-3</v>
      </c>
      <c r="AB20" s="87" t="s">
        <v>120</v>
      </c>
      <c r="AC20" s="88">
        <v>0</v>
      </c>
      <c r="AE20" s="87" t="s">
        <v>120</v>
      </c>
      <c r="AF20" s="88">
        <f>0.022</f>
        <v>2.1999999999999999E-2</v>
      </c>
      <c r="AH20" s="87" t="s">
        <v>120</v>
      </c>
      <c r="AI20" s="88">
        <v>5.4000000000000003E-3</v>
      </c>
      <c r="AK20" s="87" t="s">
        <v>120</v>
      </c>
      <c r="AL20" s="88">
        <v>9.1999999999999998E-3</v>
      </c>
      <c r="AN20" s="144"/>
      <c r="AO20" s="89"/>
      <c r="AQ20" s="87" t="s">
        <v>120</v>
      </c>
      <c r="AR20" s="88">
        <f>0.0001</f>
        <v>1E-4</v>
      </c>
      <c r="AT20" s="34" t="s">
        <v>349</v>
      </c>
      <c r="AU20" s="145"/>
      <c r="AW20" s="34" t="s">
        <v>185</v>
      </c>
    </row>
    <row r="21" spans="1:49" ht="13.5" thickTop="1" x14ac:dyDescent="0.2">
      <c r="A21" s="202" t="s">
        <v>570</v>
      </c>
      <c r="B21" s="183">
        <f>B6/(1-0.0081)-B6</f>
        <v>4.6669523137413016E-2</v>
      </c>
      <c r="C21" s="91"/>
      <c r="D21" s="87" t="s">
        <v>570</v>
      </c>
      <c r="E21" s="90">
        <f>(E6)/(1-0.0081)-E6</f>
        <v>4.6669523137413016E-2</v>
      </c>
      <c r="F21" s="94"/>
      <c r="G21" s="472">
        <v>2.7900000000000001E-2</v>
      </c>
      <c r="H21" s="440">
        <f>(H$3)/(1-G21)-H$3</f>
        <v>0.16545982923567593</v>
      </c>
      <c r="I21" s="91"/>
      <c r="J21" s="472">
        <v>3.2800000000000003E-2</v>
      </c>
      <c r="K21" s="183">
        <f>(K$5)/(1-J21)-K$5</f>
        <v>0.18906120760959499</v>
      </c>
      <c r="L21" s="91"/>
      <c r="M21" s="319">
        <v>3.2800000000000003E-2</v>
      </c>
      <c r="N21" s="90">
        <f>(N$5)/(1-M21)-N$5</f>
        <v>0.18906120760959499</v>
      </c>
      <c r="O21" s="91"/>
      <c r="P21" s="87" t="s">
        <v>484</v>
      </c>
      <c r="Q21" s="90">
        <f>+Q$3/(1-0.015)-Q$3</f>
        <v>9.0076142131979786E-2</v>
      </c>
      <c r="R21" s="91"/>
      <c r="S21" s="87" t="s">
        <v>653</v>
      </c>
      <c r="T21" s="90">
        <f>+T3/(1-0.00603)-T3</f>
        <v>3.5853496584404176E-2</v>
      </c>
      <c r="U21" s="91"/>
      <c r="V21" s="319">
        <v>2.1839999999999998E-2</v>
      </c>
      <c r="W21" s="90">
        <f>+W$3/(1-V21)-W$3</f>
        <v>0.13798478776478262</v>
      </c>
      <c r="X21" s="91"/>
      <c r="Y21" s="319">
        <v>2.2800000000000001E-2</v>
      </c>
      <c r="Z21" s="90">
        <f>+Z$3/(1-Y21)-Z$3</f>
        <v>0.14535816618911213</v>
      </c>
      <c r="AB21" s="87" t="s">
        <v>60</v>
      </c>
      <c r="AC21" s="88">
        <f>0.0022+0.007</f>
        <v>9.1999999999999998E-3</v>
      </c>
      <c r="AE21" s="87" t="s">
        <v>60</v>
      </c>
      <c r="AF21" s="88">
        <f>0.007+0.0022</f>
        <v>9.1999999999999998E-3</v>
      </c>
      <c r="AH21" s="87" t="s">
        <v>60</v>
      </c>
      <c r="AI21" s="88">
        <f>0.0022+0.007+0.0012-0.0004</f>
        <v>0.01</v>
      </c>
      <c r="AK21" s="87" t="s">
        <v>60</v>
      </c>
      <c r="AL21" s="88">
        <f>0.0022+0.007</f>
        <v>9.1999999999999998E-3</v>
      </c>
      <c r="AN21" s="144"/>
      <c r="AO21" s="89"/>
      <c r="AQ21" s="87" t="s">
        <v>60</v>
      </c>
      <c r="AR21" s="88">
        <f>0.007+0.0022</f>
        <v>9.1999999999999998E-3</v>
      </c>
    </row>
    <row r="22" spans="1:49" x14ac:dyDescent="0.2">
      <c r="A22" s="203" t="s">
        <v>47</v>
      </c>
      <c r="B22" s="184">
        <f>SUM(B19:B21)</f>
        <v>7.0569523137413021E-2</v>
      </c>
      <c r="C22" s="94"/>
      <c r="D22" s="87"/>
      <c r="E22" s="93">
        <f>SUM(E19:E21)</f>
        <v>0.15546952313741302</v>
      </c>
      <c r="F22" s="94"/>
      <c r="G22" s="203"/>
      <c r="H22" s="184">
        <f>SUM(H19:H21)</f>
        <v>0.26405982923567595</v>
      </c>
      <c r="I22" s="94"/>
      <c r="J22" s="181"/>
      <c r="K22" s="184">
        <f>SUM(K19:K21)</f>
        <v>0.200861207609595</v>
      </c>
      <c r="L22" s="94"/>
      <c r="M22" s="443"/>
      <c r="N22" s="93">
        <f>SUM(N19:N21)</f>
        <v>0.39356120760959501</v>
      </c>
      <c r="O22" s="94"/>
      <c r="P22" s="92"/>
      <c r="Q22" s="93">
        <f>SUM(Q19:Q21)</f>
        <v>0.10727614213197978</v>
      </c>
      <c r="R22" s="94"/>
      <c r="S22" s="92"/>
      <c r="T22" s="93">
        <f>SUM(T19:T21)</f>
        <v>3.9753496584404177E-2</v>
      </c>
      <c r="U22" s="94"/>
      <c r="V22" s="92"/>
      <c r="W22" s="93">
        <f>SUM(W19:W21)</f>
        <v>0.29128478776478262</v>
      </c>
      <c r="X22" s="94"/>
      <c r="Y22" s="92"/>
      <c r="Z22" s="93">
        <f>SUM(Z19:Z21)</f>
        <v>0.34185816618911213</v>
      </c>
      <c r="AB22" s="319">
        <v>5.7999999999999996E-3</v>
      </c>
      <c r="AC22" s="90">
        <f>+AC$3/(1-AB22)-AC3</f>
        <v>3.7074029370348427E-2</v>
      </c>
      <c r="AE22" s="319">
        <v>3.3700000000000001E-2</v>
      </c>
      <c r="AF22" s="90">
        <f>+AF$3/(1-AE22)-AF$3</f>
        <v>0.20541550243195683</v>
      </c>
      <c r="AH22" s="319">
        <v>0.01</v>
      </c>
      <c r="AI22" s="90">
        <f>+AI3/(1-AH22)-AI3</f>
        <v>6.3282828282828163E-2</v>
      </c>
      <c r="AK22" s="408">
        <v>2.75E-2</v>
      </c>
      <c r="AL22" s="90">
        <f>+AL3/(1-AK22)-AL3</f>
        <v>0.17616966580976801</v>
      </c>
      <c r="AN22" s="144"/>
      <c r="AO22" s="91"/>
      <c r="AQ22" s="87" t="s">
        <v>641</v>
      </c>
      <c r="AR22" s="90">
        <f>+AR3/(1-0.02)-AR3</f>
        <v>0.12734693877550995</v>
      </c>
    </row>
    <row r="23" spans="1:49" x14ac:dyDescent="0.2">
      <c r="A23" s="466" t="s">
        <v>22</v>
      </c>
      <c r="B23" s="180" t="s">
        <v>129</v>
      </c>
      <c r="C23" s="86"/>
      <c r="D23" s="140" t="s">
        <v>22</v>
      </c>
      <c r="E23" s="93" t="s">
        <v>130</v>
      </c>
      <c r="F23" s="96"/>
      <c r="G23" s="466" t="s">
        <v>36</v>
      </c>
      <c r="H23" s="473" t="s">
        <v>605</v>
      </c>
      <c r="I23" s="94"/>
      <c r="J23" s="185" t="s">
        <v>109</v>
      </c>
      <c r="K23" s="186" t="s">
        <v>131</v>
      </c>
      <c r="L23" s="94"/>
      <c r="M23" s="140" t="s">
        <v>703</v>
      </c>
      <c r="N23" s="85" t="s">
        <v>131</v>
      </c>
      <c r="O23" s="94"/>
      <c r="P23" s="95" t="s">
        <v>478</v>
      </c>
      <c r="Q23" s="141" t="s">
        <v>482</v>
      </c>
      <c r="R23" s="86"/>
      <c r="S23" s="95" t="s">
        <v>111</v>
      </c>
      <c r="T23" s="141" t="s">
        <v>293</v>
      </c>
      <c r="U23" s="86"/>
      <c r="V23" s="95" t="s">
        <v>112</v>
      </c>
      <c r="W23" s="141" t="s">
        <v>132</v>
      </c>
      <c r="X23" s="86"/>
      <c r="Y23" s="86"/>
      <c r="Z23" s="86"/>
      <c r="AB23" s="92"/>
      <c r="AC23" s="93">
        <f>SUM(AC20:AC22)</f>
        <v>4.6274029370348427E-2</v>
      </c>
      <c r="AE23" s="92"/>
      <c r="AF23" s="93">
        <f>SUM(AF20:AF22)</f>
        <v>0.23661550243195684</v>
      </c>
      <c r="AH23" s="92"/>
      <c r="AI23" s="93">
        <f>SUM(AI20:AI22)</f>
        <v>7.868282828282816E-2</v>
      </c>
      <c r="AK23" s="92"/>
      <c r="AL23" s="93">
        <f>SUM(AL20:AL22)</f>
        <v>0.19456966580976801</v>
      </c>
      <c r="AN23" s="46"/>
      <c r="AO23" s="94"/>
      <c r="AQ23" s="92"/>
      <c r="AR23" s="93">
        <f>SUM(AR20:AR22)</f>
        <v>0.13664693877550996</v>
      </c>
    </row>
    <row r="24" spans="1:49" x14ac:dyDescent="0.2">
      <c r="A24" s="202" t="s">
        <v>120</v>
      </c>
      <c r="B24" s="182">
        <v>7.4999999999999997E-3</v>
      </c>
      <c r="C24" s="89"/>
      <c r="D24" s="87" t="s">
        <v>120</v>
      </c>
      <c r="E24" s="98">
        <v>0.12429999999999999</v>
      </c>
      <c r="F24" s="96"/>
      <c r="G24" s="202" t="s">
        <v>120</v>
      </c>
      <c r="H24" s="182">
        <v>8.7999999999999995E-2</v>
      </c>
      <c r="I24" s="96"/>
      <c r="J24" s="181" t="s">
        <v>120</v>
      </c>
      <c r="K24" s="182">
        <v>1.4E-2</v>
      </c>
      <c r="L24" s="96"/>
      <c r="M24" s="443" t="s">
        <v>120</v>
      </c>
      <c r="N24" s="88">
        <v>0.22969999999999999</v>
      </c>
      <c r="O24" s="96"/>
      <c r="P24" s="87" t="s">
        <v>120</v>
      </c>
      <c r="Q24" s="88">
        <v>1.2999999999999999E-2</v>
      </c>
      <c r="R24" s="89"/>
      <c r="S24" s="87" t="s">
        <v>120</v>
      </c>
      <c r="T24" s="318">
        <v>1.7000000000000001E-2</v>
      </c>
      <c r="U24" s="89"/>
      <c r="V24" s="87" t="s">
        <v>120</v>
      </c>
      <c r="W24" s="318">
        <v>0.2097</v>
      </c>
      <c r="X24" s="89"/>
      <c r="Y24" s="84" t="s">
        <v>114</v>
      </c>
      <c r="Z24" s="139" t="s">
        <v>452</v>
      </c>
      <c r="AN24" s="46"/>
      <c r="AO24" s="46"/>
    </row>
    <row r="25" spans="1:49" x14ac:dyDescent="0.2">
      <c r="A25" s="202" t="s">
        <v>60</v>
      </c>
      <c r="B25" s="182">
        <f>0.0022+0.007+0.0097</f>
        <v>1.89E-2</v>
      </c>
      <c r="C25" s="89"/>
      <c r="D25" s="87" t="s">
        <v>60</v>
      </c>
      <c r="E25" s="98">
        <f>0.007+0.0022+0.0097</f>
        <v>1.89E-2</v>
      </c>
      <c r="F25" s="91"/>
      <c r="G25" s="202" t="s">
        <v>60</v>
      </c>
      <c r="H25" s="182">
        <f>0.0022+0.007</f>
        <v>9.1999999999999998E-3</v>
      </c>
      <c r="I25" s="96"/>
      <c r="J25" s="181" t="s">
        <v>60</v>
      </c>
      <c r="K25" s="182">
        <f>0.0022+0.007</f>
        <v>9.1999999999999998E-3</v>
      </c>
      <c r="L25" s="96"/>
      <c r="M25" s="443" t="s">
        <v>60</v>
      </c>
      <c r="N25" s="88">
        <f>0.0022+0.007</f>
        <v>9.1999999999999998E-3</v>
      </c>
      <c r="O25" s="96"/>
      <c r="P25" s="87" t="s">
        <v>60</v>
      </c>
      <c r="Q25" s="88">
        <f>0.0022+0.007</f>
        <v>9.1999999999999998E-3</v>
      </c>
      <c r="R25" s="89"/>
      <c r="S25" s="87" t="s">
        <v>60</v>
      </c>
      <c r="T25" s="318">
        <v>2.2000000000000001E-3</v>
      </c>
      <c r="U25" s="89"/>
      <c r="V25" s="87" t="s">
        <v>60</v>
      </c>
      <c r="W25" s="318">
        <f>0.0022+0.007</f>
        <v>9.1999999999999998E-3</v>
      </c>
      <c r="X25" s="89"/>
      <c r="Y25" s="87" t="s">
        <v>120</v>
      </c>
      <c r="Z25" s="88">
        <v>0.15</v>
      </c>
      <c r="AB25" s="34" t="s">
        <v>266</v>
      </c>
      <c r="AE25" s="34" t="s">
        <v>138</v>
      </c>
      <c r="AH25" s="84" t="s">
        <v>116</v>
      </c>
      <c r="AI25" s="139" t="s">
        <v>253</v>
      </c>
      <c r="AK25" s="142"/>
      <c r="AL25" s="86"/>
      <c r="AN25" s="142"/>
      <c r="AO25" s="86"/>
      <c r="AQ25" s="84" t="s">
        <v>637</v>
      </c>
      <c r="AR25" s="139" t="s">
        <v>639</v>
      </c>
    </row>
    <row r="26" spans="1:49" x14ac:dyDescent="0.2">
      <c r="A26" s="202" t="s">
        <v>571</v>
      </c>
      <c r="B26" s="183">
        <f>B6/(1-0.0126)-B6</f>
        <v>7.2927891432043701E-2</v>
      </c>
      <c r="C26" s="91"/>
      <c r="D26" s="87" t="s">
        <v>571</v>
      </c>
      <c r="E26" s="90">
        <f>E6/(1-0.0126)-E6</f>
        <v>7.2927891432043701E-2</v>
      </c>
      <c r="F26" s="94"/>
      <c r="G26" s="472">
        <v>5.16E-2</v>
      </c>
      <c r="H26" s="440">
        <f>(H$3)/(1-G26)-H$3</f>
        <v>0.31365879375790762</v>
      </c>
      <c r="I26" s="91"/>
      <c r="J26" s="472">
        <v>4.5999999999999999E-2</v>
      </c>
      <c r="K26" s="183">
        <f>(K$5)/(1-J26)-K$5</f>
        <v>0.26881551362683442</v>
      </c>
      <c r="L26" s="91"/>
      <c r="M26" s="319">
        <v>4.5999999999999999E-2</v>
      </c>
      <c r="N26" s="90">
        <f>(N$5)/(1-M26)-N$5</f>
        <v>0.26881551362683442</v>
      </c>
      <c r="O26" s="91"/>
      <c r="P26" s="87" t="s">
        <v>485</v>
      </c>
      <c r="Q26" s="90">
        <f>+Q$3/(1-0.023)-Q$3</f>
        <v>0.13924769703173023</v>
      </c>
      <c r="R26" s="91"/>
      <c r="S26" s="87" t="s">
        <v>654</v>
      </c>
      <c r="T26" s="90">
        <f>+T4/(1-0.0282)-T4</f>
        <v>0.17366456946252296</v>
      </c>
      <c r="U26" s="91"/>
      <c r="V26" s="319">
        <v>2.1839999999999998E-2</v>
      </c>
      <c r="W26" s="90">
        <f>+W$3/(1-V26)-W$3</f>
        <v>0.13798478776478262</v>
      </c>
      <c r="X26" s="91"/>
      <c r="Y26" s="87" t="s">
        <v>60</v>
      </c>
      <c r="Z26" s="88">
        <v>2.2000000000000001E-3</v>
      </c>
      <c r="AB26" s="34" t="s">
        <v>652</v>
      </c>
      <c r="AE26" s="87" t="s">
        <v>120</v>
      </c>
      <c r="AF26" s="88">
        <v>2.0199999999999999E-2</v>
      </c>
      <c r="AH26" s="87" t="s">
        <v>120</v>
      </c>
      <c r="AI26" s="88">
        <v>0.46929999999999999</v>
      </c>
      <c r="AK26" s="144"/>
      <c r="AL26" s="89"/>
      <c r="AN26" s="144"/>
      <c r="AO26" s="89"/>
      <c r="AQ26" s="87" t="s">
        <v>120</v>
      </c>
      <c r="AR26" s="88">
        <v>8.9999999999999998E-4</v>
      </c>
    </row>
    <row r="27" spans="1:49" x14ac:dyDescent="0.2">
      <c r="A27" s="203"/>
      <c r="B27" s="184">
        <f>SUM(B24:B26)</f>
        <v>9.9327891432043708E-2</v>
      </c>
      <c r="C27" s="94"/>
      <c r="D27" s="87"/>
      <c r="E27" s="93">
        <f>SUM(E24:E26)</f>
        <v>0.2161278914320437</v>
      </c>
      <c r="F27" s="86"/>
      <c r="G27" s="203"/>
      <c r="H27" s="184">
        <f>SUM(H24:H26)</f>
        <v>0.41085879375790763</v>
      </c>
      <c r="I27" s="94"/>
      <c r="J27" s="181"/>
      <c r="K27" s="184">
        <f>SUM(K24:K26)</f>
        <v>0.29201551362683442</v>
      </c>
      <c r="L27" s="94"/>
      <c r="M27" s="443"/>
      <c r="N27" s="93">
        <f>SUM(N24:N26)</f>
        <v>0.50771551362683442</v>
      </c>
      <c r="O27" s="94"/>
      <c r="P27" s="92"/>
      <c r="Q27" s="93">
        <f>SUM(Q24:Q26)</f>
        <v>0.16144769703173023</v>
      </c>
      <c r="R27" s="94"/>
      <c r="S27" s="92"/>
      <c r="T27" s="93">
        <f>SUM(T24:T26)</f>
        <v>0.19286456946252295</v>
      </c>
      <c r="U27" s="94"/>
      <c r="V27" s="92"/>
      <c r="W27" s="93">
        <f>SUM(W24:W26)</f>
        <v>0.35688478776478261</v>
      </c>
      <c r="X27" s="94"/>
      <c r="Y27" s="319">
        <v>2.2800000000000001E-2</v>
      </c>
      <c r="Z27" s="90">
        <f>+Z$3/(1-Y27)-Z$3</f>
        <v>0.14535816618911213</v>
      </c>
      <c r="AB27" s="34" t="s">
        <v>446</v>
      </c>
      <c r="AE27" s="87" t="s">
        <v>60</v>
      </c>
      <c r="AF27" s="88">
        <f>0.007+0.0022</f>
        <v>9.1999999999999998E-3</v>
      </c>
      <c r="AH27" s="87" t="s">
        <v>60</v>
      </c>
      <c r="AI27" s="88">
        <f>0.0022+0.007+0.0012-0.0004</f>
        <v>0.01</v>
      </c>
      <c r="AK27" s="144"/>
      <c r="AL27" s="89"/>
      <c r="AN27" s="144"/>
      <c r="AO27" s="89"/>
      <c r="AQ27" s="87" t="s">
        <v>60</v>
      </c>
      <c r="AR27" s="88">
        <f>0.007+0.0022</f>
        <v>9.1999999999999998E-3</v>
      </c>
    </row>
    <row r="28" spans="1:49" x14ac:dyDescent="0.2">
      <c r="A28" s="200" t="s">
        <v>22</v>
      </c>
      <c r="B28" s="180" t="s">
        <v>166</v>
      </c>
      <c r="D28" s="34" t="s">
        <v>22</v>
      </c>
      <c r="E28" s="34" t="s">
        <v>353</v>
      </c>
      <c r="F28" s="89"/>
      <c r="G28" s="466" t="s">
        <v>36</v>
      </c>
      <c r="H28" s="474" t="s">
        <v>606</v>
      </c>
      <c r="I28" s="86"/>
      <c r="J28" s="179" t="s">
        <v>109</v>
      </c>
      <c r="K28" s="180" t="s">
        <v>135</v>
      </c>
      <c r="L28" s="86"/>
      <c r="M28" s="140" t="s">
        <v>703</v>
      </c>
      <c r="N28" s="85" t="s">
        <v>142</v>
      </c>
      <c r="O28" s="86"/>
      <c r="P28" s="95" t="s">
        <v>478</v>
      </c>
      <c r="Q28" s="141" t="s">
        <v>483</v>
      </c>
      <c r="S28" s="84" t="s">
        <v>111</v>
      </c>
      <c r="T28" s="139" t="s">
        <v>136</v>
      </c>
      <c r="V28" s="84" t="s">
        <v>112</v>
      </c>
      <c r="W28" s="139" t="s">
        <v>137</v>
      </c>
      <c r="Y28" s="92"/>
      <c r="Z28" s="93">
        <f>SUM(Z25:Z27)</f>
        <v>0.29755816618911213</v>
      </c>
      <c r="AB28" s="34" t="s">
        <v>445</v>
      </c>
      <c r="AE28" s="319">
        <v>3.3700000000000001E-2</v>
      </c>
      <c r="AF28" s="90">
        <f>+AF$3/(1-AE28)-AF$3</f>
        <v>0.20541550243195683</v>
      </c>
      <c r="AH28" s="319">
        <v>0.01</v>
      </c>
      <c r="AI28" s="90">
        <f>+AI3/(1-AH28)-AI3</f>
        <v>6.3282828282828163E-2</v>
      </c>
      <c r="AK28" s="144"/>
      <c r="AL28" s="91"/>
      <c r="AN28" s="144"/>
      <c r="AO28" s="91"/>
      <c r="AQ28" s="87" t="s">
        <v>641</v>
      </c>
      <c r="AR28" s="90">
        <f>+AR3/(1-0.02)-AR3</f>
        <v>0.12734693877550995</v>
      </c>
    </row>
    <row r="29" spans="1:49" x14ac:dyDescent="0.2">
      <c r="A29" s="202" t="s">
        <v>120</v>
      </c>
      <c r="B29" s="182">
        <v>1.8599999999999998E-2</v>
      </c>
      <c r="D29" s="87" t="s">
        <v>120</v>
      </c>
      <c r="E29" s="98">
        <v>0.25109999999999999</v>
      </c>
      <c r="F29" s="89"/>
      <c r="G29" s="203" t="s">
        <v>120</v>
      </c>
      <c r="H29" s="182">
        <v>9.7799999999999998E-2</v>
      </c>
      <c r="I29" s="89"/>
      <c r="J29" s="181" t="s">
        <v>120</v>
      </c>
      <c r="K29" s="182">
        <v>2.81E-2</v>
      </c>
      <c r="L29" s="89"/>
      <c r="M29" s="443" t="s">
        <v>120</v>
      </c>
      <c r="N29" s="88">
        <v>0.5242</v>
      </c>
      <c r="O29" s="89"/>
      <c r="P29" s="87" t="s">
        <v>120</v>
      </c>
      <c r="Q29" s="88">
        <v>2.1000000000000001E-2</v>
      </c>
      <c r="S29" s="87" t="s">
        <v>120</v>
      </c>
      <c r="T29" s="318">
        <v>8.7999999999999995E-2</v>
      </c>
      <c r="V29" s="87" t="s">
        <v>120</v>
      </c>
      <c r="W29" s="88" t="s">
        <v>139</v>
      </c>
      <c r="Y29" s="89" t="s">
        <v>47</v>
      </c>
      <c r="Z29" s="89" t="s">
        <v>47</v>
      </c>
      <c r="AE29" s="92"/>
      <c r="AF29" s="93">
        <f>SUM(AF26:AF28)</f>
        <v>0.23481550243195684</v>
      </c>
      <c r="AH29" s="92"/>
      <c r="AI29" s="93">
        <f>SUM(AI26:AI28)</f>
        <v>0.54258282828282822</v>
      </c>
      <c r="AK29" s="46"/>
      <c r="AL29" s="94"/>
      <c r="AN29" s="46"/>
      <c r="AO29" s="94"/>
      <c r="AQ29" s="92"/>
      <c r="AR29" s="93">
        <f>SUM(AR26:AR28)</f>
        <v>0.13744693877550995</v>
      </c>
    </row>
    <row r="30" spans="1:49" x14ac:dyDescent="0.2">
      <c r="A30" s="202" t="s">
        <v>60</v>
      </c>
      <c r="B30" s="182">
        <f>0.0022+0.007+0.0097</f>
        <v>1.89E-2</v>
      </c>
      <c r="C30" s="96"/>
      <c r="D30" s="87" t="s">
        <v>60</v>
      </c>
      <c r="E30" s="98">
        <f>0.007+0.0097+0.0022</f>
        <v>1.89E-2</v>
      </c>
      <c r="F30" s="91"/>
      <c r="G30" s="203" t="s">
        <v>60</v>
      </c>
      <c r="H30" s="182">
        <f>0.0022</f>
        <v>2.2000000000000001E-3</v>
      </c>
      <c r="I30" s="89"/>
      <c r="J30" s="181" t="s">
        <v>60</v>
      </c>
      <c r="K30" s="182">
        <f>0.0022+0.007</f>
        <v>9.1999999999999998E-3</v>
      </c>
      <c r="L30" s="89"/>
      <c r="M30" s="443" t="s">
        <v>60</v>
      </c>
      <c r="N30" s="88">
        <f>0.0022+0.007</f>
        <v>9.1999999999999998E-3</v>
      </c>
      <c r="O30" s="89"/>
      <c r="P30" s="87" t="s">
        <v>60</v>
      </c>
      <c r="Q30" s="88">
        <f>0.0022+0.007</f>
        <v>9.1999999999999998E-3</v>
      </c>
      <c r="R30" s="96"/>
      <c r="S30" s="87" t="s">
        <v>60</v>
      </c>
      <c r="T30" s="318">
        <v>2.2000000000000001E-3</v>
      </c>
      <c r="U30" s="96"/>
      <c r="V30" s="87" t="s">
        <v>60</v>
      </c>
      <c r="W30" s="88">
        <v>0</v>
      </c>
      <c r="X30" s="96"/>
      <c r="Y30" s="89" t="s">
        <v>47</v>
      </c>
      <c r="Z30" s="89" t="s">
        <v>47</v>
      </c>
      <c r="AB30" s="84" t="s">
        <v>118</v>
      </c>
      <c r="AC30" s="139" t="s">
        <v>119</v>
      </c>
      <c r="AL30" s="146"/>
      <c r="AN30" s="46"/>
      <c r="AO30" s="147"/>
    </row>
    <row r="31" spans="1:49" x14ac:dyDescent="0.2">
      <c r="A31" s="202" t="s">
        <v>572</v>
      </c>
      <c r="B31" s="183">
        <f>B6/(1-0.0316)-B6</f>
        <v>0.18648698884758375</v>
      </c>
      <c r="C31" s="91"/>
      <c r="D31" s="87" t="s">
        <v>572</v>
      </c>
      <c r="E31" s="90">
        <f>+E6/(1-0.0316)-E6</f>
        <v>0.18648698884758375</v>
      </c>
      <c r="F31" s="94"/>
      <c r="G31" s="472">
        <v>5.8799999999999998E-2</v>
      </c>
      <c r="H31" s="440">
        <f>(H$3)/(1-G31)-H$3</f>
        <v>0.36015937101572426</v>
      </c>
      <c r="I31" s="91"/>
      <c r="J31" s="472">
        <v>7.4399999999999994E-2</v>
      </c>
      <c r="K31" s="183">
        <f>(K$5)/(1-J31)-K$5</f>
        <v>0.44812013828867769</v>
      </c>
      <c r="L31" s="91"/>
      <c r="M31" s="319">
        <v>9.8799999999999999E-2</v>
      </c>
      <c r="N31" s="90">
        <f>(N$5)/(1-M31)-N$5</f>
        <v>0.61119618286728805</v>
      </c>
      <c r="O31" s="91"/>
      <c r="P31" s="87" t="s">
        <v>486</v>
      </c>
      <c r="Q31" s="90">
        <f>+Q$3/(1-0.026)-Q$3</f>
        <v>0.15789527720739205</v>
      </c>
      <c r="R31" s="91"/>
      <c r="S31" s="87" t="s">
        <v>655</v>
      </c>
      <c r="T31" s="90">
        <f>(+T3-0.108)/(1-0.00489)-(T3-0.108)</f>
        <v>2.8511199766859896E-2</v>
      </c>
      <c r="U31" s="91"/>
      <c r="V31" s="319">
        <v>2.1839999999999998E-2</v>
      </c>
      <c r="W31" s="90">
        <f>+W$3/(1-V31)-W$3</f>
        <v>0.13798478776478262</v>
      </c>
      <c r="X31" s="91"/>
      <c r="Y31" s="91"/>
      <c r="Z31" s="91"/>
      <c r="AB31" s="87" t="s">
        <v>120</v>
      </c>
      <c r="AC31" s="88">
        <v>1.12E-2</v>
      </c>
      <c r="AE31" s="34" t="s">
        <v>144</v>
      </c>
      <c r="AH31" s="84" t="s">
        <v>116</v>
      </c>
      <c r="AI31" s="139" t="s">
        <v>261</v>
      </c>
      <c r="AL31" s="146"/>
      <c r="AO31" s="146"/>
      <c r="AQ31" s="84" t="s">
        <v>637</v>
      </c>
      <c r="AR31" s="139" t="s">
        <v>640</v>
      </c>
    </row>
    <row r="32" spans="1:49" x14ac:dyDescent="0.2">
      <c r="A32" s="203"/>
      <c r="B32" s="184">
        <f>SUM(B29:B31)</f>
        <v>0.22398698884758375</v>
      </c>
      <c r="C32" s="94"/>
      <c r="D32" s="87"/>
      <c r="E32" s="93">
        <f>SUM(E29:E31)</f>
        <v>0.45648698884758376</v>
      </c>
      <c r="F32" s="86"/>
      <c r="G32" s="203"/>
      <c r="H32" s="184">
        <f>SUM(H29:H31)</f>
        <v>0.46015937101572424</v>
      </c>
      <c r="I32" s="94"/>
      <c r="J32" s="181"/>
      <c r="K32" s="184">
        <f>SUM(K29:K31)</f>
        <v>0.48542013828867769</v>
      </c>
      <c r="L32" s="94"/>
      <c r="M32" s="443"/>
      <c r="N32" s="93">
        <f>SUM(N29:N31)</f>
        <v>1.1445961828672879</v>
      </c>
      <c r="O32" s="94"/>
      <c r="P32" s="92"/>
      <c r="Q32" s="93">
        <f>SUM(Q29:Q31)</f>
        <v>0.18809527720739205</v>
      </c>
      <c r="R32" s="94"/>
      <c r="S32" s="92"/>
      <c r="T32" s="93">
        <f>SUM(T29:T31)</f>
        <v>0.11871119976685988</v>
      </c>
      <c r="U32" s="94"/>
      <c r="V32" s="92"/>
      <c r="W32" s="93">
        <f>SUM(W29:W31)</f>
        <v>0.13798478776478262</v>
      </c>
      <c r="X32" s="94"/>
      <c r="Y32" s="94"/>
      <c r="Z32" s="94"/>
      <c r="AB32" s="87" t="s">
        <v>60</v>
      </c>
      <c r="AC32" s="88">
        <f>0.0022+0.007</f>
        <v>9.1999999999999998E-3</v>
      </c>
      <c r="AE32" s="87" t="s">
        <v>120</v>
      </c>
      <c r="AF32" s="88">
        <v>1.17E-2</v>
      </c>
      <c r="AH32" s="87" t="s">
        <v>120</v>
      </c>
      <c r="AI32" s="88">
        <v>4.4999999999999998E-2</v>
      </c>
      <c r="AK32" s="148">
        <v>5.74E-2</v>
      </c>
      <c r="AL32" s="34">
        <v>5.74E-2</v>
      </c>
      <c r="AN32" s="148"/>
      <c r="AQ32" s="87" t="s">
        <v>120</v>
      </c>
      <c r="AR32" s="88">
        <v>2.9999999999999997E-4</v>
      </c>
    </row>
    <row r="33" spans="1:44" x14ac:dyDescent="0.2">
      <c r="A33" s="200" t="s">
        <v>22</v>
      </c>
      <c r="B33" s="180" t="s">
        <v>133</v>
      </c>
      <c r="C33" s="86"/>
      <c r="D33" s="34" t="s">
        <v>22</v>
      </c>
      <c r="E33" s="34" t="s">
        <v>134</v>
      </c>
      <c r="F33" s="89"/>
      <c r="G33" s="466" t="s">
        <v>36</v>
      </c>
      <c r="H33" s="474" t="s">
        <v>607</v>
      </c>
      <c r="I33" s="86"/>
      <c r="J33" s="179" t="s">
        <v>109</v>
      </c>
      <c r="K33" s="180" t="s">
        <v>142</v>
      </c>
      <c r="L33" s="86"/>
      <c r="M33" s="140" t="s">
        <v>703</v>
      </c>
      <c r="N33" s="85" t="s">
        <v>147</v>
      </c>
      <c r="O33" s="86"/>
      <c r="P33" s="142"/>
      <c r="Q33" s="86"/>
      <c r="R33" s="86"/>
      <c r="S33" s="95" t="s">
        <v>111</v>
      </c>
      <c r="T33" s="141" t="s">
        <v>143</v>
      </c>
      <c r="U33" s="86"/>
      <c r="V33" s="95" t="s">
        <v>112</v>
      </c>
      <c r="W33" s="141" t="s">
        <v>629</v>
      </c>
      <c r="X33" s="86"/>
      <c r="Y33" s="86"/>
      <c r="Z33" s="86"/>
      <c r="AB33" s="319">
        <v>5.7999999999999996E-3</v>
      </c>
      <c r="AC33" s="90">
        <f>+AC3/(1-0.0058)-AC3</f>
        <v>3.7074029370348427E-2</v>
      </c>
      <c r="AE33" s="87" t="s">
        <v>60</v>
      </c>
      <c r="AF33" s="88">
        <f>0.007+0.0022</f>
        <v>9.1999999999999998E-3</v>
      </c>
      <c r="AH33" s="87" t="s">
        <v>60</v>
      </c>
      <c r="AI33" s="88">
        <f>0.0022+0.0012</f>
        <v>3.4000000000000002E-3</v>
      </c>
      <c r="AK33" s="149"/>
      <c r="AL33" s="146"/>
      <c r="AN33" s="149"/>
      <c r="AO33" s="146"/>
      <c r="AQ33" s="87" t="s">
        <v>60</v>
      </c>
      <c r="AR33" s="88">
        <f>0.0022</f>
        <v>2.2000000000000001E-3</v>
      </c>
    </row>
    <row r="34" spans="1:44" x14ac:dyDescent="0.2">
      <c r="A34" s="202" t="s">
        <v>120</v>
      </c>
      <c r="B34" s="182">
        <v>2.7400000000000001E-2</v>
      </c>
      <c r="C34" s="89"/>
      <c r="D34" s="87" t="s">
        <v>120</v>
      </c>
      <c r="E34" s="98">
        <v>6.9400000000000003E-2</v>
      </c>
      <c r="F34" s="89"/>
      <c r="G34" s="203" t="s">
        <v>120</v>
      </c>
      <c r="H34" s="182">
        <v>0.1118</v>
      </c>
      <c r="I34" s="89"/>
      <c r="J34" s="181" t="s">
        <v>120</v>
      </c>
      <c r="K34" s="182">
        <v>4.8399999999999999E-2</v>
      </c>
      <c r="L34" s="89"/>
      <c r="M34" s="443" t="s">
        <v>120</v>
      </c>
      <c r="N34" s="88">
        <v>0.62129999999999996</v>
      </c>
      <c r="O34" s="89"/>
      <c r="P34" s="144"/>
      <c r="Q34" s="89"/>
      <c r="R34" s="89"/>
      <c r="S34" s="87" t="s">
        <v>120</v>
      </c>
      <c r="T34" s="318">
        <v>3.6600000000000001E-2</v>
      </c>
      <c r="U34" s="89"/>
      <c r="V34" s="87" t="s">
        <v>120</v>
      </c>
      <c r="W34" s="88">
        <v>0.05</v>
      </c>
      <c r="X34" s="89"/>
      <c r="Y34" s="89"/>
      <c r="Z34" s="89"/>
      <c r="AB34" s="92"/>
      <c r="AC34" s="93">
        <f>SUM(AC31:AC33)</f>
        <v>5.7474029370348428E-2</v>
      </c>
      <c r="AE34" s="319">
        <v>2.1299999999999999E-2</v>
      </c>
      <c r="AF34" s="90">
        <f>+AF$3/(1-AE34)-AF$3</f>
        <v>0.12818739143762148</v>
      </c>
      <c r="AH34" s="319">
        <v>0.01</v>
      </c>
      <c r="AI34" s="90">
        <f>+AI3/(1-AH34)-AI3</f>
        <v>6.3282828282828163E-2</v>
      </c>
      <c r="AL34" s="146"/>
      <c r="AO34" s="146"/>
      <c r="AQ34" s="87" t="s">
        <v>641</v>
      </c>
      <c r="AR34" s="90">
        <f>+AR3/(1-0.02)-AR3</f>
        <v>0.12734693877550995</v>
      </c>
    </row>
    <row r="35" spans="1:44" x14ac:dyDescent="0.2">
      <c r="A35" s="202" t="s">
        <v>60</v>
      </c>
      <c r="B35" s="182">
        <f>0.0022+0.007+0.0097</f>
        <v>1.89E-2</v>
      </c>
      <c r="C35" s="89"/>
      <c r="D35" s="87" t="s">
        <v>60</v>
      </c>
      <c r="E35" s="98">
        <v>0</v>
      </c>
      <c r="F35" s="91"/>
      <c r="G35" s="203" t="s">
        <v>60</v>
      </c>
      <c r="H35" s="182">
        <f>0.0022+0.007</f>
        <v>9.1999999999999998E-3</v>
      </c>
      <c r="I35" s="89"/>
      <c r="J35" s="181" t="s">
        <v>60</v>
      </c>
      <c r="K35" s="182">
        <f>0.0022+0.007</f>
        <v>9.1999999999999998E-3</v>
      </c>
      <c r="L35" s="89"/>
      <c r="M35" s="443" t="s">
        <v>60</v>
      </c>
      <c r="N35" s="88">
        <f>0.0022+0.007</f>
        <v>9.1999999999999998E-3</v>
      </c>
      <c r="O35" s="89"/>
      <c r="P35" s="144"/>
      <c r="Q35" s="89"/>
      <c r="R35" s="89"/>
      <c r="S35" s="87" t="s">
        <v>60</v>
      </c>
      <c r="T35" s="318">
        <v>2.2000000000000001E-3</v>
      </c>
      <c r="U35" s="89"/>
      <c r="V35" s="87" t="s">
        <v>60</v>
      </c>
      <c r="W35" s="88">
        <f>0.0022</f>
        <v>2.2000000000000001E-3</v>
      </c>
      <c r="X35" s="89"/>
      <c r="Y35" s="89"/>
      <c r="Z35" s="89"/>
      <c r="AE35" s="92"/>
      <c r="AF35" s="93">
        <f>SUM(AF32:AF34)</f>
        <v>0.14908739143762148</v>
      </c>
      <c r="AH35" s="92"/>
      <c r="AI35" s="93">
        <f>SUM(AI32:AI34)</f>
        <v>0.11168282828282816</v>
      </c>
      <c r="AL35" s="146"/>
      <c r="AO35" s="146"/>
      <c r="AQ35" s="92"/>
      <c r="AR35" s="93">
        <f>SUM(AR32:AR34)</f>
        <v>0.12984693877550996</v>
      </c>
    </row>
    <row r="36" spans="1:44" x14ac:dyDescent="0.2">
      <c r="A36" s="202" t="s">
        <v>573</v>
      </c>
      <c r="B36" s="183">
        <f>B6/(1-0.0469)-B6</f>
        <v>0.2812228517469304</v>
      </c>
      <c r="C36" s="91"/>
      <c r="D36" s="87" t="s">
        <v>575</v>
      </c>
      <c r="E36" s="90">
        <f>+E5/(1-0.0046)-E5</f>
        <v>2.6572232268435414E-2</v>
      </c>
      <c r="F36" s="94"/>
      <c r="G36" s="472">
        <v>6.7900000000000002E-2</v>
      </c>
      <c r="H36" s="440">
        <f>(H$3)/(1-G36)-H$3</f>
        <v>0.41995869541894582</v>
      </c>
      <c r="I36" s="91"/>
      <c r="J36" s="472">
        <v>9.8799999999999999E-2</v>
      </c>
      <c r="K36" s="183">
        <f>(K$5)/(1-J36)-K$5</f>
        <v>0.61119618286728805</v>
      </c>
      <c r="L36" s="91"/>
      <c r="M36" s="319">
        <v>0.1148</v>
      </c>
      <c r="N36" s="90">
        <f>(N$5)/(1-M36)-N$5</f>
        <v>0.72301174875734286</v>
      </c>
      <c r="O36" s="91"/>
      <c r="P36" s="144"/>
      <c r="Q36" s="91"/>
      <c r="R36" s="91"/>
      <c r="S36" s="87" t="s">
        <v>653</v>
      </c>
      <c r="T36" s="90">
        <f>T3/(1-0.00603)-T3</f>
        <v>3.5853496584404176E-2</v>
      </c>
      <c r="U36" s="91"/>
      <c r="V36" s="319">
        <v>2.1839999999999998E-2</v>
      </c>
      <c r="W36" s="90">
        <f>+W$3/(1-V36)-W$3</f>
        <v>0.13798478776478262</v>
      </c>
      <c r="X36" s="91"/>
      <c r="Y36" s="91"/>
      <c r="Z36" s="91"/>
      <c r="AB36" s="84" t="s">
        <v>118</v>
      </c>
      <c r="AC36" s="139" t="s">
        <v>127</v>
      </c>
      <c r="AI36" s="155">
        <f>SUM(AI35,AI3)</f>
        <v>6.3766828282828278</v>
      </c>
      <c r="AR36" s="155"/>
    </row>
    <row r="37" spans="1:44" x14ac:dyDescent="0.2">
      <c r="A37" s="203"/>
      <c r="B37" s="184">
        <f>SUM(B34:B36)</f>
        <v>0.32752285174693041</v>
      </c>
      <c r="C37" s="94"/>
      <c r="D37" s="87"/>
      <c r="E37" s="93">
        <f>SUM(E34:E36)</f>
        <v>9.5972232268435417E-2</v>
      </c>
      <c r="F37" s="86"/>
      <c r="G37" s="203"/>
      <c r="H37" s="184">
        <f>SUM(H34:H36)</f>
        <v>0.54095869541894581</v>
      </c>
      <c r="I37" s="94"/>
      <c r="J37" s="181"/>
      <c r="K37" s="184">
        <f>SUM(K34:K36)</f>
        <v>0.66879618286728804</v>
      </c>
      <c r="L37" s="94"/>
      <c r="M37" s="443"/>
      <c r="N37" s="93">
        <f>SUM(N34:N36)</f>
        <v>1.3535117487573429</v>
      </c>
      <c r="O37" s="94"/>
      <c r="P37" s="46"/>
      <c r="Q37" s="462"/>
      <c r="R37" s="94"/>
      <c r="S37" s="92"/>
      <c r="T37" s="150">
        <f>SUM(T34:T36)</f>
        <v>7.4653496584404178E-2</v>
      </c>
      <c r="U37" s="94"/>
      <c r="V37" s="92"/>
      <c r="W37" s="93">
        <f>SUM(W34:W36)</f>
        <v>0.19018478776478262</v>
      </c>
      <c r="X37" s="94"/>
      <c r="Y37" s="94"/>
      <c r="Z37" s="94"/>
      <c r="AB37" s="87" t="s">
        <v>120</v>
      </c>
      <c r="AC37" s="88">
        <v>0</v>
      </c>
      <c r="AE37" s="34" t="s">
        <v>356</v>
      </c>
      <c r="AH37" s="84" t="s">
        <v>116</v>
      </c>
      <c r="AI37" s="139" t="s">
        <v>304</v>
      </c>
      <c r="AK37" s="148"/>
      <c r="AN37" s="148"/>
      <c r="AQ37" s="142"/>
      <c r="AR37" s="86"/>
    </row>
    <row r="38" spans="1:44" x14ac:dyDescent="0.2">
      <c r="A38" s="466" t="s">
        <v>22</v>
      </c>
      <c r="B38" s="180" t="s">
        <v>140</v>
      </c>
      <c r="C38" s="86"/>
      <c r="D38" s="140" t="s">
        <v>22</v>
      </c>
      <c r="E38" s="93" t="s">
        <v>141</v>
      </c>
      <c r="F38" s="89"/>
      <c r="G38" s="466" t="s">
        <v>36</v>
      </c>
      <c r="H38" s="474" t="s">
        <v>608</v>
      </c>
      <c r="I38" s="86"/>
      <c r="J38" s="179" t="s">
        <v>109</v>
      </c>
      <c r="K38" s="180" t="s">
        <v>147</v>
      </c>
      <c r="L38" s="86"/>
      <c r="M38" s="140" t="s">
        <v>703</v>
      </c>
      <c r="N38" s="85" t="s">
        <v>150</v>
      </c>
      <c r="O38" s="86"/>
      <c r="P38" s="142"/>
      <c r="Q38" s="86"/>
      <c r="R38" s="86"/>
      <c r="S38" s="95" t="s">
        <v>111</v>
      </c>
      <c r="T38" s="141" t="s">
        <v>294</v>
      </c>
      <c r="U38" s="86"/>
      <c r="V38" s="95"/>
      <c r="W38" s="141"/>
      <c r="X38" s="86"/>
      <c r="Y38" s="86"/>
      <c r="Z38" s="86"/>
      <c r="AB38" s="87" t="s">
        <v>60</v>
      </c>
      <c r="AC38" s="88">
        <f>0.0022+0.007</f>
        <v>9.1999999999999998E-3</v>
      </c>
      <c r="AE38" s="87" t="s">
        <v>120</v>
      </c>
      <c r="AF38" s="88">
        <v>1.17E-2</v>
      </c>
      <c r="AH38" s="87" t="s">
        <v>120</v>
      </c>
      <c r="AI38" s="88">
        <f>0.04+0.004+0.0022+0.0005</f>
        <v>4.6699999999999998E-2</v>
      </c>
      <c r="AK38" s="149"/>
      <c r="AL38" s="146"/>
      <c r="AN38" s="149"/>
      <c r="AO38" s="146"/>
      <c r="AQ38" s="144"/>
      <c r="AR38" s="89"/>
    </row>
    <row r="39" spans="1:44" x14ac:dyDescent="0.2">
      <c r="A39" s="202" t="s">
        <v>120</v>
      </c>
      <c r="B39" s="182">
        <v>3.2000000000000001E-2</v>
      </c>
      <c r="C39" s="89"/>
      <c r="D39" s="87" t="s">
        <v>120</v>
      </c>
      <c r="E39" s="98">
        <v>0.1038</v>
      </c>
      <c r="F39" s="89"/>
      <c r="G39" s="203" t="s">
        <v>120</v>
      </c>
      <c r="H39" s="182">
        <v>0.1231</v>
      </c>
      <c r="I39" s="89"/>
      <c r="J39" s="181" t="s">
        <v>120</v>
      </c>
      <c r="K39" s="182">
        <v>6.2300000000000001E-2</v>
      </c>
      <c r="L39" s="89"/>
      <c r="M39" s="443" t="s">
        <v>120</v>
      </c>
      <c r="N39" s="88">
        <v>6.5799999999999997E-2</v>
      </c>
      <c r="O39" s="89"/>
      <c r="P39" s="144"/>
      <c r="Q39" s="89"/>
      <c r="R39" s="89"/>
      <c r="S39" s="87" t="s">
        <v>120</v>
      </c>
      <c r="T39" s="318">
        <v>0.12039999999999999</v>
      </c>
      <c r="U39" s="89"/>
      <c r="V39" s="87"/>
      <c r="W39" s="88"/>
      <c r="X39" s="89"/>
      <c r="Y39" s="89"/>
      <c r="Z39" s="89"/>
      <c r="AB39" s="319">
        <v>5.7999999999999996E-3</v>
      </c>
      <c r="AC39" s="90">
        <f>+AC3/(1-0.0058)-AC3</f>
        <v>3.7074029370348427E-2</v>
      </c>
      <c r="AE39" s="87" t="s">
        <v>60</v>
      </c>
      <c r="AF39" s="88">
        <f>0.007+0.0022</f>
        <v>9.1999999999999998E-3</v>
      </c>
      <c r="AH39" s="87" t="s">
        <v>60</v>
      </c>
      <c r="AI39" s="88">
        <v>0</v>
      </c>
      <c r="AL39" s="146"/>
      <c r="AO39" s="146"/>
      <c r="AQ39" s="144"/>
      <c r="AR39" s="89"/>
    </row>
    <row r="40" spans="1:44" x14ac:dyDescent="0.2">
      <c r="A40" s="202" t="s">
        <v>60</v>
      </c>
      <c r="B40" s="182">
        <f>0.0022+0.007+0.0097</f>
        <v>1.89E-2</v>
      </c>
      <c r="C40" s="89"/>
      <c r="D40" s="87" t="s">
        <v>60</v>
      </c>
      <c r="E40" s="98">
        <f>0.007+0.0022+0.0097</f>
        <v>1.89E-2</v>
      </c>
      <c r="F40" s="91"/>
      <c r="G40" s="203" t="s">
        <v>60</v>
      </c>
      <c r="H40" s="182">
        <f>0.0022+0.007</f>
        <v>9.1999999999999998E-3</v>
      </c>
      <c r="I40" s="89"/>
      <c r="J40" s="181" t="s">
        <v>60</v>
      </c>
      <c r="K40" s="182">
        <f>0.0022+0.007</f>
        <v>9.1999999999999998E-3</v>
      </c>
      <c r="L40" s="89"/>
      <c r="M40" s="443" t="s">
        <v>60</v>
      </c>
      <c r="N40" s="88">
        <f>0.0022</f>
        <v>2.2000000000000001E-3</v>
      </c>
      <c r="O40" s="89"/>
      <c r="P40" s="144"/>
      <c r="Q40" s="89"/>
      <c r="R40" s="89"/>
      <c r="S40" s="87" t="s">
        <v>60</v>
      </c>
      <c r="T40" s="318">
        <v>2.2000000000000001E-3</v>
      </c>
      <c r="U40" s="89"/>
      <c r="V40" s="87"/>
      <c r="W40" s="88"/>
      <c r="X40" s="89"/>
      <c r="Y40" s="89"/>
      <c r="Z40" s="89"/>
      <c r="AB40" s="92"/>
      <c r="AC40" s="93">
        <f>SUM(AC37:AC39)</f>
        <v>4.6274029370348427E-2</v>
      </c>
      <c r="AE40" s="319">
        <v>5.7999999999999996E-3</v>
      </c>
      <c r="AF40" s="90">
        <f>+AF$3/(1-AE40)-AF$3</f>
        <v>3.4361295513980927E-2</v>
      </c>
      <c r="AH40" s="319">
        <v>5.0000000000000001E-3</v>
      </c>
      <c r="AI40" s="90">
        <f>+AI3/(1-AH40)-AI3</f>
        <v>3.148241206030189E-2</v>
      </c>
      <c r="AL40" s="146"/>
      <c r="AO40" s="146"/>
      <c r="AQ40" s="144"/>
      <c r="AR40" s="91"/>
    </row>
    <row r="41" spans="1:44" x14ac:dyDescent="0.2">
      <c r="A41" s="202" t="s">
        <v>574</v>
      </c>
      <c r="B41" s="183">
        <f>B6/(1-0.0553)-B6</f>
        <v>0.33453953636074996</v>
      </c>
      <c r="C41" s="91"/>
      <c r="D41" s="87" t="s">
        <v>588</v>
      </c>
      <c r="E41" s="90">
        <f>E5/(1-0.0091)-E5</f>
        <v>5.2805530325966465E-2</v>
      </c>
      <c r="F41" s="94"/>
      <c r="G41" s="472">
        <v>7.8799999999999995E-2</v>
      </c>
      <c r="H41" s="440">
        <f>(H$3)/(1-G41)-H$3</f>
        <v>0.49314155449413821</v>
      </c>
      <c r="I41" s="91"/>
      <c r="J41" s="472">
        <v>0.1148</v>
      </c>
      <c r="K41" s="183">
        <f>(K$5)/(1-J41)-K$5</f>
        <v>0.72301174875734286</v>
      </c>
      <c r="L41" s="91"/>
      <c r="M41" s="319">
        <v>2.12E-2</v>
      </c>
      <c r="N41" s="90">
        <f>(N$4)/(1-M41)-N$4</f>
        <v>0.12291581528402151</v>
      </c>
      <c r="O41" s="91"/>
      <c r="P41" s="144"/>
      <c r="Q41" s="91"/>
      <c r="R41" s="91"/>
      <c r="S41" s="87" t="s">
        <v>654</v>
      </c>
      <c r="T41" s="90">
        <f>T4/(1-0.0282)-T4</f>
        <v>0.17366456946252296</v>
      </c>
      <c r="U41" s="91"/>
      <c r="V41" s="87"/>
      <c r="W41" s="90"/>
      <c r="X41" s="91"/>
      <c r="Y41" s="91"/>
      <c r="Z41" s="91"/>
      <c r="AE41" s="92"/>
      <c r="AF41" s="93">
        <f>SUM(AF38:AF40)</f>
        <v>5.5261295513980929E-2</v>
      </c>
      <c r="AH41" s="92"/>
      <c r="AI41" s="93">
        <f>SUM(AI38:AI40)</f>
        <v>7.8182412060301881E-2</v>
      </c>
      <c r="AQ41" s="46"/>
      <c r="AR41" s="94"/>
    </row>
    <row r="42" spans="1:44" x14ac:dyDescent="0.2">
      <c r="A42" s="203"/>
      <c r="B42" s="184">
        <f>SUM(B39:B41)</f>
        <v>0.38543953636074996</v>
      </c>
      <c r="C42" s="94"/>
      <c r="D42" s="87"/>
      <c r="E42" s="93">
        <f>SUM(E39:E41)</f>
        <v>0.17550553032596647</v>
      </c>
      <c r="F42" s="86"/>
      <c r="G42" s="203"/>
      <c r="H42" s="184">
        <f>SUM(H39:H41)</f>
        <v>0.62544155449413819</v>
      </c>
      <c r="I42" s="94"/>
      <c r="J42" s="181"/>
      <c r="K42" s="184">
        <f>SUM(K39:K41)</f>
        <v>0.79451174875734287</v>
      </c>
      <c r="L42" s="94"/>
      <c r="M42" s="443"/>
      <c r="N42" s="93">
        <f>SUM(N39:N41)</f>
        <v>0.19091581528402152</v>
      </c>
      <c r="O42" s="94"/>
      <c r="P42" s="46"/>
      <c r="Q42" s="94"/>
      <c r="R42" s="94"/>
      <c r="S42" s="92"/>
      <c r="T42" s="93">
        <f>SUM(T39:T41)</f>
        <v>0.29626456946252294</v>
      </c>
      <c r="U42" s="94"/>
      <c r="V42" s="92"/>
      <c r="W42" s="93"/>
      <c r="X42" s="94"/>
      <c r="Y42" s="94"/>
      <c r="Z42" s="94"/>
      <c r="AI42" s="151">
        <f>+AI41+AI3</f>
        <v>6.343182412060302</v>
      </c>
      <c r="AK42" s="148"/>
      <c r="AN42" s="148"/>
      <c r="AQ42" s="46"/>
      <c r="AR42" s="320"/>
    </row>
    <row r="43" spans="1:44" x14ac:dyDescent="0.2">
      <c r="A43" s="466" t="s">
        <v>22</v>
      </c>
      <c r="B43" s="180" t="s">
        <v>145</v>
      </c>
      <c r="C43" s="86"/>
      <c r="D43" s="34" t="s">
        <v>22</v>
      </c>
      <c r="E43" s="34" t="s">
        <v>146</v>
      </c>
      <c r="F43" s="89"/>
      <c r="G43" s="466" t="s">
        <v>36</v>
      </c>
      <c r="H43" s="474" t="s">
        <v>609</v>
      </c>
      <c r="I43" s="86"/>
      <c r="J43" s="179" t="s">
        <v>109</v>
      </c>
      <c r="K43" s="180" t="s">
        <v>150</v>
      </c>
      <c r="L43" s="86"/>
      <c r="M43" s="140" t="s">
        <v>703</v>
      </c>
      <c r="N43" s="85" t="s">
        <v>156</v>
      </c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97"/>
      <c r="Z43" s="97"/>
      <c r="AH43" s="34" t="s">
        <v>201</v>
      </c>
      <c r="AK43" s="149"/>
      <c r="AL43" s="146"/>
      <c r="AN43" s="149"/>
      <c r="AO43" s="146"/>
    </row>
    <row r="44" spans="1:44" x14ac:dyDescent="0.2">
      <c r="A44" s="202" t="s">
        <v>120</v>
      </c>
      <c r="B44" s="182">
        <v>3.0000000000000001E-3</v>
      </c>
      <c r="C44" s="89"/>
      <c r="D44" s="87" t="s">
        <v>120</v>
      </c>
      <c r="E44" s="98">
        <v>0.2306</v>
      </c>
      <c r="F44" s="89"/>
      <c r="G44" s="203" t="s">
        <v>120</v>
      </c>
      <c r="H44" s="182">
        <v>0.1608</v>
      </c>
      <c r="I44" s="89"/>
      <c r="J44" s="181" t="s">
        <v>120</v>
      </c>
      <c r="K44" s="182">
        <v>5.8999999999999999E-3</v>
      </c>
      <c r="L44" s="89"/>
      <c r="M44" s="443" t="s">
        <v>120</v>
      </c>
      <c r="N44" s="88">
        <v>0.2477</v>
      </c>
      <c r="O44" s="89"/>
      <c r="P44" s="142"/>
      <c r="Q44" s="86"/>
      <c r="R44" s="89"/>
      <c r="S44" s="95" t="s">
        <v>111</v>
      </c>
      <c r="T44" s="141" t="s">
        <v>154</v>
      </c>
      <c r="U44" s="89"/>
      <c r="V44" s="95"/>
      <c r="W44" s="141"/>
      <c r="X44" s="89"/>
      <c r="Y44" s="89"/>
      <c r="Z44" s="89"/>
      <c r="AL44" s="146"/>
      <c r="AO44" s="146"/>
    </row>
    <row r="45" spans="1:44" x14ac:dyDescent="0.2">
      <c r="A45" s="202" t="s">
        <v>60</v>
      </c>
      <c r="B45" s="182">
        <f>0.0022+0.007+0.0097</f>
        <v>1.89E-2</v>
      </c>
      <c r="C45" s="89"/>
      <c r="D45" s="87" t="s">
        <v>60</v>
      </c>
      <c r="E45" s="98">
        <f>0.007+0.0022+0.0097</f>
        <v>1.89E-2</v>
      </c>
      <c r="F45" s="91"/>
      <c r="G45" s="203" t="s">
        <v>60</v>
      </c>
      <c r="H45" s="182">
        <f>0.0022+0.007</f>
        <v>9.1999999999999998E-3</v>
      </c>
      <c r="I45" s="89"/>
      <c r="J45" s="181" t="s">
        <v>60</v>
      </c>
      <c r="K45" s="182">
        <f>0.0022</f>
        <v>2.2000000000000001E-3</v>
      </c>
      <c r="L45" s="89"/>
      <c r="M45" s="443" t="s">
        <v>60</v>
      </c>
      <c r="N45" s="88">
        <f>0.0022+0.007</f>
        <v>9.1999999999999998E-3</v>
      </c>
      <c r="O45" s="89"/>
      <c r="P45" s="144"/>
      <c r="Q45" s="89"/>
      <c r="R45" s="89"/>
      <c r="S45" s="87" t="s">
        <v>120</v>
      </c>
      <c r="T45" s="88">
        <v>0.03</v>
      </c>
      <c r="U45" s="89"/>
      <c r="V45" s="87"/>
      <c r="W45" s="88"/>
      <c r="X45" s="89"/>
      <c r="Y45" s="89"/>
      <c r="Z45" s="89"/>
      <c r="AH45" s="148">
        <v>36923</v>
      </c>
      <c r="AL45" s="146"/>
      <c r="AO45" s="146"/>
      <c r="AQ45" s="148"/>
    </row>
    <row r="46" spans="1:44" x14ac:dyDescent="0.2">
      <c r="A46" s="202" t="s">
        <v>575</v>
      </c>
      <c r="B46" s="183">
        <f>B4/(1-0.0046)-B4</f>
        <v>2.7380952380952728E-2</v>
      </c>
      <c r="C46" s="91"/>
      <c r="D46" s="87" t="s">
        <v>577</v>
      </c>
      <c r="E46" s="90">
        <f>(E5)/(1-0.0281)-E5</f>
        <v>0.16624652742051627</v>
      </c>
      <c r="F46" s="94"/>
      <c r="G46" s="472">
        <v>8.7099999999999997E-2</v>
      </c>
      <c r="H46" s="440">
        <f>(H$3)/(1-G46)-H$3</f>
        <v>0.55003998247343588</v>
      </c>
      <c r="I46" s="91"/>
      <c r="J46" s="472">
        <v>2.12E-2</v>
      </c>
      <c r="K46" s="183">
        <f>(K$4)/(1-J46)-K$4</f>
        <v>0.12291581528402151</v>
      </c>
      <c r="L46" s="91"/>
      <c r="M46" s="319">
        <v>6.3100000000000003E-2</v>
      </c>
      <c r="N46" s="90">
        <f>(N$4)/(1-M46)-N$4</f>
        <v>0.38220994769986127</v>
      </c>
      <c r="O46" s="91"/>
      <c r="P46" s="144"/>
      <c r="Q46" s="89"/>
      <c r="R46" s="91"/>
      <c r="S46" s="87" t="s">
        <v>60</v>
      </c>
      <c r="T46" s="88">
        <v>2.2000000000000001E-3</v>
      </c>
      <c r="U46" s="91"/>
      <c r="V46" s="87"/>
      <c r="W46" s="88"/>
      <c r="X46" s="91"/>
      <c r="Y46" s="91"/>
      <c r="Z46" s="91"/>
      <c r="AH46" s="149" t="s">
        <v>202</v>
      </c>
      <c r="AI46" s="146">
        <v>5.0000000000000001E-3</v>
      </c>
      <c r="AQ46" s="149"/>
      <c r="AR46" s="146"/>
    </row>
    <row r="47" spans="1:44" x14ac:dyDescent="0.2">
      <c r="A47" s="203"/>
      <c r="B47" s="184">
        <f>SUM(B44:B46)</f>
        <v>4.9280952380952731E-2</v>
      </c>
      <c r="C47" s="94"/>
      <c r="D47" s="87"/>
      <c r="E47" s="93">
        <f>SUM(E44:E46)</f>
        <v>0.41574652742051627</v>
      </c>
      <c r="F47" s="97"/>
      <c r="G47" s="203"/>
      <c r="H47" s="184">
        <f>SUM(H44:H46)</f>
        <v>0.72003998247343581</v>
      </c>
      <c r="I47" s="94"/>
      <c r="J47" s="181"/>
      <c r="K47" s="184">
        <f>SUM(K44:K46)</f>
        <v>0.13101581528402151</v>
      </c>
      <c r="L47" s="94"/>
      <c r="M47" s="443"/>
      <c r="N47" s="93">
        <f>SUM(N44:N46)</f>
        <v>0.63910994769986129</v>
      </c>
      <c r="O47" s="94"/>
      <c r="P47" s="144"/>
      <c r="Q47" s="91"/>
      <c r="R47" s="94"/>
      <c r="S47" s="87" t="s">
        <v>653</v>
      </c>
      <c r="T47" s="90">
        <f>T3/(1-0.00603)-T3</f>
        <v>3.5853496584404176E-2</v>
      </c>
      <c r="U47" s="94"/>
      <c r="V47" s="87"/>
      <c r="W47" s="90"/>
      <c r="X47" s="94"/>
      <c r="Y47" s="94"/>
      <c r="Z47" s="94"/>
      <c r="AH47" s="34" t="s">
        <v>203</v>
      </c>
      <c r="AI47" s="146">
        <v>0.01</v>
      </c>
      <c r="AK47" s="148"/>
      <c r="AN47" s="148"/>
      <c r="AR47" s="146"/>
    </row>
    <row r="48" spans="1:44" x14ac:dyDescent="0.2">
      <c r="A48" s="467" t="s">
        <v>22</v>
      </c>
      <c r="B48" s="180" t="s">
        <v>148</v>
      </c>
      <c r="C48" s="86"/>
      <c r="D48" s="140" t="s">
        <v>22</v>
      </c>
      <c r="E48" s="93" t="s">
        <v>149</v>
      </c>
      <c r="F48" s="89"/>
      <c r="G48" s="466" t="s">
        <v>36</v>
      </c>
      <c r="H48" s="473" t="s">
        <v>610</v>
      </c>
      <c r="I48" s="97"/>
      <c r="J48" s="179" t="s">
        <v>109</v>
      </c>
      <c r="K48" s="180" t="s">
        <v>153</v>
      </c>
      <c r="L48" s="97"/>
      <c r="M48" s="140" t="s">
        <v>703</v>
      </c>
      <c r="N48" s="85" t="s">
        <v>160</v>
      </c>
      <c r="O48" s="97"/>
      <c r="P48" s="46"/>
      <c r="Q48" s="94"/>
      <c r="R48" s="86"/>
      <c r="S48" s="92"/>
      <c r="T48" s="93">
        <f>SUM(T45:T47)</f>
        <v>6.8053496584404183E-2</v>
      </c>
      <c r="U48" s="86"/>
      <c r="V48" s="92"/>
      <c r="W48" s="93"/>
      <c r="X48" s="86"/>
      <c r="Y48" s="97"/>
      <c r="Z48" s="97"/>
      <c r="AH48" s="34" t="s">
        <v>204</v>
      </c>
      <c r="AI48" s="146">
        <v>5.0000000000000001E-3</v>
      </c>
      <c r="AK48" s="149"/>
      <c r="AL48" s="146"/>
      <c r="AN48" s="149"/>
      <c r="AO48" s="146"/>
      <c r="AR48" s="146"/>
    </row>
    <row r="49" spans="1:44" x14ac:dyDescent="0.2">
      <c r="A49" s="466" t="s">
        <v>120</v>
      </c>
      <c r="B49" s="182">
        <v>5.4999999999999997E-3</v>
      </c>
      <c r="C49" s="89"/>
      <c r="D49" s="87" t="s">
        <v>120</v>
      </c>
      <c r="E49" s="98">
        <v>7.9200000000000007E-2</v>
      </c>
      <c r="F49" s="89"/>
      <c r="G49" s="202" t="s">
        <v>120</v>
      </c>
      <c r="H49" s="182">
        <v>2.86E-2</v>
      </c>
      <c r="I49" s="89"/>
      <c r="J49" s="181" t="s">
        <v>120</v>
      </c>
      <c r="K49" s="182">
        <v>1.03E-2</v>
      </c>
      <c r="L49" s="89"/>
      <c r="M49" s="443" t="s">
        <v>120</v>
      </c>
      <c r="N49" s="88">
        <v>0.38979999999999998</v>
      </c>
      <c r="O49" s="89"/>
      <c r="P49" s="46"/>
      <c r="Q49" s="94"/>
      <c r="R49" s="89"/>
      <c r="S49" s="92"/>
      <c r="T49" s="93"/>
      <c r="U49" s="89"/>
      <c r="V49" s="92"/>
      <c r="W49" s="93"/>
      <c r="X49" s="89"/>
      <c r="Y49" s="89"/>
      <c r="Z49" s="89"/>
      <c r="AL49" s="146"/>
      <c r="AO49" s="146"/>
      <c r="AR49" s="146"/>
    </row>
    <row r="50" spans="1:44" x14ac:dyDescent="0.2">
      <c r="A50" s="202" t="s">
        <v>60</v>
      </c>
      <c r="B50" s="182">
        <v>2.2000000000000001E-3</v>
      </c>
      <c r="C50" s="89"/>
      <c r="D50" s="87" t="s">
        <v>60</v>
      </c>
      <c r="E50" s="98">
        <f>0.007+0.0022+0.0097</f>
        <v>1.89E-2</v>
      </c>
      <c r="F50" s="91"/>
      <c r="G50" s="202" t="s">
        <v>60</v>
      </c>
      <c r="H50" s="182">
        <f>0.0022+0.007+0.0225</f>
        <v>3.1699999999999999E-2</v>
      </c>
      <c r="I50" s="89"/>
      <c r="J50" s="181" t="s">
        <v>60</v>
      </c>
      <c r="K50" s="182">
        <f>0.0022+0.007</f>
        <v>9.1999999999999998E-3</v>
      </c>
      <c r="L50" s="89"/>
      <c r="M50" s="443" t="s">
        <v>60</v>
      </c>
      <c r="N50" s="88">
        <f>0.0022+0.007</f>
        <v>9.1999999999999998E-3</v>
      </c>
      <c r="O50" s="89"/>
      <c r="P50" s="142"/>
      <c r="Q50" s="86"/>
      <c r="R50" s="89"/>
      <c r="S50" s="95" t="s">
        <v>111</v>
      </c>
      <c r="T50" s="141" t="s">
        <v>157</v>
      </c>
      <c r="U50" s="89"/>
      <c r="V50" s="95"/>
      <c r="W50" s="141"/>
      <c r="X50" s="89"/>
      <c r="Y50" s="89"/>
      <c r="Z50" s="89"/>
      <c r="AH50" s="148">
        <v>36892</v>
      </c>
      <c r="AL50" s="146"/>
      <c r="AO50" s="146"/>
      <c r="AQ50" s="148"/>
    </row>
    <row r="51" spans="1:44" x14ac:dyDescent="0.2">
      <c r="A51" s="202" t="s">
        <v>576</v>
      </c>
      <c r="B51" s="183">
        <f>B5/(1-0.0091)-B5</f>
        <v>5.2805530325966465E-2</v>
      </c>
      <c r="C51" s="91"/>
      <c r="D51" s="87" t="s">
        <v>336</v>
      </c>
      <c r="E51" s="90">
        <f>(E4)/(1-0.0045)-E4</f>
        <v>2.6783023606228085E-2</v>
      </c>
      <c r="F51" s="94"/>
      <c r="G51" s="472">
        <v>1.01E-2</v>
      </c>
      <c r="H51" s="183">
        <f>(H$4)/(1-G51)-H$4</f>
        <v>5.9534801495100709E-2</v>
      </c>
      <c r="I51" s="91"/>
      <c r="J51" s="472">
        <v>3.4700000000000002E-2</v>
      </c>
      <c r="K51" s="183">
        <f>(K$4)/(1-J51)-K$4</f>
        <v>0.20400134673158554</v>
      </c>
      <c r="L51" s="91"/>
      <c r="M51" s="319">
        <v>8.7499999999999994E-2</v>
      </c>
      <c r="N51" s="90">
        <f>(N$4)/(1-M51)-N$4</f>
        <v>0.54417808219178099</v>
      </c>
      <c r="O51" s="91"/>
      <c r="P51" s="144"/>
      <c r="Q51" s="89"/>
      <c r="R51" s="91"/>
      <c r="S51" s="87" t="s">
        <v>120</v>
      </c>
      <c r="T51" s="88">
        <v>0.03</v>
      </c>
      <c r="U51" s="91"/>
      <c r="V51" s="87"/>
      <c r="W51" s="88"/>
      <c r="X51" s="91"/>
      <c r="Y51" s="91"/>
      <c r="Z51" s="91"/>
      <c r="AH51" s="149" t="s">
        <v>202</v>
      </c>
      <c r="AI51" s="146">
        <v>5.0000000000000001E-3</v>
      </c>
      <c r="AQ51" s="149"/>
      <c r="AR51" s="146"/>
    </row>
    <row r="52" spans="1:44" x14ac:dyDescent="0.2">
      <c r="A52" s="202"/>
      <c r="B52" s="184">
        <f>SUM(B49:B51)</f>
        <v>6.0505530325966464E-2</v>
      </c>
      <c r="C52" s="94"/>
      <c r="D52" s="87"/>
      <c r="E52" s="93">
        <f>SUM(E49:E51)</f>
        <v>0.12488302360622809</v>
      </c>
      <c r="F52" s="97"/>
      <c r="G52" s="203"/>
      <c r="H52" s="184">
        <f>SUM(H49:H51)</f>
        <v>0.1198348014951007</v>
      </c>
      <c r="I52" s="94"/>
      <c r="J52" s="181"/>
      <c r="K52" s="184">
        <f>SUM(K49:K51)</f>
        <v>0.22350134673158553</v>
      </c>
      <c r="L52" s="94"/>
      <c r="M52" s="443"/>
      <c r="N52" s="93">
        <f>SUM(N49:N51)</f>
        <v>0.94317808219178101</v>
      </c>
      <c r="O52" s="94"/>
      <c r="P52" s="144"/>
      <c r="Q52" s="89"/>
      <c r="R52" s="94"/>
      <c r="S52" s="87" t="s">
        <v>60</v>
      </c>
      <c r="T52" s="88">
        <v>2.2000000000000001E-3</v>
      </c>
      <c r="U52" s="94"/>
      <c r="V52" s="87"/>
      <c r="W52" s="88"/>
      <c r="X52" s="94"/>
      <c r="Y52" s="94"/>
      <c r="Z52" s="94"/>
      <c r="AH52" s="34" t="s">
        <v>203</v>
      </c>
      <c r="AI52" s="146">
        <v>0.01</v>
      </c>
      <c r="AR52" s="146"/>
    </row>
    <row r="53" spans="1:44" x14ac:dyDescent="0.2">
      <c r="A53" s="203" t="s">
        <v>22</v>
      </c>
      <c r="B53" s="180" t="s">
        <v>548</v>
      </c>
      <c r="C53" s="97"/>
      <c r="D53" s="34" t="s">
        <v>22</v>
      </c>
      <c r="E53" s="34" t="s">
        <v>152</v>
      </c>
      <c r="F53" s="89"/>
      <c r="G53" s="466" t="s">
        <v>36</v>
      </c>
      <c r="H53" s="473" t="s">
        <v>611</v>
      </c>
      <c r="I53" s="97"/>
      <c r="J53" s="179" t="s">
        <v>109</v>
      </c>
      <c r="K53" s="180" t="s">
        <v>156</v>
      </c>
      <c r="L53" s="97"/>
      <c r="M53" s="140" t="s">
        <v>703</v>
      </c>
      <c r="N53" s="85" t="s">
        <v>164</v>
      </c>
      <c r="O53" s="97"/>
      <c r="P53" s="144"/>
      <c r="Q53" s="91"/>
      <c r="R53" s="97"/>
      <c r="S53" s="87" t="s">
        <v>654</v>
      </c>
      <c r="T53" s="90">
        <f>T4/(1-0.0282)-T4</f>
        <v>0.17366456946252296</v>
      </c>
      <c r="U53" s="97"/>
      <c r="V53" s="87"/>
      <c r="W53" s="90"/>
      <c r="X53" s="97"/>
      <c r="Y53" s="86"/>
      <c r="Z53" s="86"/>
      <c r="AH53" s="34" t="s">
        <v>204</v>
      </c>
      <c r="AI53" s="146">
        <v>5.0000000000000001E-3</v>
      </c>
      <c r="AR53" s="146"/>
    </row>
    <row r="54" spans="1:44" x14ac:dyDescent="0.2">
      <c r="A54" s="203" t="s">
        <v>120</v>
      </c>
      <c r="B54" s="182">
        <v>1.66E-2</v>
      </c>
      <c r="C54" s="89"/>
      <c r="D54" s="87" t="s">
        <v>120</v>
      </c>
      <c r="E54" s="98">
        <v>0.20599999999999999</v>
      </c>
      <c r="F54" s="89"/>
      <c r="G54" s="202" t="s">
        <v>120</v>
      </c>
      <c r="H54" s="182">
        <v>5.7200000000000001E-2</v>
      </c>
      <c r="I54" s="89"/>
      <c r="J54" s="181" t="s">
        <v>120</v>
      </c>
      <c r="K54" s="182">
        <v>2.4400000000000002E-2</v>
      </c>
      <c r="L54" s="89"/>
      <c r="M54" s="443" t="s">
        <v>120</v>
      </c>
      <c r="N54" s="88">
        <v>0.4869</v>
      </c>
      <c r="O54" s="89"/>
      <c r="P54" s="46"/>
      <c r="Q54" s="94"/>
      <c r="R54" s="89"/>
      <c r="S54" s="92"/>
      <c r="T54" s="93">
        <f>SUM(T51:T53)</f>
        <v>0.20586456946252296</v>
      </c>
      <c r="U54" s="89"/>
      <c r="V54" s="92"/>
      <c r="W54" s="93"/>
      <c r="X54" s="89"/>
      <c r="Y54" s="89"/>
      <c r="Z54" s="89"/>
      <c r="AR54" s="146"/>
    </row>
    <row r="55" spans="1:44" x14ac:dyDescent="0.2">
      <c r="A55" s="466" t="s">
        <v>60</v>
      </c>
      <c r="B55" s="182">
        <f>0.0022+0.007+0.0097</f>
        <v>1.89E-2</v>
      </c>
      <c r="C55" s="89"/>
      <c r="D55" s="87" t="s">
        <v>60</v>
      </c>
      <c r="E55" s="98">
        <f>0.007+0.0022+0.0097</f>
        <v>1.89E-2</v>
      </c>
      <c r="F55" s="91"/>
      <c r="G55" s="202" t="s">
        <v>60</v>
      </c>
      <c r="H55" s="182">
        <f>0.0022+0.007+0.0225</f>
        <v>3.1699999999999999E-2</v>
      </c>
      <c r="I55" s="89"/>
      <c r="J55" s="181" t="s">
        <v>60</v>
      </c>
      <c r="K55" s="182">
        <f>0.0022+0.007</f>
        <v>9.1999999999999998E-3</v>
      </c>
      <c r="L55" s="89"/>
      <c r="M55" s="443" t="s">
        <v>60</v>
      </c>
      <c r="N55" s="88">
        <f>0.0022+0.007</f>
        <v>9.1999999999999998E-3</v>
      </c>
      <c r="O55" s="89"/>
      <c r="P55" s="86"/>
      <c r="Q55" s="94"/>
      <c r="R55" s="89"/>
      <c r="S55" s="86"/>
      <c r="T55" s="94">
        <f>+T54+T48</f>
        <v>0.27391806604692714</v>
      </c>
      <c r="U55" s="89"/>
      <c r="V55" s="86"/>
      <c r="W55" s="94"/>
      <c r="X55" s="89"/>
      <c r="Y55" s="89"/>
      <c r="Z55" s="89"/>
      <c r="AH55" s="148">
        <v>36861</v>
      </c>
      <c r="AQ55" s="148"/>
    </row>
    <row r="56" spans="1:44" x14ac:dyDescent="0.2">
      <c r="A56" s="202" t="s">
        <v>577</v>
      </c>
      <c r="B56" s="183">
        <f>B$5/(1-0.0281)-B$5</f>
        <v>0.16624652742051627</v>
      </c>
      <c r="C56" s="91"/>
      <c r="D56" s="87" t="s">
        <v>580</v>
      </c>
      <c r="E56" s="90">
        <f>(E4)/(1-0.0235)-E4</f>
        <v>0.14258832565284152</v>
      </c>
      <c r="F56" s="94"/>
      <c r="G56" s="472">
        <v>1.9099999999999999E-2</v>
      </c>
      <c r="H56" s="183">
        <f>(H$4)/(1-G56)-H$4</f>
        <v>0.11361861555714103</v>
      </c>
      <c r="I56" s="91"/>
      <c r="J56" s="472">
        <v>6.3100000000000003E-2</v>
      </c>
      <c r="K56" s="183">
        <f>(K$4)/(1-J56)-K$4</f>
        <v>0.38220994769986127</v>
      </c>
      <c r="L56" s="91"/>
      <c r="M56" s="319">
        <v>0.10349999999999999</v>
      </c>
      <c r="N56" s="90">
        <f>(N$4)/(1-M56)-N$4</f>
        <v>0.65517289459007255</v>
      </c>
      <c r="O56" s="91"/>
      <c r="P56" s="142"/>
      <c r="Q56" s="86"/>
      <c r="R56" s="91"/>
      <c r="S56" s="84" t="s">
        <v>47</v>
      </c>
      <c r="T56" s="139" t="s">
        <v>47</v>
      </c>
      <c r="U56" s="91"/>
      <c r="V56" s="84"/>
      <c r="W56" s="139"/>
      <c r="X56" s="91"/>
      <c r="Y56" s="91"/>
      <c r="Z56" s="91"/>
      <c r="AH56" s="149" t="s">
        <v>202</v>
      </c>
      <c r="AI56" s="146">
        <v>5.0000000000000001E-3</v>
      </c>
      <c r="AQ56" s="149"/>
      <c r="AR56" s="146"/>
    </row>
    <row r="57" spans="1:44" x14ac:dyDescent="0.2">
      <c r="A57" s="202"/>
      <c r="B57" s="184">
        <f>SUM(B54:B56)</f>
        <v>0.20174652742051627</v>
      </c>
      <c r="C57" s="94"/>
      <c r="D57" s="87"/>
      <c r="E57" s="93">
        <f>SUM(E54:E56)</f>
        <v>0.36748832565284151</v>
      </c>
      <c r="F57" s="86"/>
      <c r="G57" s="203"/>
      <c r="H57" s="184">
        <f>SUM(H54:H56)</f>
        <v>0.20251861555714104</v>
      </c>
      <c r="I57" s="94"/>
      <c r="J57" s="181"/>
      <c r="K57" s="184">
        <f>SUM(K54:K56)</f>
        <v>0.41580994769986129</v>
      </c>
      <c r="L57" s="94"/>
      <c r="M57" s="443"/>
      <c r="N57" s="93">
        <f>SUM(N54:N56)</f>
        <v>1.1512728945900725</v>
      </c>
      <c r="O57" s="94"/>
      <c r="P57" s="144"/>
      <c r="Q57" s="89"/>
      <c r="R57" s="94"/>
      <c r="S57" s="87"/>
      <c r="T57" s="88" t="s">
        <v>47</v>
      </c>
      <c r="U57" s="94"/>
      <c r="V57" s="87"/>
      <c r="W57" s="88"/>
      <c r="X57" s="94"/>
      <c r="Y57" s="94"/>
      <c r="Z57" s="94"/>
      <c r="AH57" s="34" t="s">
        <v>203</v>
      </c>
      <c r="AI57" s="146">
        <v>0.01</v>
      </c>
      <c r="AR57" s="146"/>
    </row>
    <row r="58" spans="1:44" x14ac:dyDescent="0.2">
      <c r="A58" s="203" t="s">
        <v>22</v>
      </c>
      <c r="B58" s="180" t="s">
        <v>151</v>
      </c>
      <c r="C58" s="97"/>
      <c r="D58" s="34" t="s">
        <v>22</v>
      </c>
      <c r="E58" s="34" t="s">
        <v>251</v>
      </c>
      <c r="F58" s="89"/>
      <c r="G58" s="466" t="s">
        <v>36</v>
      </c>
      <c r="H58" s="473" t="s">
        <v>612</v>
      </c>
      <c r="I58" s="86"/>
      <c r="J58" s="179" t="s">
        <v>109</v>
      </c>
      <c r="K58" s="180" t="s">
        <v>160</v>
      </c>
      <c r="L58" s="86"/>
      <c r="M58" s="140" t="s">
        <v>703</v>
      </c>
      <c r="N58" s="85" t="s">
        <v>198</v>
      </c>
      <c r="O58" s="86"/>
      <c r="P58" s="144"/>
      <c r="Q58" s="89"/>
      <c r="R58" s="97"/>
      <c r="S58" s="87"/>
      <c r="T58" s="88"/>
      <c r="U58" s="97"/>
      <c r="V58" s="87"/>
      <c r="W58" s="88"/>
      <c r="X58" s="97"/>
      <c r="Y58" s="86"/>
      <c r="Z58" s="86"/>
      <c r="AH58" s="34" t="s">
        <v>204</v>
      </c>
      <c r="AI58" s="146">
        <v>5.0000000000000001E-3</v>
      </c>
      <c r="AR58" s="146"/>
    </row>
    <row r="59" spans="1:44" x14ac:dyDescent="0.2">
      <c r="A59" s="203" t="s">
        <v>120</v>
      </c>
      <c r="B59" s="182">
        <v>2.5399999999999999E-2</v>
      </c>
      <c r="C59" s="89"/>
      <c r="D59" s="87" t="s">
        <v>120</v>
      </c>
      <c r="E59" s="98">
        <v>0.3528</v>
      </c>
      <c r="F59" s="89"/>
      <c r="G59" s="202" t="s">
        <v>120</v>
      </c>
      <c r="H59" s="182">
        <v>7.7600000000000002E-2</v>
      </c>
      <c r="I59" s="89"/>
      <c r="J59" s="181" t="s">
        <v>120</v>
      </c>
      <c r="K59" s="182">
        <v>4.4699999999999997E-2</v>
      </c>
      <c r="L59" s="89"/>
      <c r="M59" s="443" t="s">
        <v>120</v>
      </c>
      <c r="N59" s="88">
        <v>9.5299999999999996E-2</v>
      </c>
      <c r="O59" s="89"/>
      <c r="P59" s="144"/>
      <c r="Q59" s="91"/>
      <c r="R59" s="89"/>
      <c r="S59" s="87"/>
      <c r="T59" s="90"/>
      <c r="U59" s="89"/>
      <c r="V59" s="87"/>
      <c r="W59" s="90"/>
      <c r="X59" s="89"/>
      <c r="Y59" s="89"/>
      <c r="Z59" s="89"/>
      <c r="AR59" s="146"/>
    </row>
    <row r="60" spans="1:44" x14ac:dyDescent="0.2">
      <c r="A60" s="466" t="s">
        <v>60</v>
      </c>
      <c r="B60" s="182">
        <f>0.0022+0.007+0.0097</f>
        <v>1.89E-2</v>
      </c>
      <c r="C60" s="89"/>
      <c r="D60" s="87" t="s">
        <v>60</v>
      </c>
      <c r="E60" s="98">
        <f>0.0097+0.007+0.0022</f>
        <v>1.89E-2</v>
      </c>
      <c r="F60" s="91"/>
      <c r="G60" s="202" t="s">
        <v>60</v>
      </c>
      <c r="H60" s="182">
        <f>0.0022+0.007</f>
        <v>9.1999999999999998E-3</v>
      </c>
      <c r="I60" s="89"/>
      <c r="J60" s="181" t="s">
        <v>60</v>
      </c>
      <c r="K60" s="182">
        <f>0.0022+0.007</f>
        <v>9.1999999999999998E-3</v>
      </c>
      <c r="L60" s="89"/>
      <c r="M60" s="443" t="s">
        <v>60</v>
      </c>
      <c r="N60" s="88">
        <f>0.0022+0.007</f>
        <v>9.1999999999999998E-3</v>
      </c>
      <c r="O60" s="89"/>
      <c r="P60" s="46"/>
      <c r="Q60" s="94"/>
      <c r="R60" s="89"/>
      <c r="S60" s="92" t="s">
        <v>47</v>
      </c>
      <c r="T60" s="93" t="s">
        <v>47</v>
      </c>
      <c r="U60" s="89"/>
      <c r="V60" s="92"/>
      <c r="W60" s="93"/>
      <c r="X60" s="89"/>
      <c r="Y60" s="89"/>
      <c r="Z60" s="89"/>
      <c r="AH60" s="148">
        <v>36831</v>
      </c>
      <c r="AQ60" s="148"/>
    </row>
    <row r="61" spans="1:44" x14ac:dyDescent="0.2">
      <c r="A61" s="202" t="s">
        <v>578</v>
      </c>
      <c r="B61" s="183">
        <f>B5/(1-0.0434)-B5</f>
        <v>0.26087183775872891</v>
      </c>
      <c r="C61" s="91"/>
      <c r="D61" s="87" t="s">
        <v>297</v>
      </c>
      <c r="E61" s="90">
        <f>(E4)/(1-0.0472)-E4</f>
        <v>0.29351385390428231</v>
      </c>
      <c r="F61" s="94"/>
      <c r="G61" s="472">
        <v>4.2799999999999998E-2</v>
      </c>
      <c r="H61" s="183">
        <f>(H$4)/(1-G61)-H$4</f>
        <v>0.26090472210614291</v>
      </c>
      <c r="I61" s="91"/>
      <c r="J61" s="472">
        <v>8.7499999999999994E-2</v>
      </c>
      <c r="K61" s="183">
        <f>(K$4)/(1-J61)-K$4</f>
        <v>0.54417808219178099</v>
      </c>
      <c r="L61" s="91"/>
      <c r="M61" s="319">
        <v>2.98E-2</v>
      </c>
      <c r="N61" s="90">
        <f>(N$3)/(1-M61)-N$3</f>
        <v>0.17661306947021238</v>
      </c>
      <c r="O61" s="91"/>
      <c r="P61" s="142"/>
      <c r="Q61" s="86"/>
      <c r="R61" s="91"/>
      <c r="S61" s="95" t="s">
        <v>47</v>
      </c>
      <c r="T61" s="141" t="s">
        <v>47</v>
      </c>
      <c r="U61" s="91"/>
      <c r="V61" s="95"/>
      <c r="W61" s="141"/>
      <c r="X61" s="91"/>
      <c r="Y61" s="91"/>
      <c r="Z61" s="91"/>
      <c r="AH61" s="149" t="s">
        <v>202</v>
      </c>
      <c r="AI61" s="146">
        <v>3.0000000000000001E-3</v>
      </c>
      <c r="AQ61" s="149"/>
      <c r="AR61" s="146"/>
    </row>
    <row r="62" spans="1:44" x14ac:dyDescent="0.2">
      <c r="A62" s="202"/>
      <c r="B62" s="184">
        <f>SUM(B59:B61)</f>
        <v>0.30517183775872891</v>
      </c>
      <c r="C62" s="94"/>
      <c r="D62" s="87"/>
      <c r="E62" s="93">
        <f>SUM(E59:E61)</f>
        <v>0.66521385390428234</v>
      </c>
      <c r="F62" s="86"/>
      <c r="G62" s="203"/>
      <c r="H62" s="184">
        <f>SUM(H59:H61)</f>
        <v>0.34770472210614289</v>
      </c>
      <c r="I62" s="94"/>
      <c r="J62" s="181"/>
      <c r="K62" s="184">
        <f>SUM(K59:K61)</f>
        <v>0.59807808219178094</v>
      </c>
      <c r="L62" s="94"/>
      <c r="M62" s="443"/>
      <c r="N62" s="93">
        <f>SUM(N59:N61)</f>
        <v>0.28111306947021236</v>
      </c>
      <c r="O62" s="94"/>
      <c r="P62" s="144"/>
      <c r="Q62" s="89"/>
      <c r="R62" s="94"/>
      <c r="S62" s="87" t="s">
        <v>47</v>
      </c>
      <c r="T62" s="88" t="s">
        <v>47</v>
      </c>
      <c r="U62" s="94"/>
      <c r="V62" s="87"/>
      <c r="W62" s="88"/>
      <c r="X62" s="94"/>
      <c r="Y62" s="94"/>
      <c r="Z62" s="94"/>
      <c r="AH62" s="34" t="s">
        <v>203</v>
      </c>
      <c r="AI62" s="146">
        <v>6.0000000000000001E-3</v>
      </c>
      <c r="AR62" s="146"/>
    </row>
    <row r="63" spans="1:44" x14ac:dyDescent="0.2">
      <c r="A63" s="202" t="s">
        <v>22</v>
      </c>
      <c r="B63" s="180" t="s">
        <v>155</v>
      </c>
      <c r="C63" s="86"/>
      <c r="D63" s="34" t="s">
        <v>22</v>
      </c>
      <c r="E63" s="34" t="s">
        <v>159</v>
      </c>
      <c r="F63" s="89"/>
      <c r="G63" s="466" t="s">
        <v>36</v>
      </c>
      <c r="H63" s="473" t="s">
        <v>613</v>
      </c>
      <c r="I63" s="86"/>
      <c r="J63" s="179" t="s">
        <v>109</v>
      </c>
      <c r="K63" s="180" t="s">
        <v>164</v>
      </c>
      <c r="L63" s="86"/>
      <c r="M63" s="140" t="s">
        <v>703</v>
      </c>
      <c r="N63" s="85" t="s">
        <v>174</v>
      </c>
      <c r="O63" s="86"/>
      <c r="P63" s="144"/>
      <c r="Q63" s="89"/>
      <c r="R63" s="86"/>
      <c r="S63" s="87" t="s">
        <v>47</v>
      </c>
      <c r="T63" s="88" t="s">
        <v>47</v>
      </c>
      <c r="U63" s="86"/>
      <c r="V63" s="87"/>
      <c r="W63" s="88"/>
      <c r="X63" s="86"/>
      <c r="Y63" s="99"/>
      <c r="Z63" s="99"/>
      <c r="AH63" s="34" t="s">
        <v>204</v>
      </c>
      <c r="AI63" s="146">
        <v>3.0000000000000001E-3</v>
      </c>
      <c r="AR63" s="146"/>
    </row>
    <row r="64" spans="1:44" x14ac:dyDescent="0.2">
      <c r="A64" s="203" t="s">
        <v>120</v>
      </c>
      <c r="B64" s="182">
        <v>0.03</v>
      </c>
      <c r="C64" s="89"/>
      <c r="D64" s="87" t="s">
        <v>120</v>
      </c>
      <c r="E64" s="98">
        <v>0.1716</v>
      </c>
      <c r="F64" s="89"/>
      <c r="G64" s="202" t="s">
        <v>120</v>
      </c>
      <c r="H64" s="182">
        <v>8.7400000000000005E-2</v>
      </c>
      <c r="I64" s="89"/>
      <c r="J64" s="181" t="s">
        <v>120</v>
      </c>
      <c r="K64" s="182">
        <v>5.8599999999999999E-2</v>
      </c>
      <c r="L64" s="89"/>
      <c r="M64" s="443" t="s">
        <v>120</v>
      </c>
      <c r="N64" s="88">
        <v>7.9100000000000004E-2</v>
      </c>
      <c r="O64" s="89"/>
      <c r="P64" s="144"/>
      <c r="Q64" s="91"/>
      <c r="R64" s="89"/>
      <c r="S64" s="87" t="s">
        <v>47</v>
      </c>
      <c r="T64" s="90" t="s">
        <v>47</v>
      </c>
      <c r="U64" s="89"/>
      <c r="V64" s="87"/>
      <c r="W64" s="90"/>
      <c r="X64" s="89"/>
      <c r="Y64" s="89"/>
      <c r="Z64" s="89"/>
      <c r="AR64" s="146"/>
    </row>
    <row r="65" spans="1:44" x14ac:dyDescent="0.2">
      <c r="A65" s="198" t="s">
        <v>60</v>
      </c>
      <c r="B65" s="182">
        <f>0.0022+0.007+0.0097</f>
        <v>1.89E-2</v>
      </c>
      <c r="C65" s="89"/>
      <c r="D65" s="87" t="s">
        <v>60</v>
      </c>
      <c r="E65" s="88">
        <f>0.0022+0.007+0.0097</f>
        <v>1.89E-2</v>
      </c>
      <c r="F65" s="91"/>
      <c r="G65" s="202" t="s">
        <v>60</v>
      </c>
      <c r="H65" s="182">
        <f>0.0022</f>
        <v>2.2000000000000001E-3</v>
      </c>
      <c r="I65" s="89"/>
      <c r="J65" s="181" t="s">
        <v>60</v>
      </c>
      <c r="K65" s="182">
        <f>0.0022+0.007</f>
        <v>9.1999999999999998E-3</v>
      </c>
      <c r="L65" s="89"/>
      <c r="M65" s="443" t="s">
        <v>60</v>
      </c>
      <c r="N65" s="88">
        <f>0.0022+0.007</f>
        <v>9.1999999999999998E-3</v>
      </c>
      <c r="O65" s="89"/>
      <c r="P65" s="46"/>
      <c r="Q65" s="94"/>
      <c r="R65" s="89"/>
      <c r="S65" s="92"/>
      <c r="T65" s="93" t="s">
        <v>47</v>
      </c>
      <c r="U65" s="89"/>
      <c r="V65" s="92"/>
      <c r="W65" s="93"/>
      <c r="X65" s="89"/>
      <c r="Y65" s="89"/>
      <c r="Z65" s="89"/>
      <c r="AH65" s="148">
        <v>36800</v>
      </c>
      <c r="AQ65" s="148"/>
    </row>
    <row r="66" spans="1:44" x14ac:dyDescent="0.2">
      <c r="A66" s="468" t="s">
        <v>579</v>
      </c>
      <c r="B66" s="183">
        <f>B5/(1-0.0518)-B5</f>
        <v>0.31412149335583184</v>
      </c>
      <c r="C66" s="91"/>
      <c r="D66" s="87" t="s">
        <v>582</v>
      </c>
      <c r="E66" s="90">
        <f>(E$3)/(1-0.019)-E$3</f>
        <v>0.11446483180428135</v>
      </c>
      <c r="F66" s="94"/>
      <c r="G66" s="472">
        <v>4.99E-2</v>
      </c>
      <c r="H66" s="183">
        <f>(H$4)/(1-G66)-H$4</f>
        <v>0.3064587938111778</v>
      </c>
      <c r="I66" s="91"/>
      <c r="J66" s="472">
        <v>0.10349999999999999</v>
      </c>
      <c r="K66" s="183">
        <f>(K$4)/(1-J66)-K$4</f>
        <v>0.65517289459007255</v>
      </c>
      <c r="L66" s="91"/>
      <c r="M66" s="319">
        <v>2.98E-2</v>
      </c>
      <c r="N66" s="90">
        <f>(N$3)/(1-M66)-N$3</f>
        <v>0.17661306947021238</v>
      </c>
      <c r="O66" s="91"/>
      <c r="P66" s="142"/>
      <c r="Q66" s="86"/>
      <c r="R66" s="91"/>
      <c r="S66" s="95" t="s">
        <v>47</v>
      </c>
      <c r="T66" s="141" t="s">
        <v>47</v>
      </c>
      <c r="U66" s="91"/>
      <c r="V66" s="95"/>
      <c r="W66" s="141"/>
      <c r="X66" s="91"/>
      <c r="Y66" s="91"/>
      <c r="Z66" s="91"/>
      <c r="AH66" s="149" t="s">
        <v>202</v>
      </c>
      <c r="AI66" s="146">
        <v>1E-3</v>
      </c>
      <c r="AQ66" s="149"/>
      <c r="AR66" s="146"/>
    </row>
    <row r="67" spans="1:44" x14ac:dyDescent="0.2">
      <c r="A67" s="202"/>
      <c r="B67" s="184">
        <f>SUM(B64:B66)</f>
        <v>0.36302149335583184</v>
      </c>
      <c r="C67" s="94"/>
      <c r="D67" s="87"/>
      <c r="E67" s="93">
        <f>SUM(E64:E66)</f>
        <v>0.30496483180428136</v>
      </c>
      <c r="F67" s="99"/>
      <c r="G67" s="203"/>
      <c r="H67" s="184">
        <f>SUM(H64:H66)</f>
        <v>0.39605879381117781</v>
      </c>
      <c r="I67" s="94"/>
      <c r="J67" s="181"/>
      <c r="K67" s="184">
        <f>SUM(K64:K66)</f>
        <v>0.72297289459007252</v>
      </c>
      <c r="L67" s="94"/>
      <c r="M67" s="443"/>
      <c r="N67" s="93">
        <f>SUM(N64:N66)</f>
        <v>0.26491306947021237</v>
      </c>
      <c r="O67" s="94"/>
      <c r="P67" s="144"/>
      <c r="Q67" s="89"/>
      <c r="R67" s="94"/>
      <c r="S67" s="87"/>
      <c r="T67" s="88"/>
      <c r="U67" s="94"/>
      <c r="V67" s="87"/>
      <c r="W67" s="88"/>
      <c r="X67" s="94"/>
      <c r="Y67" s="94"/>
      <c r="Z67" s="94"/>
      <c r="AH67" s="34" t="s">
        <v>203</v>
      </c>
      <c r="AI67" s="146">
        <v>2E-3</v>
      </c>
      <c r="AR67" s="146"/>
    </row>
    <row r="68" spans="1:44" x14ac:dyDescent="0.2">
      <c r="A68" s="202" t="s">
        <v>22</v>
      </c>
      <c r="B68" s="180" t="s">
        <v>158</v>
      </c>
      <c r="C68" s="86"/>
      <c r="D68" s="34" t="s">
        <v>22</v>
      </c>
      <c r="E68" s="34" t="s">
        <v>789</v>
      </c>
      <c r="F68" s="89"/>
      <c r="G68" s="466" t="s">
        <v>36</v>
      </c>
      <c r="H68" s="473" t="s">
        <v>614</v>
      </c>
      <c r="I68" s="99"/>
      <c r="J68" s="179" t="s">
        <v>109</v>
      </c>
      <c r="K68" s="180" t="s">
        <v>199</v>
      </c>
      <c r="L68" s="99"/>
      <c r="M68" s="140" t="s">
        <v>703</v>
      </c>
      <c r="N68" s="85" t="s">
        <v>176</v>
      </c>
      <c r="O68" s="99"/>
      <c r="P68" s="144"/>
      <c r="Q68" s="89"/>
      <c r="R68" s="86"/>
      <c r="S68" s="87"/>
      <c r="T68" s="88"/>
      <c r="U68" s="86"/>
      <c r="V68" s="87"/>
      <c r="W68" s="88"/>
      <c r="X68" s="86"/>
      <c r="Y68" s="99"/>
      <c r="Z68" s="99"/>
      <c r="AH68" s="34" t="s">
        <v>204</v>
      </c>
      <c r="AI68" s="146">
        <v>1E-3</v>
      </c>
      <c r="AR68" s="146"/>
    </row>
    <row r="69" spans="1:44" x14ac:dyDescent="0.2">
      <c r="A69" s="202" t="s">
        <v>120</v>
      </c>
      <c r="B69" s="182">
        <v>2.8999999999999998E-3</v>
      </c>
      <c r="C69" s="89"/>
      <c r="D69" s="87" t="s">
        <v>120</v>
      </c>
      <c r="E69" s="98">
        <v>0.26600000000000001</v>
      </c>
      <c r="F69" s="89"/>
      <c r="G69" s="202" t="s">
        <v>120</v>
      </c>
      <c r="H69" s="182">
        <v>0.1014</v>
      </c>
      <c r="I69" s="89"/>
      <c r="J69" s="181" t="s">
        <v>120</v>
      </c>
      <c r="K69" s="182">
        <v>1.4E-2</v>
      </c>
      <c r="L69" s="89"/>
      <c r="M69" s="443" t="s">
        <v>120</v>
      </c>
      <c r="N69" s="88">
        <v>0.23150000000000001</v>
      </c>
      <c r="O69" s="89"/>
      <c r="P69" s="144"/>
      <c r="Q69" s="91"/>
      <c r="R69" s="89"/>
      <c r="S69" s="87"/>
      <c r="T69" s="90"/>
      <c r="U69" s="89"/>
      <c r="V69" s="87"/>
      <c r="W69" s="90"/>
      <c r="X69" s="89"/>
      <c r="Y69" s="89"/>
      <c r="Z69" s="89"/>
      <c r="AR69" s="146"/>
    </row>
    <row r="70" spans="1:44" x14ac:dyDescent="0.2">
      <c r="A70" s="203" t="s">
        <v>60</v>
      </c>
      <c r="B70" s="182">
        <f>0.0022+0.007+0.0097</f>
        <v>1.89E-2</v>
      </c>
      <c r="C70" s="89"/>
      <c r="D70" s="87" t="s">
        <v>60</v>
      </c>
      <c r="E70" s="88">
        <f>0.0022+0.007+0.0097</f>
        <v>1.89E-2</v>
      </c>
      <c r="F70" s="91"/>
      <c r="G70" s="202" t="s">
        <v>60</v>
      </c>
      <c r="H70" s="182">
        <f>0.0022+0.007</f>
        <v>9.1999999999999998E-3</v>
      </c>
      <c r="I70" s="89"/>
      <c r="J70" s="181" t="s">
        <v>60</v>
      </c>
      <c r="K70" s="182">
        <f>0.0022+0.007</f>
        <v>9.1999999999999998E-3</v>
      </c>
      <c r="L70" s="89"/>
      <c r="M70" s="443" t="s">
        <v>60</v>
      </c>
      <c r="N70" s="88">
        <f>0.0022+0.007</f>
        <v>9.1999999999999998E-3</v>
      </c>
      <c r="O70" s="89"/>
      <c r="P70" s="92"/>
      <c r="Q70" s="93"/>
      <c r="R70" s="89"/>
      <c r="S70" s="92"/>
      <c r="T70" s="93"/>
      <c r="U70" s="89"/>
      <c r="V70" s="92"/>
      <c r="W70" s="93"/>
      <c r="X70" s="89"/>
      <c r="Y70" s="89"/>
      <c r="Z70" s="89"/>
      <c r="AH70" s="148">
        <v>36770</v>
      </c>
      <c r="AQ70" s="148"/>
    </row>
    <row r="71" spans="1:44" x14ac:dyDescent="0.2">
      <c r="A71" s="466" t="s">
        <v>298</v>
      </c>
      <c r="B71" s="183">
        <f>(B4)/(1-0.0045)-B4</f>
        <v>2.6783023606228085E-2</v>
      </c>
      <c r="C71" s="91"/>
      <c r="D71" s="319">
        <v>3.4299999999999997E-2</v>
      </c>
      <c r="E71" s="90">
        <f>(E$3)/(1-D71)-E$3</f>
        <v>0.20991301646474092</v>
      </c>
      <c r="F71" s="94"/>
      <c r="G71" s="472">
        <v>5.8999999999999997E-2</v>
      </c>
      <c r="H71" s="183">
        <f>(H$4)/(1-G71)-H$4</f>
        <v>0.36585015940488841</v>
      </c>
      <c r="I71" s="91"/>
      <c r="J71" s="472">
        <v>3.0300000000000001E-2</v>
      </c>
      <c r="K71" s="183">
        <f>(K$3)/(1-J71)-K$3</f>
        <v>0.17966896978446911</v>
      </c>
      <c r="L71" s="91"/>
      <c r="M71" s="319">
        <v>5.8200000000000002E-2</v>
      </c>
      <c r="N71" s="90">
        <f>(N$3)/(1-M71)-N$3</f>
        <v>0.3553302187300913</v>
      </c>
      <c r="O71" s="91"/>
      <c r="P71" s="86"/>
      <c r="Q71" s="86"/>
      <c r="R71" s="91"/>
      <c r="S71" s="86"/>
      <c r="T71" s="86"/>
      <c r="U71" s="91"/>
      <c r="V71" s="86"/>
      <c r="W71" s="86"/>
      <c r="X71" s="91"/>
      <c r="Y71" s="91"/>
      <c r="Z71" s="91"/>
      <c r="AH71" s="149" t="s">
        <v>202</v>
      </c>
      <c r="AI71" s="146">
        <v>1E-3</v>
      </c>
      <c r="AQ71" s="149"/>
      <c r="AR71" s="146"/>
    </row>
    <row r="72" spans="1:44" x14ac:dyDescent="0.2">
      <c r="A72" s="202"/>
      <c r="B72" s="184">
        <f>SUM(B69:B71)</f>
        <v>4.8583023606228085E-2</v>
      </c>
      <c r="C72" s="94"/>
      <c r="D72" s="87"/>
      <c r="E72" s="93">
        <f>SUM(E69:E71)</f>
        <v>0.49481301646474096</v>
      </c>
      <c r="F72" s="99"/>
      <c r="G72" s="203"/>
      <c r="H72" s="184">
        <f>SUM(H69:H71)</f>
        <v>0.47645015940488844</v>
      </c>
      <c r="I72" s="94"/>
      <c r="J72" s="181"/>
      <c r="K72" s="184">
        <f>SUM(K69:K71)</f>
        <v>0.20286896978446911</v>
      </c>
      <c r="L72" s="94"/>
      <c r="M72" s="443"/>
      <c r="N72" s="93">
        <f>SUM(N69:N71)</f>
        <v>0.59603021873009132</v>
      </c>
      <c r="O72" s="94"/>
      <c r="P72" s="89"/>
      <c r="Q72" s="89"/>
      <c r="R72" s="94"/>
      <c r="S72" s="89"/>
      <c r="T72" s="89"/>
      <c r="U72" s="94"/>
      <c r="V72" s="89"/>
      <c r="W72" s="89"/>
      <c r="X72" s="94"/>
      <c r="Y72" s="94"/>
      <c r="Z72" s="94"/>
      <c r="AH72" s="34" t="s">
        <v>203</v>
      </c>
      <c r="AI72" s="146">
        <v>2E-3</v>
      </c>
      <c r="AR72" s="146"/>
    </row>
    <row r="73" spans="1:44" x14ac:dyDescent="0.2">
      <c r="A73" s="202" t="s">
        <v>22</v>
      </c>
      <c r="B73" s="184" t="s">
        <v>161</v>
      </c>
      <c r="C73" s="99"/>
      <c r="D73" s="34" t="s">
        <v>162</v>
      </c>
      <c r="E73" s="34" t="s">
        <v>163</v>
      </c>
      <c r="F73" s="89"/>
      <c r="G73" s="466" t="s">
        <v>36</v>
      </c>
      <c r="H73" s="473" t="s">
        <v>615</v>
      </c>
      <c r="I73" s="99"/>
      <c r="J73" s="179" t="s">
        <v>109</v>
      </c>
      <c r="K73" s="180" t="s">
        <v>198</v>
      </c>
      <c r="L73" s="99"/>
      <c r="M73" s="140" t="s">
        <v>703</v>
      </c>
      <c r="N73" s="85" t="s">
        <v>179</v>
      </c>
      <c r="O73" s="99"/>
      <c r="P73" s="91"/>
      <c r="Q73" s="91"/>
      <c r="R73" s="99"/>
      <c r="S73" s="91"/>
      <c r="T73" s="91"/>
      <c r="U73" s="99"/>
      <c r="V73" s="91"/>
      <c r="W73" s="91"/>
      <c r="X73" s="99"/>
      <c r="Y73" s="99"/>
      <c r="Z73" s="99"/>
      <c r="AH73" s="34" t="s">
        <v>204</v>
      </c>
      <c r="AI73" s="146">
        <v>1E-3</v>
      </c>
      <c r="AR73" s="146"/>
    </row>
    <row r="74" spans="1:44" x14ac:dyDescent="0.2">
      <c r="A74" s="202" t="s">
        <v>120</v>
      </c>
      <c r="B74" s="187">
        <v>1.4E-2</v>
      </c>
      <c r="C74" s="89"/>
      <c r="D74" s="87" t="s">
        <v>120</v>
      </c>
      <c r="E74" s="98">
        <v>7.5999999999999998E-2</v>
      </c>
      <c r="F74" s="89"/>
      <c r="G74" s="202" t="s">
        <v>120</v>
      </c>
      <c r="H74" s="182">
        <v>0.11260000000000001</v>
      </c>
      <c r="I74" s="89"/>
      <c r="J74" s="181" t="s">
        <v>120</v>
      </c>
      <c r="K74" s="182">
        <v>1.03E-2</v>
      </c>
      <c r="L74" s="89"/>
      <c r="M74" s="443" t="s">
        <v>120</v>
      </c>
      <c r="N74" s="88">
        <v>0.37359999999999999</v>
      </c>
      <c r="O74" s="89"/>
      <c r="P74" s="94"/>
      <c r="Q74" s="94"/>
      <c r="R74" s="89"/>
      <c r="S74" s="94"/>
      <c r="T74" s="94"/>
      <c r="U74" s="89"/>
      <c r="V74" s="94"/>
      <c r="W74" s="94"/>
      <c r="X74" s="89"/>
      <c r="Y74" s="89"/>
      <c r="Z74" s="89"/>
      <c r="AR74" s="146"/>
    </row>
    <row r="75" spans="1:44" x14ac:dyDescent="0.2">
      <c r="A75" s="203" t="s">
        <v>60</v>
      </c>
      <c r="B75" s="187">
        <f>0.0022+0.007+0.0097</f>
        <v>1.89E-2</v>
      </c>
      <c r="C75" s="89"/>
      <c r="D75" s="87" t="s">
        <v>60</v>
      </c>
      <c r="E75" s="98">
        <v>0</v>
      </c>
      <c r="F75" s="91"/>
      <c r="G75" s="202" t="s">
        <v>60</v>
      </c>
      <c r="H75" s="182">
        <f>0.0022+0.007</f>
        <v>9.1999999999999998E-3</v>
      </c>
      <c r="I75" s="89"/>
      <c r="J75" s="181" t="s">
        <v>60</v>
      </c>
      <c r="K75" s="182">
        <f>0.0022</f>
        <v>2.2000000000000001E-3</v>
      </c>
      <c r="L75" s="89"/>
      <c r="M75" s="443" t="s">
        <v>60</v>
      </c>
      <c r="N75" s="88">
        <f>0.0022+0.007</f>
        <v>9.1999999999999998E-3</v>
      </c>
      <c r="O75" s="89"/>
      <c r="P75" s="86"/>
      <c r="Q75" s="86"/>
      <c r="R75" s="89"/>
      <c r="S75" s="86"/>
      <c r="T75" s="86"/>
      <c r="U75" s="89"/>
      <c r="V75" s="86"/>
      <c r="W75" s="86"/>
      <c r="X75" s="89"/>
      <c r="Y75" s="89"/>
      <c r="Z75" s="89"/>
      <c r="AH75" s="148">
        <v>36739</v>
      </c>
      <c r="AQ75" s="148"/>
    </row>
    <row r="76" spans="1:44" x14ac:dyDescent="0.2">
      <c r="A76" s="466" t="s">
        <v>580</v>
      </c>
      <c r="B76" s="183">
        <f>(+B4)/(1-0.0235)-B4</f>
        <v>0.14258832565284152</v>
      </c>
      <c r="C76" s="91"/>
      <c r="D76" s="87" t="s">
        <v>585</v>
      </c>
      <c r="E76" s="90">
        <f>(+E3)/(1-0.0059)-E3</f>
        <v>3.5075948093752807E-2</v>
      </c>
      <c r="F76" s="94"/>
      <c r="G76" s="472">
        <v>6.9900000000000004E-2</v>
      </c>
      <c r="H76" s="183">
        <f>(H$4)/(1-G76)-H$4</f>
        <v>0.43851897645414439</v>
      </c>
      <c r="I76" s="91"/>
      <c r="J76" s="472">
        <v>2.98E-2</v>
      </c>
      <c r="K76" s="183">
        <f>(K$3)/(1-J76)-K$3</f>
        <v>0.17661306947021238</v>
      </c>
      <c r="L76" s="91"/>
      <c r="M76" s="319">
        <v>8.2600000000000007E-2</v>
      </c>
      <c r="N76" s="90">
        <f>(N$3)/(1-M76)-N$3</f>
        <v>0.51771310224547662</v>
      </c>
      <c r="O76" s="91"/>
      <c r="P76" s="89"/>
      <c r="Q76" s="89"/>
      <c r="R76" s="91"/>
      <c r="S76" s="89"/>
      <c r="T76" s="89"/>
      <c r="U76" s="91"/>
      <c r="V76" s="89"/>
      <c r="W76" s="89"/>
      <c r="X76" s="91"/>
      <c r="Y76" s="91"/>
      <c r="Z76" s="91"/>
      <c r="AH76" s="149" t="s">
        <v>202</v>
      </c>
      <c r="AI76" s="146">
        <v>2E-3</v>
      </c>
      <c r="AQ76" s="149"/>
      <c r="AR76" s="146"/>
    </row>
    <row r="77" spans="1:44" x14ac:dyDescent="0.2">
      <c r="A77" s="202"/>
      <c r="B77" s="184">
        <f>SUM(B74:B76)</f>
        <v>0.1754883256528415</v>
      </c>
      <c r="C77" s="94"/>
      <c r="D77" s="87"/>
      <c r="E77" s="93">
        <f>SUM(E74:E76)</f>
        <v>0.1110759480937528</v>
      </c>
      <c r="F77" s="99"/>
      <c r="G77" s="203"/>
      <c r="H77" s="184">
        <f>SUM(H74:H76)</f>
        <v>0.56031897645414441</v>
      </c>
      <c r="I77" s="94"/>
      <c r="J77" s="181"/>
      <c r="K77" s="184">
        <f>SUM(K74:K76)</f>
        <v>0.18911306947021239</v>
      </c>
      <c r="L77" s="94"/>
      <c r="M77" s="443"/>
      <c r="N77" s="93">
        <f>SUM(N74:N76)</f>
        <v>0.90051310224547665</v>
      </c>
      <c r="O77" s="94"/>
      <c r="P77" s="89"/>
      <c r="Q77" s="89"/>
      <c r="R77" s="94"/>
      <c r="S77" s="89"/>
      <c r="T77" s="89"/>
      <c r="U77" s="94"/>
      <c r="V77" s="89"/>
      <c r="W77" s="89"/>
      <c r="X77" s="94"/>
      <c r="Y77" s="94"/>
      <c r="Z77" s="94"/>
      <c r="AH77" s="34" t="s">
        <v>203</v>
      </c>
      <c r="AI77" s="146">
        <v>4.0000000000000001E-3</v>
      </c>
      <c r="AR77" s="146"/>
    </row>
    <row r="78" spans="1:44" x14ac:dyDescent="0.2">
      <c r="A78" s="202" t="s">
        <v>22</v>
      </c>
      <c r="B78" s="180" t="s">
        <v>165</v>
      </c>
      <c r="C78" s="99"/>
      <c r="D78" s="140" t="s">
        <v>168</v>
      </c>
      <c r="E78" s="93" t="s">
        <v>169</v>
      </c>
      <c r="F78" s="89"/>
      <c r="G78" s="466" t="s">
        <v>36</v>
      </c>
      <c r="H78" s="473" t="s">
        <v>616</v>
      </c>
      <c r="I78" s="99"/>
      <c r="J78" s="179" t="s">
        <v>109</v>
      </c>
      <c r="K78" s="180" t="s">
        <v>167</v>
      </c>
      <c r="L78" s="99"/>
      <c r="M78" s="140" t="s">
        <v>703</v>
      </c>
      <c r="N78" s="85" t="s">
        <v>182</v>
      </c>
      <c r="O78" s="99"/>
      <c r="P78" s="91"/>
      <c r="Q78" s="91"/>
      <c r="R78" s="99"/>
      <c r="S78" s="91"/>
      <c r="T78" s="91"/>
      <c r="U78" s="99"/>
      <c r="V78" s="91"/>
      <c r="W78" s="91"/>
      <c r="X78" s="99"/>
      <c r="Y78" s="99"/>
      <c r="Z78" s="99"/>
      <c r="AH78" s="34" t="s">
        <v>204</v>
      </c>
      <c r="AI78" s="146">
        <v>2E-3</v>
      </c>
      <c r="AR78" s="146"/>
    </row>
    <row r="79" spans="1:44" x14ac:dyDescent="0.2">
      <c r="A79" s="202" t="s">
        <v>120</v>
      </c>
      <c r="B79" s="182">
        <v>2.2800000000000001E-2</v>
      </c>
      <c r="C79" s="89"/>
      <c r="D79" s="87" t="s">
        <v>120</v>
      </c>
      <c r="E79" s="98">
        <v>9.7199999999999995E-2</v>
      </c>
      <c r="F79" s="89"/>
      <c r="G79" s="202" t="s">
        <v>120</v>
      </c>
      <c r="H79" s="182">
        <v>0.15029999999999999</v>
      </c>
      <c r="I79" s="89"/>
      <c r="J79" s="181" t="s">
        <v>120</v>
      </c>
      <c r="K79" s="182">
        <v>8.6999999999999994E-3</v>
      </c>
      <c r="L79" s="89"/>
      <c r="M79" s="443" t="s">
        <v>120</v>
      </c>
      <c r="N79" s="88">
        <v>0.47070000000000001</v>
      </c>
      <c r="O79" s="89"/>
      <c r="P79" s="94"/>
      <c r="Q79" s="94"/>
      <c r="R79" s="89"/>
      <c r="S79" s="94"/>
      <c r="T79" s="94"/>
      <c r="U79" s="89"/>
      <c r="V79" s="94"/>
      <c r="W79" s="94"/>
      <c r="X79" s="89"/>
      <c r="Y79" s="89"/>
      <c r="Z79" s="89"/>
      <c r="AR79" s="146"/>
    </row>
    <row r="80" spans="1:44" x14ac:dyDescent="0.2">
      <c r="A80" s="203" t="s">
        <v>60</v>
      </c>
      <c r="B80" s="187">
        <f>0.0022+0.007+0.0097</f>
        <v>1.89E-2</v>
      </c>
      <c r="C80" s="89"/>
      <c r="D80" s="87" t="s">
        <v>60</v>
      </c>
      <c r="E80" s="98">
        <f>0.007+0.0022+0.0097</f>
        <v>1.89E-2</v>
      </c>
      <c r="F80" s="91"/>
      <c r="G80" s="202" t="s">
        <v>60</v>
      </c>
      <c r="H80" s="182">
        <f>0.0022+0.007</f>
        <v>9.1999999999999998E-3</v>
      </c>
      <c r="I80" s="89"/>
      <c r="J80" s="181" t="s">
        <v>60</v>
      </c>
      <c r="K80" s="182">
        <f>0.0022+0.007</f>
        <v>9.1999999999999998E-3</v>
      </c>
      <c r="L80" s="89"/>
      <c r="M80" s="443" t="s">
        <v>60</v>
      </c>
      <c r="N80" s="88">
        <f>0.0022+0.007</f>
        <v>9.1999999999999998E-3</v>
      </c>
      <c r="O80" s="89"/>
      <c r="P80" s="99"/>
      <c r="Q80" s="99"/>
      <c r="R80" s="89"/>
      <c r="S80" s="99"/>
      <c r="T80" s="99"/>
      <c r="U80" s="89"/>
      <c r="V80" s="99"/>
      <c r="W80" s="99"/>
      <c r="X80" s="89"/>
      <c r="Y80" s="89"/>
      <c r="Z80" s="89"/>
      <c r="AH80" s="148">
        <v>36708</v>
      </c>
      <c r="AQ80" s="148"/>
    </row>
    <row r="81" spans="1:44" x14ac:dyDescent="0.2">
      <c r="A81" s="467" t="s">
        <v>581</v>
      </c>
      <c r="B81" s="183">
        <f>B4/(1-0.0388)-B4</f>
        <v>0.23916978776529341</v>
      </c>
      <c r="C81" s="91"/>
      <c r="D81" s="87" t="s">
        <v>273</v>
      </c>
      <c r="E81" s="90">
        <f>(E7)/(1-0.0084)-E7</f>
        <v>5.3707139975796458E-2</v>
      </c>
      <c r="F81" s="94"/>
      <c r="G81" s="472">
        <v>7.8200000000000006E-2</v>
      </c>
      <c r="H81" s="183">
        <f>(H$4)/(1-G81)-H$4</f>
        <v>0.49500650900412246</v>
      </c>
      <c r="I81" s="91"/>
      <c r="J81" s="472">
        <v>2.98E-2</v>
      </c>
      <c r="K81" s="183">
        <f>(K$3)/(1-J81)-K$3</f>
        <v>0.17661306947021238</v>
      </c>
      <c r="L81" s="91"/>
      <c r="M81" s="319">
        <v>9.8599999999999993E-2</v>
      </c>
      <c r="N81" s="90">
        <f>(N$3)/(1-M81)-N$3</f>
        <v>0.62896605280674489</v>
      </c>
      <c r="O81" s="91"/>
      <c r="P81" s="89"/>
      <c r="Q81" s="89"/>
      <c r="R81" s="91"/>
      <c r="S81" s="89"/>
      <c r="T81" s="89"/>
      <c r="U81" s="91"/>
      <c r="V81" s="89"/>
      <c r="W81" s="89"/>
      <c r="X81" s="91"/>
      <c r="Y81" s="91"/>
      <c r="Z81" s="91"/>
      <c r="AH81" s="149" t="s">
        <v>202</v>
      </c>
      <c r="AI81" s="146">
        <v>2E-3</v>
      </c>
      <c r="AQ81" s="149"/>
      <c r="AR81" s="146"/>
    </row>
    <row r="82" spans="1:44" x14ac:dyDescent="0.2">
      <c r="A82" s="190"/>
      <c r="B82" s="184">
        <f>SUM(B79:B81)</f>
        <v>0.28086978776529342</v>
      </c>
      <c r="C82" s="94"/>
      <c r="D82" s="87"/>
      <c r="E82" s="93">
        <f>SUM(E79:E81)</f>
        <v>0.16980713997579644</v>
      </c>
      <c r="F82" s="99"/>
      <c r="G82" s="203"/>
      <c r="H82" s="184">
        <f>SUM(H79:H81)</f>
        <v>0.65450650900412244</v>
      </c>
      <c r="I82" s="94"/>
      <c r="J82" s="181"/>
      <c r="K82" s="184">
        <f>SUM(K79:K81)</f>
        <v>0.19451306947021238</v>
      </c>
      <c r="L82" s="94"/>
      <c r="M82" s="443"/>
      <c r="N82" s="93">
        <f>SUM(N79:N81)</f>
        <v>1.1088660528067449</v>
      </c>
      <c r="O82" s="94"/>
      <c r="P82" s="89"/>
      <c r="Q82" s="89"/>
      <c r="R82" s="94"/>
      <c r="S82" s="89"/>
      <c r="T82" s="89"/>
      <c r="U82" s="94"/>
      <c r="V82" s="89"/>
      <c r="W82" s="89"/>
      <c r="X82" s="94"/>
      <c r="Y82" s="94"/>
      <c r="Z82" s="94"/>
      <c r="AH82" s="34" t="s">
        <v>203</v>
      </c>
      <c r="AI82" s="146">
        <v>4.0000000000000001E-3</v>
      </c>
      <c r="AR82" s="146"/>
    </row>
    <row r="83" spans="1:44" ht="14.1" customHeight="1" x14ac:dyDescent="0.2">
      <c r="A83" s="191" t="s">
        <v>22</v>
      </c>
      <c r="B83" s="180" t="s">
        <v>170</v>
      </c>
      <c r="C83" s="99"/>
      <c r="D83" s="140" t="s">
        <v>168</v>
      </c>
      <c r="E83" s="93" t="s">
        <v>800</v>
      </c>
      <c r="F83" s="89"/>
      <c r="G83" s="466" t="s">
        <v>36</v>
      </c>
      <c r="H83" s="473" t="s">
        <v>617</v>
      </c>
      <c r="I83" s="99"/>
      <c r="J83" s="179" t="s">
        <v>109</v>
      </c>
      <c r="K83" s="180" t="s">
        <v>171</v>
      </c>
      <c r="L83" s="99"/>
      <c r="M83" s="140" t="s">
        <v>703</v>
      </c>
      <c r="N83" s="85" t="s">
        <v>187</v>
      </c>
      <c r="O83" s="99"/>
      <c r="P83" s="91"/>
      <c r="Q83" s="91"/>
      <c r="R83" s="99"/>
      <c r="S83" s="91"/>
      <c r="T83" s="91"/>
      <c r="U83" s="99"/>
      <c r="V83" s="91"/>
      <c r="W83" s="91"/>
      <c r="X83" s="99"/>
      <c r="Y83" s="99"/>
      <c r="Z83" s="99"/>
      <c r="AH83" s="34" t="s">
        <v>204</v>
      </c>
      <c r="AI83" s="146">
        <v>2E-3</v>
      </c>
      <c r="AR83" s="146"/>
    </row>
    <row r="84" spans="1:44" x14ac:dyDescent="0.2">
      <c r="A84" s="192" t="s">
        <v>120</v>
      </c>
      <c r="B84" s="182">
        <v>2.7400000000000001E-2</v>
      </c>
      <c r="C84" s="89"/>
      <c r="D84" s="87" t="s">
        <v>120</v>
      </c>
      <c r="E84" s="98">
        <v>0.19159999999999999</v>
      </c>
      <c r="F84" s="89"/>
      <c r="G84" s="202" t="s">
        <v>120</v>
      </c>
      <c r="H84" s="182">
        <v>7.8299999999999995E-2</v>
      </c>
      <c r="I84" s="89"/>
      <c r="J84" s="181" t="s">
        <v>120</v>
      </c>
      <c r="K84" s="182">
        <v>8.6999999999999994E-3</v>
      </c>
      <c r="L84" s="89"/>
      <c r="M84" s="443" t="s">
        <v>120</v>
      </c>
      <c r="N84" s="88">
        <v>0.29449999999999998</v>
      </c>
      <c r="O84" s="89"/>
      <c r="P84" s="100"/>
      <c r="Q84" s="152"/>
      <c r="R84" s="89"/>
      <c r="S84" s="100"/>
      <c r="T84" s="152"/>
      <c r="U84" s="89"/>
      <c r="V84" s="100"/>
      <c r="W84" s="152"/>
      <c r="X84" s="89"/>
      <c r="Y84" s="89"/>
      <c r="Z84" s="89"/>
      <c r="AR84" s="146"/>
    </row>
    <row r="85" spans="1:44" x14ac:dyDescent="0.2">
      <c r="A85" s="467" t="s">
        <v>60</v>
      </c>
      <c r="B85" s="187">
        <f>0.0022+0.007+0.0097</f>
        <v>1.89E-2</v>
      </c>
      <c r="C85" s="89"/>
      <c r="D85" s="87" t="s">
        <v>60</v>
      </c>
      <c r="E85" s="98">
        <f>0.0022+0.0097</f>
        <v>1.1900000000000001E-2</v>
      </c>
      <c r="F85" s="91"/>
      <c r="G85" s="202" t="s">
        <v>60</v>
      </c>
      <c r="H85" s="182">
        <f>0.0022+0.007</f>
        <v>9.1999999999999998E-3</v>
      </c>
      <c r="I85" s="89"/>
      <c r="J85" s="181" t="s">
        <v>60</v>
      </c>
      <c r="K85" s="182">
        <f>0.0022+0.007</f>
        <v>9.1999999999999998E-3</v>
      </c>
      <c r="L85" s="89"/>
      <c r="M85" s="443" t="s">
        <v>60</v>
      </c>
      <c r="N85" s="88">
        <f>0.0022+0.007</f>
        <v>9.1999999999999998E-3</v>
      </c>
      <c r="O85" s="89"/>
      <c r="P85" s="99"/>
      <c r="Q85" s="99"/>
      <c r="R85" s="89"/>
      <c r="S85" s="99"/>
      <c r="T85" s="99"/>
      <c r="U85" s="89"/>
      <c r="V85" s="99"/>
      <c r="W85" s="99"/>
      <c r="X85" s="89"/>
      <c r="Y85" s="89"/>
      <c r="Z85" s="89"/>
      <c r="AH85" s="148">
        <v>36678</v>
      </c>
      <c r="AQ85" s="148"/>
    </row>
    <row r="86" spans="1:44" x14ac:dyDescent="0.2">
      <c r="A86" s="190" t="s">
        <v>297</v>
      </c>
      <c r="B86" s="183">
        <f>B4/(1-0.0472)-B4</f>
        <v>0.29351385390428231</v>
      </c>
      <c r="C86" s="91"/>
      <c r="D86" s="319">
        <v>2.3699999999999999E-2</v>
      </c>
      <c r="E86" s="90">
        <f>(E$7)/(1-D86)-E$7</f>
        <v>0.1539055618150158</v>
      </c>
      <c r="F86" s="94"/>
      <c r="G86" s="472">
        <v>4.1500000000000002E-2</v>
      </c>
      <c r="H86" s="417">
        <f>(H4)/(1-G86)-H4</f>
        <v>0.25263693270735477</v>
      </c>
      <c r="I86" s="91"/>
      <c r="J86" s="472">
        <v>2.98E-2</v>
      </c>
      <c r="K86" s="183">
        <f>(K$3)/(1-J86)-K$3</f>
        <v>0.17661306947021238</v>
      </c>
      <c r="L86" s="91"/>
      <c r="M86" s="319">
        <v>5.28E-2</v>
      </c>
      <c r="N86" s="90">
        <f>(N$6)/(1-M86)-(N$6)</f>
        <v>0.33473817567567554</v>
      </c>
      <c r="O86" s="91"/>
      <c r="P86" s="89"/>
      <c r="Q86" s="89"/>
      <c r="R86" s="91"/>
      <c r="S86" s="89"/>
      <c r="T86" s="89"/>
      <c r="U86" s="91"/>
      <c r="V86" s="89"/>
      <c r="W86" s="89"/>
      <c r="X86" s="91"/>
      <c r="Y86" s="91"/>
      <c r="Z86" s="91"/>
      <c r="AH86" s="149" t="s">
        <v>202</v>
      </c>
      <c r="AI86" s="146">
        <v>1E-4</v>
      </c>
      <c r="AQ86" s="149"/>
      <c r="AR86" s="146"/>
    </row>
    <row r="87" spans="1:44" x14ac:dyDescent="0.2">
      <c r="A87" s="190"/>
      <c r="B87" s="184">
        <f>SUM(B84:B86)</f>
        <v>0.33981385390428231</v>
      </c>
      <c r="C87" s="94"/>
      <c r="D87" s="87"/>
      <c r="E87" s="93">
        <f>SUM(E84:E86)</f>
        <v>0.35740556181501582</v>
      </c>
      <c r="F87" s="99"/>
      <c r="G87" s="203"/>
      <c r="H87" s="184">
        <f>SUM(H84:H86)</f>
        <v>0.34013693270735479</v>
      </c>
      <c r="I87" s="94"/>
      <c r="J87" s="181"/>
      <c r="K87" s="184">
        <f>SUM(K84:K86)</f>
        <v>0.19451306947021238</v>
      </c>
      <c r="L87" s="94"/>
      <c r="M87" s="443"/>
      <c r="N87" s="93">
        <f>SUM(N84:N86)</f>
        <v>0.63843817567567551</v>
      </c>
      <c r="O87" s="94"/>
      <c r="P87" s="89"/>
      <c r="Q87" s="89"/>
      <c r="R87" s="94"/>
      <c r="S87" s="89"/>
      <c r="T87" s="89"/>
      <c r="U87" s="94"/>
      <c r="V87" s="89"/>
      <c r="W87" s="89"/>
      <c r="X87" s="94"/>
      <c r="Y87" s="94"/>
      <c r="Z87" s="94"/>
      <c r="AH87" s="34" t="s">
        <v>203</v>
      </c>
      <c r="AI87" s="146">
        <v>2.0000000000000001E-4</v>
      </c>
      <c r="AR87" s="146"/>
    </row>
    <row r="88" spans="1:44" x14ac:dyDescent="0.2">
      <c r="A88" s="191" t="s">
        <v>22</v>
      </c>
      <c r="B88" s="184" t="s">
        <v>172</v>
      </c>
      <c r="C88" s="99"/>
      <c r="D88" s="140" t="s">
        <v>168</v>
      </c>
      <c r="E88" s="93" t="s">
        <v>806</v>
      </c>
      <c r="F88" s="89"/>
      <c r="G88" s="466" t="s">
        <v>36</v>
      </c>
      <c r="H88" s="473" t="s">
        <v>618</v>
      </c>
      <c r="I88" s="99"/>
      <c r="J88" s="179" t="s">
        <v>109</v>
      </c>
      <c r="K88" s="180" t="s">
        <v>667</v>
      </c>
      <c r="L88" s="99"/>
      <c r="M88" s="140" t="s">
        <v>703</v>
      </c>
      <c r="N88" s="85" t="s">
        <v>189</v>
      </c>
      <c r="O88" s="99"/>
      <c r="P88" s="91"/>
      <c r="Q88" s="91"/>
      <c r="R88" s="99"/>
      <c r="S88" s="91"/>
      <c r="T88" s="91"/>
      <c r="U88" s="99"/>
      <c r="V88" s="91"/>
      <c r="W88" s="91"/>
      <c r="X88" s="99"/>
      <c r="Y88" s="94"/>
      <c r="Z88" s="94"/>
      <c r="AH88" s="34" t="s">
        <v>204</v>
      </c>
      <c r="AI88" s="146">
        <v>1E-4</v>
      </c>
      <c r="AR88" s="146"/>
    </row>
    <row r="89" spans="1:44" x14ac:dyDescent="0.2">
      <c r="A89" s="192" t="s">
        <v>120</v>
      </c>
      <c r="B89" s="187">
        <v>1.15E-2</v>
      </c>
      <c r="C89" s="89"/>
      <c r="D89" s="87" t="s">
        <v>120</v>
      </c>
      <c r="E89" s="98">
        <v>0.30370000000000003</v>
      </c>
      <c r="F89" s="89"/>
      <c r="G89" s="202" t="s">
        <v>120</v>
      </c>
      <c r="H89" s="182">
        <f>0.0511-0.0022-0.0088</f>
        <v>4.0099999999999997E-2</v>
      </c>
      <c r="I89" s="89"/>
      <c r="J89" s="181" t="s">
        <v>120</v>
      </c>
      <c r="K89" s="182">
        <v>2.2800000000000001E-2</v>
      </c>
      <c r="L89" s="89"/>
      <c r="M89" s="443" t="s">
        <v>120</v>
      </c>
      <c r="N89" s="88">
        <v>0.3916</v>
      </c>
      <c r="O89" s="89"/>
      <c r="P89" s="94"/>
      <c r="Q89" s="94"/>
      <c r="R89" s="89"/>
      <c r="S89" s="94"/>
      <c r="T89" s="94"/>
      <c r="U89" s="89"/>
      <c r="V89" s="94"/>
      <c r="W89" s="94"/>
      <c r="X89" s="89"/>
      <c r="Y89" s="96"/>
      <c r="Z89" s="96"/>
      <c r="AR89" s="146"/>
    </row>
    <row r="90" spans="1:44" x14ac:dyDescent="0.2">
      <c r="A90" s="193" t="s">
        <v>60</v>
      </c>
      <c r="B90" s="187">
        <f>0.0022+0.007+0.0097</f>
        <v>1.89E-2</v>
      </c>
      <c r="C90" s="89"/>
      <c r="D90" s="87" t="s">
        <v>60</v>
      </c>
      <c r="E90" s="98">
        <f>0.007+0.0022+0.0097</f>
        <v>1.89E-2</v>
      </c>
      <c r="F90" s="91"/>
      <c r="G90" s="202" t="s">
        <v>60</v>
      </c>
      <c r="H90" s="182">
        <f>0.0022+0.007</f>
        <v>9.1999999999999998E-3</v>
      </c>
      <c r="I90" s="89"/>
      <c r="J90" s="181" t="s">
        <v>60</v>
      </c>
      <c r="K90" s="182">
        <f>0.0022+0.007</f>
        <v>9.1999999999999998E-3</v>
      </c>
      <c r="L90" s="89"/>
      <c r="M90" s="443" t="s">
        <v>60</v>
      </c>
      <c r="N90" s="88">
        <f>0.0022+0.007</f>
        <v>9.1999999999999998E-3</v>
      </c>
      <c r="O90" s="89"/>
      <c r="P90" s="99"/>
      <c r="Q90" s="99"/>
      <c r="R90" s="89"/>
      <c r="S90" s="99"/>
      <c r="T90" s="99"/>
      <c r="U90" s="89"/>
      <c r="V90" s="99"/>
      <c r="W90" s="99"/>
      <c r="X90" s="89"/>
      <c r="Y90" s="96"/>
      <c r="Z90" s="96"/>
      <c r="AH90" s="148">
        <v>36647</v>
      </c>
      <c r="AQ90" s="148"/>
    </row>
    <row r="91" spans="1:44" x14ac:dyDescent="0.2">
      <c r="A91" s="190" t="s">
        <v>582</v>
      </c>
      <c r="B91" s="183">
        <f>(B3)/(1-0.019)-B3</f>
        <v>0.11446483180428135</v>
      </c>
      <c r="C91" s="91"/>
      <c r="D91" s="319">
        <v>8.3999999999999995E-3</v>
      </c>
      <c r="E91" s="90">
        <f>(E$7)/(1-D91)-E$7</f>
        <v>5.3707139975796458E-2</v>
      </c>
      <c r="F91" s="94"/>
      <c r="G91" s="472">
        <v>1.09E-2</v>
      </c>
      <c r="H91" s="417">
        <f>(H5)/(1-G91)-H5</f>
        <v>6.8820645030836403E-2</v>
      </c>
      <c r="I91" s="91"/>
      <c r="J91" s="472">
        <v>5.8200000000000002E-2</v>
      </c>
      <c r="K91" s="183">
        <f>(K$3)/(1-J91)-K$3</f>
        <v>0.3553302187300913</v>
      </c>
      <c r="L91" s="91"/>
      <c r="M91" s="319">
        <v>6.88E-2</v>
      </c>
      <c r="N91" s="90">
        <f>(N$6)/(1-M91)-(N$6)</f>
        <v>0.44366838487972515</v>
      </c>
      <c r="O91" s="91"/>
      <c r="P91" s="89"/>
      <c r="Q91" s="89"/>
      <c r="R91" s="91"/>
      <c r="S91" s="89"/>
      <c r="T91" s="89"/>
      <c r="U91" s="91"/>
      <c r="V91" s="89"/>
      <c r="W91" s="89"/>
      <c r="X91" s="91"/>
      <c r="Y91" s="96"/>
      <c r="Z91" s="96"/>
      <c r="AH91" s="149" t="s">
        <v>202</v>
      </c>
      <c r="AI91" s="146">
        <v>0</v>
      </c>
      <c r="AQ91" s="149"/>
      <c r="AR91" s="146"/>
    </row>
    <row r="92" spans="1:44" x14ac:dyDescent="0.2">
      <c r="A92" s="190"/>
      <c r="B92" s="184">
        <f>SUM(B89:B91)</f>
        <v>0.14486483180428136</v>
      </c>
      <c r="C92" s="94"/>
      <c r="D92" s="87"/>
      <c r="E92" s="93">
        <f>SUM(E89:E91)</f>
        <v>0.37630713997579646</v>
      </c>
      <c r="F92" s="94"/>
      <c r="G92" s="203"/>
      <c r="H92" s="184">
        <f>SUM(H89:H91)</f>
        <v>0.1181206450308364</v>
      </c>
      <c r="I92" s="94"/>
      <c r="J92" s="181"/>
      <c r="K92" s="184">
        <f>SUM(K89:K91)</f>
        <v>0.38733021873009132</v>
      </c>
      <c r="L92" s="94"/>
      <c r="M92" s="443"/>
      <c r="N92" s="93">
        <f>SUM(N89:N91)</f>
        <v>0.8444683848797252</v>
      </c>
      <c r="O92" s="94"/>
      <c r="P92" s="89"/>
      <c r="Q92" s="89"/>
      <c r="R92" s="94"/>
      <c r="S92" s="89"/>
      <c r="T92" s="89"/>
      <c r="U92" s="94"/>
      <c r="V92" s="89"/>
      <c r="W92" s="89"/>
      <c r="X92" s="94"/>
      <c r="Y92" s="91"/>
      <c r="Z92" s="91"/>
      <c r="AH92" s="34" t="s">
        <v>203</v>
      </c>
      <c r="AI92" s="146">
        <v>0</v>
      </c>
      <c r="AR92" s="146"/>
    </row>
    <row r="93" spans="1:44" x14ac:dyDescent="0.2">
      <c r="A93" s="191" t="s">
        <v>22</v>
      </c>
      <c r="B93" s="184" t="s">
        <v>492</v>
      </c>
      <c r="C93" s="99"/>
      <c r="D93" s="140" t="s">
        <v>168</v>
      </c>
      <c r="E93" s="93" t="s">
        <v>783</v>
      </c>
      <c r="F93" s="96"/>
      <c r="G93" s="466" t="s">
        <v>36</v>
      </c>
      <c r="H93" s="473" t="s">
        <v>619</v>
      </c>
      <c r="I93" s="94"/>
      <c r="J93" s="179" t="s">
        <v>109</v>
      </c>
      <c r="K93" s="180" t="s">
        <v>668</v>
      </c>
      <c r="L93" s="94"/>
      <c r="M93" s="140" t="s">
        <v>703</v>
      </c>
      <c r="N93" s="93" t="s">
        <v>191</v>
      </c>
      <c r="O93" s="94"/>
      <c r="P93" s="91"/>
      <c r="Q93" s="91"/>
      <c r="R93" s="99"/>
      <c r="S93" s="91"/>
      <c r="T93" s="91"/>
      <c r="U93" s="99"/>
      <c r="V93" s="91"/>
      <c r="W93" s="91"/>
      <c r="X93" s="99"/>
      <c r="Y93" s="94"/>
      <c r="Z93" s="94"/>
      <c r="AH93" s="34" t="s">
        <v>204</v>
      </c>
      <c r="AI93" s="146">
        <v>0</v>
      </c>
      <c r="AR93" s="146"/>
    </row>
    <row r="94" spans="1:44" x14ac:dyDescent="0.2">
      <c r="A94" s="469" t="s">
        <v>120</v>
      </c>
      <c r="B94" s="187">
        <v>2.0299999999999999E-2</v>
      </c>
      <c r="C94" s="89"/>
      <c r="D94" s="87" t="s">
        <v>120</v>
      </c>
      <c r="E94" s="98">
        <v>0.30370000000000003</v>
      </c>
      <c r="F94" s="96"/>
      <c r="G94" s="202" t="s">
        <v>120</v>
      </c>
      <c r="H94" s="182">
        <v>8.3400000000000002E-2</v>
      </c>
      <c r="I94" s="96"/>
      <c r="J94" s="181" t="s">
        <v>120</v>
      </c>
      <c r="K94" s="182">
        <v>4.3099999999999999E-2</v>
      </c>
      <c r="L94" s="96"/>
      <c r="M94" s="443" t="s">
        <v>120</v>
      </c>
      <c r="N94" s="98">
        <v>0.22559999999999999</v>
      </c>
      <c r="O94" s="96"/>
      <c r="P94" s="100"/>
      <c r="Q94" s="152"/>
      <c r="R94" s="89"/>
      <c r="S94" s="100"/>
      <c r="T94" s="152"/>
      <c r="U94" s="89"/>
      <c r="V94" s="100"/>
      <c r="W94" s="152"/>
      <c r="X94" s="89"/>
      <c r="Y94" s="99"/>
      <c r="Z94" s="99"/>
      <c r="AR94" s="146"/>
    </row>
    <row r="95" spans="1:44" x14ac:dyDescent="0.2">
      <c r="A95" s="193" t="s">
        <v>60</v>
      </c>
      <c r="B95" s="187">
        <f>0.0022+0.007+0.0097</f>
        <v>1.89E-2</v>
      </c>
      <c r="C95" s="89"/>
      <c r="D95" s="87" t="s">
        <v>60</v>
      </c>
      <c r="E95" s="98">
        <f>0.007+0.0022+0.0097</f>
        <v>1.89E-2</v>
      </c>
      <c r="F95" s="91"/>
      <c r="G95" s="202" t="s">
        <v>60</v>
      </c>
      <c r="H95" s="182">
        <f>0.0022+0.007</f>
        <v>9.1999999999999998E-3</v>
      </c>
      <c r="I95" s="96" t="s">
        <v>47</v>
      </c>
      <c r="J95" s="181" t="s">
        <v>60</v>
      </c>
      <c r="K95" s="182">
        <f>0.0022+0.007</f>
        <v>9.1999999999999998E-3</v>
      </c>
      <c r="L95" s="96"/>
      <c r="M95" s="443" t="s">
        <v>60</v>
      </c>
      <c r="N95" s="88">
        <f>0.0022+0.007</f>
        <v>9.1999999999999998E-3</v>
      </c>
      <c r="O95" s="96"/>
      <c r="P95" s="99"/>
      <c r="Q95" s="99"/>
      <c r="R95" s="89"/>
      <c r="S95" s="99"/>
      <c r="T95" s="99"/>
      <c r="U95" s="89"/>
      <c r="V95" s="99"/>
      <c r="W95" s="99"/>
      <c r="X95" s="89"/>
      <c r="Y95" s="89"/>
      <c r="Z95" s="89"/>
      <c r="AH95" s="148">
        <v>36617</v>
      </c>
      <c r="AQ95" s="148"/>
    </row>
    <row r="96" spans="1:44" x14ac:dyDescent="0.2">
      <c r="A96" s="190" t="s">
        <v>583</v>
      </c>
      <c r="B96" s="183">
        <f>(B3)/(1-0.0343)-B3</f>
        <v>0.20991301646474092</v>
      </c>
      <c r="C96" s="91"/>
      <c r="D96" s="319">
        <v>2.7400000000000001E-2</v>
      </c>
      <c r="E96" s="90">
        <f>(E$7)/(1-D96)-E$7</f>
        <v>0.17860991157721529</v>
      </c>
      <c r="F96" s="94"/>
      <c r="G96" s="472">
        <v>2.1700000000000001E-2</v>
      </c>
      <c r="H96" s="417">
        <f>(H5)/(1-G96)-H5</f>
        <v>0.13852243688030264</v>
      </c>
      <c r="I96" s="91"/>
      <c r="J96" s="472">
        <v>8.2600000000000007E-2</v>
      </c>
      <c r="K96" s="183">
        <f>(K$3)/(1-J96)-K$3</f>
        <v>0.51771310224547662</v>
      </c>
      <c r="L96" s="91"/>
      <c r="M96" s="319">
        <v>4.1099999999999998E-2</v>
      </c>
      <c r="N96" s="90">
        <f>(N$6)/(1-M96)-(N$6)</f>
        <v>0.25738398164563581</v>
      </c>
      <c r="O96" s="91"/>
      <c r="P96" s="89"/>
      <c r="Q96" s="89"/>
      <c r="R96" s="91"/>
      <c r="S96" s="89"/>
      <c r="T96" s="89"/>
      <c r="U96" s="91"/>
      <c r="V96" s="89"/>
      <c r="W96" s="89"/>
      <c r="X96" s="91"/>
      <c r="Y96" s="89"/>
      <c r="Z96" s="89"/>
      <c r="AH96" s="149" t="s">
        <v>202</v>
      </c>
      <c r="AI96" s="146">
        <v>4.0000000000000001E-3</v>
      </c>
      <c r="AQ96" s="149"/>
      <c r="AR96" s="146"/>
    </row>
    <row r="97" spans="1:44" x14ac:dyDescent="0.2">
      <c r="A97" s="190"/>
      <c r="B97" s="184">
        <f>SUM(B94:B96)</f>
        <v>0.24911301646474093</v>
      </c>
      <c r="C97" s="94"/>
      <c r="D97" s="87"/>
      <c r="E97" s="93">
        <f>SUM(E94:E96)</f>
        <v>0.50120991157721528</v>
      </c>
      <c r="F97" s="99"/>
      <c r="G97" s="203"/>
      <c r="H97" s="184">
        <f>SUM(H94:H96)</f>
        <v>0.23112243688030265</v>
      </c>
      <c r="I97" s="94"/>
      <c r="J97" s="181"/>
      <c r="K97" s="184">
        <f>SUM(K94:K96)</f>
        <v>0.57001310224547663</v>
      </c>
      <c r="L97" s="94"/>
      <c r="M97" s="443"/>
      <c r="N97" s="93">
        <f>SUM(N94:N96)</f>
        <v>0.49218398164563582</v>
      </c>
      <c r="O97" s="94"/>
      <c r="P97" s="89"/>
      <c r="Q97" s="89"/>
      <c r="R97" s="94"/>
      <c r="S97" s="89"/>
      <c r="T97" s="89"/>
      <c r="U97" s="94"/>
      <c r="V97" s="89"/>
      <c r="W97" s="89"/>
      <c r="X97" s="94"/>
      <c r="Y97" s="91"/>
      <c r="Z97" s="91"/>
      <c r="AH97" s="34" t="s">
        <v>203</v>
      </c>
      <c r="AI97" s="146">
        <v>8.0000000000000002E-3</v>
      </c>
      <c r="AR97" s="146"/>
    </row>
    <row r="98" spans="1:44" x14ac:dyDescent="0.2">
      <c r="A98" s="191" t="s">
        <v>22</v>
      </c>
      <c r="B98" s="184" t="s">
        <v>175</v>
      </c>
      <c r="C98" s="94"/>
      <c r="D98" s="140" t="s">
        <v>168</v>
      </c>
      <c r="E98" s="93" t="s">
        <v>784</v>
      </c>
      <c r="F98" s="89"/>
      <c r="G98" s="466" t="s">
        <v>36</v>
      </c>
      <c r="H98" s="474" t="s">
        <v>620</v>
      </c>
      <c r="I98" s="99"/>
      <c r="J98" s="179" t="s">
        <v>109</v>
      </c>
      <c r="K98" s="180" t="s">
        <v>669</v>
      </c>
      <c r="L98" s="99"/>
      <c r="M98" s="140" t="s">
        <v>703</v>
      </c>
      <c r="N98" s="93" t="s">
        <v>193</v>
      </c>
      <c r="O98" s="99"/>
      <c r="P98" s="91"/>
      <c r="Q98" s="91"/>
      <c r="R98" s="94"/>
      <c r="S98" s="91"/>
      <c r="T98" s="91"/>
      <c r="U98" s="94"/>
      <c r="V98" s="91"/>
      <c r="W98" s="91"/>
      <c r="X98" s="94"/>
      <c r="Y98" s="94"/>
      <c r="Z98" s="94"/>
      <c r="AH98" s="34" t="s">
        <v>204</v>
      </c>
      <c r="AI98" s="146">
        <v>4.0000000000000001E-3</v>
      </c>
      <c r="AR98" s="146"/>
    </row>
    <row r="99" spans="1:44" x14ac:dyDescent="0.2">
      <c r="A99" s="469" t="s">
        <v>120</v>
      </c>
      <c r="B99" s="187">
        <v>2.4899999999999999E-2</v>
      </c>
      <c r="C99" s="96"/>
      <c r="D99" s="87" t="s">
        <v>120</v>
      </c>
      <c r="E99" s="98">
        <v>0.30370000000000003</v>
      </c>
      <c r="F99" s="89"/>
      <c r="G99" s="203" t="s">
        <v>120</v>
      </c>
      <c r="H99" s="182">
        <v>4.2700000000000002E-2</v>
      </c>
      <c r="I99" s="89"/>
      <c r="J99" s="181" t="s">
        <v>120</v>
      </c>
      <c r="K99" s="182">
        <v>5.7000000000000002E-2</v>
      </c>
      <c r="L99" s="89"/>
      <c r="M99" s="443" t="s">
        <v>120</v>
      </c>
      <c r="N99" s="98">
        <v>0.32729999999999998</v>
      </c>
      <c r="O99" s="89"/>
      <c r="P99" s="94"/>
      <c r="Q99" s="94"/>
      <c r="R99" s="96"/>
      <c r="S99" s="94"/>
      <c r="T99" s="94"/>
      <c r="U99" s="96"/>
      <c r="V99" s="94"/>
      <c r="W99" s="94"/>
      <c r="X99" s="96"/>
      <c r="AI99" s="146"/>
      <c r="AR99" s="146"/>
    </row>
    <row r="100" spans="1:44" x14ac:dyDescent="0.2">
      <c r="A100" s="193" t="s">
        <v>60</v>
      </c>
      <c r="B100" s="187">
        <f>0.0022+0.007+0.0097</f>
        <v>1.89E-2</v>
      </c>
      <c r="C100" s="96"/>
      <c r="D100" s="87" t="s">
        <v>60</v>
      </c>
      <c r="E100" s="98">
        <f>0.007+0.0022+0.0097</f>
        <v>1.89E-2</v>
      </c>
      <c r="F100" s="89"/>
      <c r="G100" s="203" t="s">
        <v>60</v>
      </c>
      <c r="H100" s="182">
        <f>0.0022+0.007</f>
        <v>9.1999999999999998E-3</v>
      </c>
      <c r="I100" s="89"/>
      <c r="J100" s="181" t="s">
        <v>60</v>
      </c>
      <c r="K100" s="182">
        <f>0.0022+0.007</f>
        <v>9.1999999999999998E-3</v>
      </c>
      <c r="L100" s="89"/>
      <c r="M100" s="443" t="s">
        <v>60</v>
      </c>
      <c r="N100" s="88">
        <f>0.0022+0.007</f>
        <v>9.1999999999999998E-3</v>
      </c>
      <c r="O100" s="89"/>
      <c r="P100" s="99"/>
      <c r="Q100" s="99"/>
      <c r="R100" s="96"/>
      <c r="S100" s="99"/>
      <c r="T100" s="99"/>
      <c r="U100" s="96"/>
      <c r="V100" s="99"/>
      <c r="W100" s="99"/>
      <c r="X100" s="96"/>
      <c r="Y100" s="99"/>
      <c r="Z100" s="99"/>
      <c r="AH100" s="148">
        <v>36586</v>
      </c>
      <c r="AQ100" s="148"/>
    </row>
    <row r="101" spans="1:44" x14ac:dyDescent="0.2">
      <c r="A101" s="190" t="s">
        <v>584</v>
      </c>
      <c r="B101" s="183">
        <f>(B3)/(1-0.0427)-B3</f>
        <v>0.2636132873707302</v>
      </c>
      <c r="C101" s="96"/>
      <c r="D101" s="319">
        <v>1.9E-2</v>
      </c>
      <c r="E101" s="90">
        <f>(E$7)/(1-D101)-E$7</f>
        <v>0.12279306829765524</v>
      </c>
      <c r="F101" s="91"/>
      <c r="G101" s="472">
        <v>1.2800000000000001E-2</v>
      </c>
      <c r="H101" s="440">
        <f>(+H5)/(1-G101)-H5</f>
        <v>8.0972447325770247E-2</v>
      </c>
      <c r="I101" s="89"/>
      <c r="J101" s="472">
        <v>9.8599999999999993E-2</v>
      </c>
      <c r="K101" s="183">
        <f>(K$3)/(1-J101)-K$3</f>
        <v>0.62896605280674489</v>
      </c>
      <c r="L101" s="89"/>
      <c r="M101" s="319">
        <v>5.7500000000000002E-2</v>
      </c>
      <c r="N101" s="90">
        <f>(N$6)/(1-M101)-(N$6)</f>
        <v>0.36635278514588876</v>
      </c>
      <c r="O101" s="89"/>
      <c r="P101" s="89"/>
      <c r="Q101" s="89"/>
      <c r="R101" s="96"/>
      <c r="S101" s="89"/>
      <c r="T101" s="89"/>
      <c r="U101" s="96"/>
      <c r="V101" s="89"/>
      <c r="W101" s="89"/>
      <c r="X101" s="96"/>
      <c r="Y101" s="89"/>
      <c r="Z101" s="89"/>
      <c r="AH101" s="149" t="s">
        <v>202</v>
      </c>
      <c r="AI101" s="146">
        <v>5.0000000000000001E-3</v>
      </c>
      <c r="AQ101" s="149"/>
      <c r="AR101" s="146"/>
    </row>
    <row r="102" spans="1:44" x14ac:dyDescent="0.2">
      <c r="A102" s="190"/>
      <c r="B102" s="184">
        <f>SUM(B99:B101)</f>
        <v>0.3074132873707302</v>
      </c>
      <c r="C102" s="91"/>
      <c r="D102" s="87"/>
      <c r="E102" s="93">
        <f>SUM(E99:E101)</f>
        <v>0.44539306829765524</v>
      </c>
      <c r="F102" s="94"/>
      <c r="G102" s="203"/>
      <c r="H102" s="184">
        <f>SUM(H99:H101)</f>
        <v>0.13287244732577025</v>
      </c>
      <c r="I102" s="91"/>
      <c r="J102" s="181"/>
      <c r="K102" s="184">
        <f>SUM(K99:K101)</f>
        <v>0.69516605280674493</v>
      </c>
      <c r="L102" s="91"/>
      <c r="M102" s="443"/>
      <c r="N102" s="93">
        <f>SUM(N99:N101)</f>
        <v>0.70285278514588878</v>
      </c>
      <c r="O102" s="91"/>
      <c r="P102" s="89">
        <f>+'Offseason Rate'!B102+'Offseason Rate'!B3</f>
        <v>4.866292552868563</v>
      </c>
      <c r="Q102" s="89">
        <f>+P102*0.6</f>
        <v>2.9197755317211378</v>
      </c>
      <c r="R102" s="91"/>
      <c r="S102" s="89">
        <f>+'Offseason Rate'!E102+'Offseason Rate'!E3</f>
        <v>4.998128044160624</v>
      </c>
      <c r="T102" s="89">
        <f>+S102*0.6</f>
        <v>2.9988768264963741</v>
      </c>
      <c r="U102" s="91"/>
      <c r="V102" s="89"/>
      <c r="W102" s="89"/>
      <c r="X102" s="91"/>
      <c r="Y102" s="89"/>
      <c r="Z102" s="89"/>
      <c r="AH102" s="34" t="s">
        <v>203</v>
      </c>
      <c r="AI102" s="146">
        <v>0.01</v>
      </c>
      <c r="AR102" s="146"/>
    </row>
    <row r="103" spans="1:44" x14ac:dyDescent="0.2">
      <c r="A103" s="191" t="s">
        <v>22</v>
      </c>
      <c r="B103" s="184" t="s">
        <v>178</v>
      </c>
      <c r="C103" s="94"/>
      <c r="D103" s="140"/>
      <c r="E103" s="93"/>
      <c r="G103" s="475" t="s">
        <v>647</v>
      </c>
      <c r="H103" s="474" t="s">
        <v>646</v>
      </c>
      <c r="I103" s="94"/>
      <c r="J103" s="179" t="s">
        <v>109</v>
      </c>
      <c r="K103" s="180" t="s">
        <v>174</v>
      </c>
      <c r="L103" s="94"/>
      <c r="M103" s="140" t="s">
        <v>703</v>
      </c>
      <c r="N103" s="93" t="s">
        <v>194</v>
      </c>
      <c r="O103" s="94"/>
      <c r="P103" s="91"/>
      <c r="Q103" s="91"/>
      <c r="R103" s="94"/>
      <c r="S103" s="91"/>
      <c r="T103" s="91"/>
      <c r="U103" s="94"/>
      <c r="V103" s="91"/>
      <c r="W103" s="91"/>
      <c r="X103" s="94"/>
      <c r="Y103" s="91"/>
      <c r="Z103" s="91"/>
      <c r="AH103" s="34" t="s">
        <v>204</v>
      </c>
      <c r="AI103" s="146">
        <v>5.0000000000000001E-3</v>
      </c>
      <c r="AR103" s="146"/>
    </row>
    <row r="104" spans="1:44" x14ac:dyDescent="0.2">
      <c r="A104" s="192" t="s">
        <v>120</v>
      </c>
      <c r="B104" s="187">
        <v>3.3999999999999998E-3</v>
      </c>
      <c r="C104" s="99"/>
      <c r="D104" s="87"/>
      <c r="E104" s="98"/>
      <c r="F104" s="99"/>
      <c r="G104" s="203" t="s">
        <v>120</v>
      </c>
      <c r="H104" s="182">
        <v>4.2700000000000002E-2</v>
      </c>
      <c r="J104" s="181" t="s">
        <v>120</v>
      </c>
      <c r="K104" s="182">
        <v>8.6999999999999994E-3</v>
      </c>
      <c r="M104" s="443" t="s">
        <v>120</v>
      </c>
      <c r="N104" s="98">
        <v>0.18060000000000001</v>
      </c>
      <c r="P104" s="94"/>
      <c r="Q104" s="94"/>
      <c r="R104" s="99"/>
      <c r="S104" s="94"/>
      <c r="T104" s="94"/>
      <c r="U104" s="99"/>
      <c r="V104" s="94"/>
      <c r="W104" s="94"/>
      <c r="X104" s="99"/>
      <c r="Y104" s="94"/>
      <c r="Z104" s="94"/>
      <c r="AI104" s="146"/>
      <c r="AR104" s="146"/>
    </row>
    <row r="105" spans="1:44" x14ac:dyDescent="0.2">
      <c r="A105" s="193" t="s">
        <v>60</v>
      </c>
      <c r="B105" s="187">
        <v>0</v>
      </c>
      <c r="C105" s="89"/>
      <c r="D105" s="87"/>
      <c r="E105" s="98"/>
      <c r="F105" s="89"/>
      <c r="G105" s="203" t="s">
        <v>60</v>
      </c>
      <c r="H105" s="182">
        <f>0.0022+0.007</f>
        <v>9.1999999999999998E-3</v>
      </c>
      <c r="I105" s="99"/>
      <c r="J105" s="181" t="s">
        <v>60</v>
      </c>
      <c r="K105" s="182">
        <f>0.0022+0.007</f>
        <v>9.1999999999999998E-3</v>
      </c>
      <c r="L105" s="99"/>
      <c r="M105" s="443" t="s">
        <v>60</v>
      </c>
      <c r="N105" s="88">
        <f>0.0022+0.007</f>
        <v>9.1999999999999998E-3</v>
      </c>
      <c r="O105" s="99"/>
      <c r="P105" s="94"/>
      <c r="Q105" s="94"/>
      <c r="R105" s="89"/>
      <c r="S105" s="94"/>
      <c r="T105" s="94"/>
      <c r="U105" s="89"/>
      <c r="V105" s="94"/>
      <c r="W105" s="94"/>
      <c r="X105" s="89"/>
      <c r="Y105" s="99"/>
      <c r="Z105" s="99"/>
      <c r="AH105" s="148">
        <v>36465</v>
      </c>
      <c r="AQ105" s="148"/>
    </row>
    <row r="106" spans="1:44" x14ac:dyDescent="0.2">
      <c r="A106" s="190" t="s">
        <v>585</v>
      </c>
      <c r="B106" s="183">
        <f>(B3-0.09)/(1-0.0059)-(B3-0.09)</f>
        <v>3.4541796599939723E-2</v>
      </c>
      <c r="C106" s="89"/>
      <c r="D106" s="87"/>
      <c r="E106" s="90"/>
      <c r="F106" s="89"/>
      <c r="G106" s="203" t="s">
        <v>648</v>
      </c>
      <c r="H106" s="183">
        <f>(+H5)/(1-0.005)-H5</f>
        <v>3.1381909547739006E-2</v>
      </c>
      <c r="I106" s="89"/>
      <c r="J106" s="472">
        <v>2.98E-2</v>
      </c>
      <c r="K106" s="183">
        <f>(K$3)/(1-J106)-K$3</f>
        <v>0.17661306947021238</v>
      </c>
      <c r="L106" s="89"/>
      <c r="M106" s="319">
        <v>3.3300000000000003E-2</v>
      </c>
      <c r="N106" s="90">
        <f>(N$7)/(1-M106)-N$7</f>
        <v>0.21891124443984733</v>
      </c>
      <c r="O106" s="89"/>
      <c r="P106" s="96"/>
      <c r="Q106" s="96"/>
      <c r="R106" s="89"/>
      <c r="S106" s="96"/>
      <c r="T106" s="96"/>
      <c r="U106" s="89"/>
      <c r="V106" s="96"/>
      <c r="W106" s="96"/>
      <c r="X106" s="89"/>
      <c r="Y106" s="89"/>
      <c r="Z106" s="89"/>
      <c r="AH106" s="149" t="s">
        <v>202</v>
      </c>
      <c r="AI106" s="146">
        <v>0</v>
      </c>
      <c r="AQ106" s="149"/>
      <c r="AR106" s="146"/>
    </row>
    <row r="107" spans="1:44" x14ac:dyDescent="0.2">
      <c r="A107" s="190"/>
      <c r="B107" s="184">
        <f>SUM(B104:B106)</f>
        <v>3.7941796599939723E-2</v>
      </c>
      <c r="C107" s="91"/>
      <c r="D107" s="87"/>
      <c r="E107" s="93"/>
      <c r="F107" s="91"/>
      <c r="G107" s="203"/>
      <c r="H107" s="184">
        <f>SUM(H104:H106)</f>
        <v>8.3281909547739008E-2</v>
      </c>
      <c r="I107" s="89"/>
      <c r="J107" s="181"/>
      <c r="K107" s="184">
        <f>SUM(K104:K106)</f>
        <v>0.19451306947021238</v>
      </c>
      <c r="L107" s="89"/>
      <c r="M107" s="443"/>
      <c r="N107" s="93">
        <f>SUM(N104:N106)</f>
        <v>0.40871124443984735</v>
      </c>
      <c r="O107" s="89"/>
      <c r="P107" s="96">
        <f>+'Offseason Rate'!B107+'Offseason Rate'!B3</f>
        <v>4.8322256281407041</v>
      </c>
      <c r="Q107" s="96">
        <f>+P107*0.4</f>
        <v>1.9328902512562818</v>
      </c>
      <c r="R107" s="91"/>
      <c r="S107" s="96">
        <f>+'Offseason Rate'!E107+'Offseason Rate'!E3</f>
        <v>5.1007855442926404</v>
      </c>
      <c r="T107" s="96">
        <f>+S107*0.4</f>
        <v>2.0403142177170563</v>
      </c>
      <c r="U107" s="91"/>
      <c r="V107" s="96"/>
      <c r="W107" s="96"/>
      <c r="X107" s="91"/>
      <c r="Y107" s="89"/>
      <c r="Z107" s="89"/>
      <c r="AH107" s="34" t="s">
        <v>203</v>
      </c>
      <c r="AI107" s="146">
        <v>7.0000000000000001E-3</v>
      </c>
      <c r="AR107" s="146"/>
    </row>
    <row r="108" spans="1:44" x14ac:dyDescent="0.2">
      <c r="A108" s="191" t="s">
        <v>22</v>
      </c>
      <c r="B108" s="184" t="s">
        <v>181</v>
      </c>
      <c r="C108" s="94"/>
      <c r="F108" s="94"/>
      <c r="G108" s="466" t="s">
        <v>36</v>
      </c>
      <c r="H108" s="474" t="s">
        <v>621</v>
      </c>
      <c r="I108" s="91"/>
      <c r="J108" s="179" t="s">
        <v>109</v>
      </c>
      <c r="K108" s="180" t="s">
        <v>176</v>
      </c>
      <c r="L108" s="91"/>
      <c r="M108" s="463"/>
      <c r="N108" s="94"/>
      <c r="O108" s="91"/>
      <c r="P108" s="96"/>
      <c r="Q108" s="96">
        <f>SUM(Q102:Q107)</f>
        <v>4.8526657829774198</v>
      </c>
      <c r="R108" s="94"/>
      <c r="S108" s="96"/>
      <c r="T108" s="96">
        <f>SUM(T102:T107)</f>
        <v>5.03919104421343</v>
      </c>
      <c r="U108" s="94"/>
      <c r="V108" s="96"/>
      <c r="W108" s="96"/>
      <c r="X108" s="94"/>
      <c r="Y108" s="91"/>
      <c r="Z108" s="91"/>
      <c r="AH108" s="34" t="s">
        <v>204</v>
      </c>
      <c r="AI108" s="146">
        <v>0</v>
      </c>
      <c r="AR108" s="146"/>
    </row>
    <row r="109" spans="1:44" x14ac:dyDescent="0.2">
      <c r="A109" s="469" t="s">
        <v>120</v>
      </c>
      <c r="B109" s="187">
        <v>9.1999999999999998E-3</v>
      </c>
      <c r="F109" s="99"/>
      <c r="G109" s="203" t="s">
        <v>120</v>
      </c>
      <c r="H109" s="182">
        <v>7.6499999999999999E-2</v>
      </c>
      <c r="I109" s="94"/>
      <c r="J109" s="181" t="s">
        <v>120</v>
      </c>
      <c r="K109" s="182">
        <v>2.2800000000000001E-2</v>
      </c>
      <c r="L109" s="94"/>
      <c r="M109" s="89"/>
      <c r="N109" s="96"/>
      <c r="O109" s="94"/>
      <c r="P109" s="91"/>
      <c r="Q109" s="91"/>
      <c r="S109" s="91"/>
      <c r="T109" s="91"/>
      <c r="V109" s="91"/>
      <c r="W109" s="91"/>
      <c r="Y109" s="94"/>
      <c r="Z109" s="94"/>
      <c r="AI109" s="146"/>
      <c r="AR109" s="146"/>
    </row>
    <row r="110" spans="1:44" x14ac:dyDescent="0.2">
      <c r="A110" s="193" t="s">
        <v>60</v>
      </c>
      <c r="B110" s="187">
        <f>0.0022+0.007+0.0097</f>
        <v>1.89E-2</v>
      </c>
      <c r="C110" s="99"/>
      <c r="F110" s="89"/>
      <c r="G110" s="203" t="s">
        <v>60</v>
      </c>
      <c r="H110" s="182">
        <f>0.0022+0.007</f>
        <v>9.1999999999999998E-3</v>
      </c>
      <c r="I110" s="99"/>
      <c r="J110" s="181" t="s">
        <v>60</v>
      </c>
      <c r="K110" s="182">
        <f>0.0022+0.007</f>
        <v>9.1999999999999998E-3</v>
      </c>
      <c r="L110" s="99"/>
      <c r="M110" s="89"/>
      <c r="N110" s="89"/>
      <c r="O110" s="99"/>
      <c r="P110" s="94"/>
      <c r="Q110" s="94"/>
      <c r="R110" s="99"/>
      <c r="S110" s="94"/>
      <c r="T110" s="94"/>
      <c r="U110" s="99"/>
      <c r="V110" s="94"/>
      <c r="W110" s="94"/>
      <c r="X110" s="99"/>
      <c r="AH110" s="148">
        <v>36434</v>
      </c>
      <c r="AQ110" s="148"/>
    </row>
    <row r="111" spans="1:44" x14ac:dyDescent="0.2">
      <c r="A111" s="190" t="s">
        <v>586</v>
      </c>
      <c r="B111" s="183">
        <f>B7/(1-0.0153)-B7</f>
        <v>9.8509190616431042E-2</v>
      </c>
      <c r="C111" s="89"/>
      <c r="F111" s="89"/>
      <c r="G111" s="476">
        <v>2.0899999999999998E-2</v>
      </c>
      <c r="H111" s="183">
        <f>(+H5)/(1-G111)-H5</f>
        <v>0.13330660810948824</v>
      </c>
      <c r="I111" s="89"/>
      <c r="J111" s="472">
        <v>5.8200000000000002E-2</v>
      </c>
      <c r="K111" s="183">
        <f>(K$3)/(1-J111)-K$3</f>
        <v>0.3553302187300913</v>
      </c>
      <c r="L111" s="89"/>
      <c r="M111" s="89"/>
      <c r="N111" s="91"/>
      <c r="O111" s="89"/>
      <c r="P111" s="99"/>
      <c r="Q111" s="99"/>
      <c r="R111" s="89"/>
      <c r="S111" s="99"/>
      <c r="T111" s="99"/>
      <c r="U111" s="89"/>
      <c r="V111" s="99"/>
      <c r="W111" s="99"/>
      <c r="X111" s="89"/>
      <c r="AH111" s="149" t="s">
        <v>202</v>
      </c>
      <c r="AI111" s="146">
        <v>0</v>
      </c>
      <c r="AQ111" s="149"/>
      <c r="AR111" s="146"/>
    </row>
    <row r="112" spans="1:44" x14ac:dyDescent="0.2">
      <c r="A112" s="190"/>
      <c r="B112" s="184">
        <f>SUM(B109:B111)</f>
        <v>0.12660919061643106</v>
      </c>
      <c r="C112" s="89"/>
      <c r="F112" s="91"/>
      <c r="G112" s="203"/>
      <c r="H112" s="184">
        <f>SUM(H109:H111)</f>
        <v>0.21900660810948824</v>
      </c>
      <c r="I112" s="89"/>
      <c r="J112" s="181"/>
      <c r="K112" s="184">
        <f>SUM(K109:K111)</f>
        <v>0.38733021873009132</v>
      </c>
      <c r="L112" s="89"/>
      <c r="M112" s="89"/>
      <c r="N112" s="94"/>
      <c r="O112" s="89"/>
      <c r="P112" s="89"/>
      <c r="Q112" s="89"/>
      <c r="R112" s="89"/>
      <c r="S112" s="89"/>
      <c r="T112" s="89"/>
      <c r="U112" s="89"/>
      <c r="V112" s="89"/>
      <c r="W112" s="89"/>
      <c r="X112" s="89"/>
      <c r="AH112" s="34" t="s">
        <v>203</v>
      </c>
      <c r="AI112" s="146">
        <v>7.0000000000000001E-3</v>
      </c>
      <c r="AR112" s="146"/>
    </row>
    <row r="113" spans="1:44" x14ac:dyDescent="0.2">
      <c r="A113" s="191" t="s">
        <v>22</v>
      </c>
      <c r="B113" s="184" t="s">
        <v>335</v>
      </c>
      <c r="C113" s="91"/>
      <c r="F113" s="94"/>
      <c r="G113" s="466" t="s">
        <v>36</v>
      </c>
      <c r="H113" s="474" t="s">
        <v>776</v>
      </c>
      <c r="I113" s="91"/>
      <c r="J113" s="179" t="s">
        <v>109</v>
      </c>
      <c r="K113" s="180" t="s">
        <v>179</v>
      </c>
      <c r="L113" s="91"/>
      <c r="M113" s="89"/>
      <c r="N113" s="89"/>
      <c r="O113" s="91"/>
      <c r="P113" s="89"/>
      <c r="Q113" s="89"/>
      <c r="R113" s="91"/>
      <c r="S113" s="89"/>
      <c r="T113" s="89"/>
      <c r="U113" s="91"/>
      <c r="V113" s="89"/>
      <c r="W113" s="89"/>
      <c r="X113" s="91"/>
      <c r="AH113" s="34" t="s">
        <v>204</v>
      </c>
      <c r="AI113" s="146">
        <v>0</v>
      </c>
      <c r="AR113" s="146"/>
    </row>
    <row r="114" spans="1:44" x14ac:dyDescent="0.2">
      <c r="A114" s="469" t="s">
        <v>120</v>
      </c>
      <c r="B114" s="187">
        <v>1.38E-2</v>
      </c>
      <c r="C114" s="94"/>
      <c r="G114" s="203" t="s">
        <v>120</v>
      </c>
      <c r="H114" s="182">
        <v>0.31919999999999998</v>
      </c>
      <c r="I114" s="94"/>
      <c r="J114" s="181" t="s">
        <v>120</v>
      </c>
      <c r="K114" s="182">
        <v>4.3099999999999999E-2</v>
      </c>
      <c r="L114" s="94"/>
      <c r="M114" s="89"/>
      <c r="N114" s="89"/>
      <c r="O114" s="94"/>
      <c r="P114" s="91"/>
      <c r="Q114" s="91"/>
      <c r="R114" s="94"/>
      <c r="S114" s="91"/>
      <c r="T114" s="91"/>
      <c r="U114" s="94"/>
      <c r="V114" s="91"/>
      <c r="W114" s="91"/>
      <c r="X114" s="94"/>
      <c r="AI114" s="146"/>
    </row>
    <row r="115" spans="1:44" x14ac:dyDescent="0.2">
      <c r="A115" s="193" t="s">
        <v>60</v>
      </c>
      <c r="B115" s="187">
        <f>0.0022+0.007+0.0097</f>
        <v>1.89E-2</v>
      </c>
      <c r="C115" s="99"/>
      <c r="G115" s="203" t="s">
        <v>60</v>
      </c>
      <c r="H115" s="182">
        <f>0.0022+0.007</f>
        <v>9.1999999999999998E-3</v>
      </c>
      <c r="J115" s="181" t="s">
        <v>60</v>
      </c>
      <c r="K115" s="182">
        <f>0.0022+0.007</f>
        <v>9.1999999999999998E-3</v>
      </c>
      <c r="M115" s="91"/>
      <c r="N115" s="91"/>
      <c r="P115" s="94"/>
      <c r="Q115" s="94"/>
      <c r="R115" s="99"/>
      <c r="S115" s="94"/>
      <c r="T115" s="94"/>
      <c r="U115" s="99"/>
      <c r="V115" s="94"/>
      <c r="W115" s="94"/>
      <c r="X115" s="99"/>
      <c r="AH115" s="148">
        <v>36404</v>
      </c>
      <c r="AQ115" s="148"/>
    </row>
    <row r="116" spans="1:44" x14ac:dyDescent="0.2">
      <c r="A116" s="190" t="s">
        <v>587</v>
      </c>
      <c r="B116" s="183">
        <f>B7/(1-0.0237)-B7</f>
        <v>0.1539055618150158</v>
      </c>
      <c r="C116" s="89"/>
      <c r="G116" s="477">
        <v>2.5000000000000001E-2</v>
      </c>
      <c r="H116" s="183">
        <f>(+H$5)/(1-G116)-H$5</f>
        <v>0.16012820512820536</v>
      </c>
      <c r="J116" s="472">
        <v>8.2600000000000007E-2</v>
      </c>
      <c r="K116" s="183">
        <f>(K$3)/(1-J116)-K$3</f>
        <v>0.51771310224547662</v>
      </c>
      <c r="M116" s="94"/>
      <c r="N116" s="94"/>
      <c r="R116" s="89"/>
      <c r="U116" s="89"/>
      <c r="X116" s="89"/>
      <c r="AH116" s="149" t="s">
        <v>202</v>
      </c>
      <c r="AI116" s="146">
        <v>0</v>
      </c>
      <c r="AQ116" s="149"/>
      <c r="AR116" s="146"/>
    </row>
    <row r="117" spans="1:44" x14ac:dyDescent="0.2">
      <c r="A117" s="190"/>
      <c r="B117" s="184">
        <f>SUM(B114:B116)</f>
        <v>0.18660556181501581</v>
      </c>
      <c r="C117" s="89"/>
      <c r="G117" s="203"/>
      <c r="H117" s="184">
        <f>SUM(H114:H116)</f>
        <v>0.48852820512820533</v>
      </c>
      <c r="J117" s="181"/>
      <c r="K117" s="184">
        <f>SUM(K114:K116)</f>
        <v>0.57001310224547663</v>
      </c>
      <c r="M117" s="99"/>
      <c r="N117" s="99"/>
      <c r="P117" s="99"/>
      <c r="Q117" s="99"/>
      <c r="R117" s="89"/>
      <c r="S117" s="99"/>
      <c r="T117" s="99"/>
      <c r="U117" s="89"/>
      <c r="V117" s="99"/>
      <c r="W117" s="99"/>
      <c r="X117" s="89"/>
      <c r="AH117" s="34" t="s">
        <v>203</v>
      </c>
      <c r="AI117" s="146">
        <v>4.0000000000000001E-3</v>
      </c>
      <c r="AR117" s="146"/>
    </row>
    <row r="118" spans="1:44" x14ac:dyDescent="0.2">
      <c r="A118" s="191" t="s">
        <v>22</v>
      </c>
      <c r="B118" s="184" t="s">
        <v>183</v>
      </c>
      <c r="C118" s="91"/>
      <c r="G118" s="466" t="s">
        <v>36</v>
      </c>
      <c r="H118" s="474" t="s">
        <v>678</v>
      </c>
      <c r="J118" s="179" t="s">
        <v>109</v>
      </c>
      <c r="K118" s="180" t="s">
        <v>182</v>
      </c>
      <c r="M118" s="89"/>
      <c r="N118" s="89"/>
      <c r="P118" s="89"/>
      <c r="Q118" s="89"/>
      <c r="R118" s="91"/>
      <c r="S118" s="89"/>
      <c r="T118" s="89"/>
      <c r="U118" s="91"/>
      <c r="V118" s="89"/>
      <c r="W118" s="89"/>
      <c r="X118" s="91"/>
      <c r="AH118" s="34" t="s">
        <v>204</v>
      </c>
      <c r="AI118" s="146">
        <v>0</v>
      </c>
      <c r="AR118" s="146"/>
    </row>
    <row r="119" spans="1:44" x14ac:dyDescent="0.2">
      <c r="A119" s="192" t="s">
        <v>120</v>
      </c>
      <c r="B119" s="187">
        <v>5.0000000000000001E-3</v>
      </c>
      <c r="C119" s="94"/>
      <c r="G119" s="203" t="s">
        <v>120</v>
      </c>
      <c r="H119" s="182">
        <v>7.6499999999999999E-2</v>
      </c>
      <c r="J119" s="181" t="s">
        <v>120</v>
      </c>
      <c r="K119" s="182">
        <v>5.7000000000000002E-2</v>
      </c>
      <c r="M119" s="89"/>
      <c r="N119" s="89"/>
      <c r="P119" s="89"/>
      <c r="Q119" s="89"/>
      <c r="R119" s="94"/>
      <c r="S119" s="89"/>
      <c r="T119" s="89"/>
      <c r="U119" s="94"/>
      <c r="V119" s="89"/>
      <c r="W119" s="89"/>
      <c r="X119" s="94"/>
      <c r="AI119" s="146"/>
    </row>
    <row r="120" spans="1:44" x14ac:dyDescent="0.2">
      <c r="A120" s="193" t="s">
        <v>60</v>
      </c>
      <c r="B120" s="187">
        <f>0.0022+0.007+0.0097</f>
        <v>1.89E-2</v>
      </c>
      <c r="G120" s="203" t="s">
        <v>60</v>
      </c>
      <c r="H120" s="182">
        <f>0.0022+0.007</f>
        <v>9.1999999999999998E-3</v>
      </c>
      <c r="J120" s="181" t="s">
        <v>60</v>
      </c>
      <c r="K120" s="182">
        <f>0.0022+0.007</f>
        <v>9.1999999999999998E-3</v>
      </c>
      <c r="M120" s="91"/>
      <c r="N120" s="91"/>
      <c r="P120" s="91"/>
      <c r="Q120" s="91"/>
      <c r="S120" s="91"/>
      <c r="T120" s="91"/>
      <c r="V120" s="91"/>
      <c r="W120" s="91"/>
      <c r="AH120" s="148">
        <v>36312</v>
      </c>
      <c r="AQ120" s="148"/>
    </row>
    <row r="121" spans="1:44" x14ac:dyDescent="0.2">
      <c r="A121" s="477">
        <v>8.3999999999999995E-3</v>
      </c>
      <c r="B121" s="183">
        <f>B$7/(1-A121)-B$7</f>
        <v>5.3707139975796458E-2</v>
      </c>
      <c r="G121" s="477">
        <v>1.4E-2</v>
      </c>
      <c r="H121" s="183">
        <f>(+H$5)/(1-G121)-H$5</f>
        <v>8.867139959432091E-2</v>
      </c>
      <c r="J121" s="472">
        <v>9.8599999999999993E-2</v>
      </c>
      <c r="K121" s="183">
        <f>(K$3)/(1-J121)-K$3</f>
        <v>0.62896605280674489</v>
      </c>
      <c r="M121" s="94"/>
      <c r="N121" s="94"/>
      <c r="P121" s="94"/>
      <c r="Q121" s="94"/>
      <c r="S121" s="94"/>
      <c r="T121" s="94"/>
      <c r="V121" s="94"/>
      <c r="W121" s="94"/>
      <c r="AH121" s="149" t="s">
        <v>202</v>
      </c>
      <c r="AI121" s="146">
        <v>2E-3</v>
      </c>
      <c r="AQ121" s="149"/>
      <c r="AR121" s="146"/>
    </row>
    <row r="122" spans="1:44" x14ac:dyDescent="0.2">
      <c r="A122" s="190" t="s">
        <v>185</v>
      </c>
      <c r="B122" s="184">
        <f>SUM(B119:B121)</f>
        <v>7.7607139975796463E-2</v>
      </c>
      <c r="G122" s="203"/>
      <c r="H122" s="184">
        <f>SUM(H119:H121)</f>
        <v>0.17437139959432091</v>
      </c>
      <c r="J122" s="181"/>
      <c r="K122" s="184">
        <f>SUM(K119:K121)</f>
        <v>0.69516605280674493</v>
      </c>
      <c r="M122" s="94"/>
      <c r="N122" s="94"/>
      <c r="P122" s="99"/>
      <c r="Q122" s="99"/>
      <c r="S122" s="99"/>
      <c r="T122" s="99"/>
      <c r="V122" s="99"/>
      <c r="W122" s="99"/>
      <c r="AH122" s="34" t="s">
        <v>203</v>
      </c>
      <c r="AI122" s="146">
        <v>5.0000000000000001E-3</v>
      </c>
      <c r="AR122" s="146"/>
    </row>
    <row r="123" spans="1:44" x14ac:dyDescent="0.2">
      <c r="A123" s="191" t="s">
        <v>22</v>
      </c>
      <c r="B123" s="184" t="s">
        <v>801</v>
      </c>
      <c r="G123" s="466" t="s">
        <v>36</v>
      </c>
      <c r="H123" s="474" t="s">
        <v>632</v>
      </c>
      <c r="J123" s="179" t="s">
        <v>109</v>
      </c>
      <c r="K123" s="180" t="s">
        <v>184</v>
      </c>
      <c r="M123" s="96"/>
      <c r="N123" s="96"/>
      <c r="P123" s="89"/>
      <c r="Q123" s="89"/>
      <c r="S123" s="89"/>
      <c r="T123" s="89"/>
      <c r="V123" s="89"/>
      <c r="W123" s="89"/>
      <c r="AH123" s="34" t="s">
        <v>204</v>
      </c>
      <c r="AI123" s="146">
        <v>2E-3</v>
      </c>
      <c r="AR123" s="146"/>
    </row>
    <row r="124" spans="1:44" x14ac:dyDescent="0.2">
      <c r="A124" s="192" t="s">
        <v>120</v>
      </c>
      <c r="B124" s="187">
        <v>1.38E-2</v>
      </c>
      <c r="G124" s="203" t="s">
        <v>120</v>
      </c>
      <c r="H124" s="182">
        <v>6.4199999999999993E-2</v>
      </c>
      <c r="J124" s="181" t="s">
        <v>120</v>
      </c>
      <c r="K124" s="182">
        <v>1.41E-2</v>
      </c>
      <c r="M124" s="96"/>
      <c r="N124" s="96"/>
      <c r="P124" s="89"/>
      <c r="Q124" s="89"/>
      <c r="S124" s="89"/>
      <c r="T124" s="89"/>
      <c r="V124" s="89"/>
      <c r="W124" s="89"/>
      <c r="AI124" s="146"/>
    </row>
    <row r="125" spans="1:44" x14ac:dyDescent="0.2">
      <c r="A125" s="193" t="s">
        <v>60</v>
      </c>
      <c r="B125" s="187">
        <f>0.0022+0.0097</f>
        <v>1.1900000000000001E-2</v>
      </c>
      <c r="G125" s="203" t="s">
        <v>60</v>
      </c>
      <c r="H125" s="182">
        <f>0.0022+0.007</f>
        <v>9.1999999999999998E-3</v>
      </c>
      <c r="J125" s="181" t="s">
        <v>60</v>
      </c>
      <c r="K125" s="182">
        <f>0.0022+0.007</f>
        <v>9.1999999999999998E-3</v>
      </c>
      <c r="M125" s="96"/>
      <c r="N125" s="96"/>
      <c r="P125" s="91"/>
      <c r="Q125" s="91"/>
      <c r="S125" s="91"/>
      <c r="T125" s="91"/>
      <c r="V125" s="91"/>
      <c r="W125" s="91"/>
      <c r="AH125" s="148">
        <v>36281</v>
      </c>
      <c r="AQ125" s="148"/>
    </row>
    <row r="126" spans="1:44" x14ac:dyDescent="0.2">
      <c r="A126" s="477">
        <v>2.3699999999999999E-2</v>
      </c>
      <c r="B126" s="183">
        <f>B$7/(1-A126)-B$7</f>
        <v>0.1539055618150158</v>
      </c>
      <c r="G126" s="472">
        <v>8.8999999999999999E-3</v>
      </c>
      <c r="H126" s="183">
        <f>(+H4)/(1-G126)-H4</f>
        <v>5.2397840782968608E-2</v>
      </c>
      <c r="J126" s="472">
        <v>2.8400000000000002E-2</v>
      </c>
      <c r="K126" s="183">
        <f>(K$6)/(1-J126)-K$6</f>
        <v>0.17552696582955907</v>
      </c>
      <c r="M126" s="91"/>
      <c r="N126" s="91"/>
      <c r="P126" s="94"/>
      <c r="Q126" s="94"/>
      <c r="S126" s="94"/>
      <c r="T126" s="94"/>
      <c r="V126" s="94"/>
      <c r="W126" s="94"/>
      <c r="AH126" s="149" t="s">
        <v>202</v>
      </c>
      <c r="AI126" s="146">
        <v>2E-3</v>
      </c>
      <c r="AQ126" s="149"/>
      <c r="AR126" s="146"/>
    </row>
    <row r="127" spans="1:44" x14ac:dyDescent="0.2">
      <c r="A127" s="190" t="s">
        <v>185</v>
      </c>
      <c r="B127" s="184">
        <f>SUM(B124:B126)</f>
        <v>0.1796055618150158</v>
      </c>
      <c r="G127" s="203"/>
      <c r="H127" s="184">
        <f>SUM(H124:H126)</f>
        <v>0.1257978407829686</v>
      </c>
      <c r="J127" s="181"/>
      <c r="K127" s="184">
        <f>SUM(K124:K126)</f>
        <v>0.19882696582955905</v>
      </c>
      <c r="M127" s="94"/>
      <c r="N127" s="94"/>
      <c r="AH127" s="34" t="s">
        <v>203</v>
      </c>
      <c r="AI127" s="146">
        <v>5.0000000000000001E-3</v>
      </c>
      <c r="AR127" s="146"/>
    </row>
    <row r="128" spans="1:44" x14ac:dyDescent="0.2">
      <c r="A128" s="191" t="s">
        <v>22</v>
      </c>
      <c r="B128" s="184" t="s">
        <v>805</v>
      </c>
      <c r="G128" s="466" t="s">
        <v>598</v>
      </c>
      <c r="H128" s="473"/>
      <c r="J128" s="179" t="s">
        <v>109</v>
      </c>
      <c r="K128" s="180" t="s">
        <v>187</v>
      </c>
      <c r="M128" s="99"/>
      <c r="N128" s="99"/>
      <c r="AH128" s="34" t="s">
        <v>204</v>
      </c>
      <c r="AI128" s="146">
        <v>2E-3</v>
      </c>
      <c r="AR128" s="146"/>
    </row>
    <row r="129" spans="1:35" x14ac:dyDescent="0.2">
      <c r="A129" s="192" t="s">
        <v>120</v>
      </c>
      <c r="B129" s="187">
        <v>2.4899999999999999E-2</v>
      </c>
      <c r="G129" s="202" t="s">
        <v>120</v>
      </c>
      <c r="H129" s="182">
        <v>9.4000000000000004E-3</v>
      </c>
      <c r="J129" s="181" t="s">
        <v>120</v>
      </c>
      <c r="K129" s="182">
        <v>3.44E-2</v>
      </c>
      <c r="M129" s="89"/>
      <c r="N129" s="89"/>
      <c r="AI129" s="146"/>
    </row>
    <row r="130" spans="1:35" x14ac:dyDescent="0.2">
      <c r="A130" s="193" t="s">
        <v>60</v>
      </c>
      <c r="B130" s="187">
        <f>0.007+0.0022+0.0097</f>
        <v>1.89E-2</v>
      </c>
      <c r="G130" s="202" t="s">
        <v>60</v>
      </c>
      <c r="H130" s="182">
        <v>2.2000000000000001E-3</v>
      </c>
      <c r="J130" s="181" t="s">
        <v>60</v>
      </c>
      <c r="K130" s="182">
        <f>0.0022+0.007</f>
        <v>9.1999999999999998E-3</v>
      </c>
      <c r="M130" s="89"/>
      <c r="N130" s="89"/>
      <c r="AH130" s="148">
        <v>36251</v>
      </c>
    </row>
    <row r="131" spans="1:35" x14ac:dyDescent="0.2">
      <c r="A131" s="477">
        <v>1.9E-2</v>
      </c>
      <c r="B131" s="183">
        <f>B$7/(1-A131)-B$7</f>
        <v>0.12279306829765524</v>
      </c>
      <c r="G131" s="202" t="s">
        <v>556</v>
      </c>
      <c r="H131" s="183">
        <f>(+AI3+AI17)/(1-0.0131)-(+AI3+AI17)</f>
        <v>8.3654463064130269E-2</v>
      </c>
      <c r="J131" s="472">
        <v>5.28E-2</v>
      </c>
      <c r="K131" s="183">
        <f>(K$6)/(1-J131)-K$6</f>
        <v>0.33473817567567554</v>
      </c>
      <c r="M131" s="91"/>
      <c r="N131" s="91"/>
      <c r="AH131" s="149" t="s">
        <v>202</v>
      </c>
      <c r="AI131" s="146">
        <v>2E-3</v>
      </c>
    </row>
    <row r="132" spans="1:35" x14ac:dyDescent="0.2">
      <c r="A132" s="190" t="s">
        <v>185</v>
      </c>
      <c r="B132" s="184">
        <f>SUM(B129:B131)</f>
        <v>0.16659306829765524</v>
      </c>
      <c r="G132" s="203"/>
      <c r="H132" s="184">
        <f>SUM(H129:H131)</f>
        <v>9.5254463064130268E-2</v>
      </c>
      <c r="J132" s="181"/>
      <c r="K132" s="184">
        <f>SUM(K129:K131)</f>
        <v>0.37833817567567551</v>
      </c>
      <c r="M132" s="94"/>
      <c r="N132" s="94"/>
      <c r="AH132" s="34" t="s">
        <v>203</v>
      </c>
      <c r="AI132" s="146">
        <v>7.0000000000000001E-3</v>
      </c>
    </row>
    <row r="133" spans="1:35" x14ac:dyDescent="0.2">
      <c r="A133" s="191" t="s">
        <v>22</v>
      </c>
      <c r="B133" s="184" t="s">
        <v>804</v>
      </c>
      <c r="G133" s="466" t="s">
        <v>36</v>
      </c>
      <c r="H133" s="473" t="s">
        <v>186</v>
      </c>
      <c r="J133" s="179" t="s">
        <v>109</v>
      </c>
      <c r="K133" s="180" t="s">
        <v>189</v>
      </c>
      <c r="AH133" s="34" t="s">
        <v>204</v>
      </c>
      <c r="AI133" s="146">
        <v>2E-3</v>
      </c>
    </row>
    <row r="134" spans="1:35" x14ac:dyDescent="0.2">
      <c r="A134" s="192" t="s">
        <v>120</v>
      </c>
      <c r="B134" s="187">
        <v>2.4899999999999999E-2</v>
      </c>
      <c r="G134" s="202" t="s">
        <v>120</v>
      </c>
      <c r="H134" s="182">
        <v>4.5900000000000003E-2</v>
      </c>
      <c r="J134" s="181" t="s">
        <v>120</v>
      </c>
      <c r="K134" s="182">
        <v>4.8300000000000003E-2</v>
      </c>
      <c r="M134" s="99"/>
      <c r="N134" s="99"/>
      <c r="AI134" s="146"/>
    </row>
    <row r="135" spans="1:35" x14ac:dyDescent="0.2">
      <c r="A135" s="193" t="s">
        <v>60</v>
      </c>
      <c r="B135" s="187">
        <f>0.007+0.0022+0.0097</f>
        <v>1.89E-2</v>
      </c>
      <c r="G135" s="202" t="s">
        <v>60</v>
      </c>
      <c r="H135" s="182">
        <f>0.0022+0.007</f>
        <v>9.1999999999999998E-3</v>
      </c>
      <c r="J135" s="181" t="s">
        <v>60</v>
      </c>
      <c r="K135" s="182">
        <f>0.0022+0.007</f>
        <v>9.1999999999999998E-3</v>
      </c>
      <c r="M135" s="89"/>
      <c r="N135" s="89"/>
      <c r="AH135" s="148">
        <v>36220</v>
      </c>
    </row>
    <row r="136" spans="1:35" x14ac:dyDescent="0.2">
      <c r="A136" s="477">
        <v>2.7400000000000001E-2</v>
      </c>
      <c r="B136" s="183">
        <f>B$7/(1-A136)-B$7</f>
        <v>0.17860991157721529</v>
      </c>
      <c r="G136" s="476">
        <v>1.1599999999999999E-2</v>
      </c>
      <c r="H136" s="183">
        <f>(+H5)/(1-G136)-H5</f>
        <v>7.3292189397005991E-2</v>
      </c>
      <c r="J136" s="472">
        <v>6.88E-2</v>
      </c>
      <c r="K136" s="183">
        <f>(K$6)/(1-J136)-K$6</f>
        <v>0.44366838487972515</v>
      </c>
      <c r="M136" s="89"/>
      <c r="N136" s="89"/>
      <c r="AH136" s="149" t="s">
        <v>202</v>
      </c>
      <c r="AI136" s="146">
        <v>1E-3</v>
      </c>
    </row>
    <row r="137" spans="1:35" x14ac:dyDescent="0.2">
      <c r="A137" s="190" t="s">
        <v>185</v>
      </c>
      <c r="B137" s="184">
        <f>SUM(B134:B136)</f>
        <v>0.22240991157721529</v>
      </c>
      <c r="G137" s="203"/>
      <c r="H137" s="184">
        <f>SUM(H134:H136)</f>
        <v>0.128392189397006</v>
      </c>
      <c r="J137" s="181"/>
      <c r="K137" s="184">
        <f>SUM(K134:K136)</f>
        <v>0.50116838487972515</v>
      </c>
      <c r="M137" s="91"/>
      <c r="N137" s="91"/>
      <c r="AH137" s="34" t="s">
        <v>203</v>
      </c>
      <c r="AI137" s="146">
        <v>3.0000000000000001E-3</v>
      </c>
    </row>
    <row r="138" spans="1:35" x14ac:dyDescent="0.2">
      <c r="A138" s="191" t="s">
        <v>22</v>
      </c>
      <c r="B138" s="184" t="s">
        <v>802</v>
      </c>
      <c r="F138" s="46"/>
      <c r="G138" s="95" t="s">
        <v>36</v>
      </c>
      <c r="H138" s="141" t="s">
        <v>188</v>
      </c>
      <c r="I138" s="46"/>
      <c r="J138" s="179" t="s">
        <v>109</v>
      </c>
      <c r="K138" s="184" t="s">
        <v>191</v>
      </c>
      <c r="L138" s="46"/>
      <c r="M138" s="94"/>
      <c r="N138" s="94"/>
      <c r="AH138" s="34" t="s">
        <v>204</v>
      </c>
      <c r="AI138" s="146">
        <v>1E-3</v>
      </c>
    </row>
    <row r="139" spans="1:35" x14ac:dyDescent="0.2">
      <c r="A139" s="192" t="s">
        <v>120</v>
      </c>
      <c r="B139" s="187">
        <v>2.4899999999999999E-2</v>
      </c>
      <c r="D139" s="120"/>
      <c r="F139" s="46"/>
      <c r="G139" s="87" t="s">
        <v>120</v>
      </c>
      <c r="H139" s="318">
        <f>0.1599-0.0022</f>
        <v>0.15769999999999998</v>
      </c>
      <c r="I139" s="46"/>
      <c r="J139" s="181" t="s">
        <v>120</v>
      </c>
      <c r="K139" s="187">
        <v>2.4500000000000001E-2</v>
      </c>
      <c r="L139" s="46"/>
      <c r="M139" s="99"/>
      <c r="N139" s="99"/>
      <c r="AI139" s="146"/>
    </row>
    <row r="140" spans="1:35" x14ac:dyDescent="0.2">
      <c r="A140" s="193" t="s">
        <v>60</v>
      </c>
      <c r="B140" s="187">
        <f>0.0022+0.0097+0.007</f>
        <v>1.89E-2</v>
      </c>
      <c r="D140" s="120"/>
      <c r="F140" s="46"/>
      <c r="G140" s="87" t="s">
        <v>60</v>
      </c>
      <c r="H140" s="88">
        <f>0.0022+0+0.0225+0.007</f>
        <v>3.1699999999999999E-2</v>
      </c>
      <c r="I140" s="46"/>
      <c r="J140" s="181" t="s">
        <v>60</v>
      </c>
      <c r="K140" s="182">
        <f>0.0022</f>
        <v>2.2000000000000001E-3</v>
      </c>
      <c r="L140" s="46"/>
      <c r="M140" s="89"/>
      <c r="N140" s="89"/>
      <c r="AH140" s="148">
        <v>36192</v>
      </c>
    </row>
    <row r="141" spans="1:35" x14ac:dyDescent="0.2">
      <c r="A141" s="477">
        <v>8.3999999999999995E-3</v>
      </c>
      <c r="B141" s="183">
        <f>B$7/(1-A141)-B$7</f>
        <v>5.3707139975796458E-2</v>
      </c>
      <c r="F141" s="46"/>
      <c r="G141" s="408">
        <v>1.01E-2</v>
      </c>
      <c r="H141" s="459">
        <f>(H4)/(1-G141)-H4</f>
        <v>5.9534801495100709E-2</v>
      </c>
      <c r="I141" s="46"/>
      <c r="J141" s="472">
        <v>4.1099999999999998E-2</v>
      </c>
      <c r="K141" s="183">
        <f>(K$7)/(1-J141)-K$7</f>
        <v>0.27238554593805464</v>
      </c>
      <c r="L141" s="46"/>
      <c r="M141" s="89"/>
      <c r="N141" s="89"/>
      <c r="AH141" s="149" t="s">
        <v>202</v>
      </c>
      <c r="AI141" s="146">
        <v>4.0000000000000001E-3</v>
      </c>
    </row>
    <row r="142" spans="1:35" x14ac:dyDescent="0.2">
      <c r="A142" s="190" t="s">
        <v>185</v>
      </c>
      <c r="B142" s="184">
        <f>SUM(B139:B141)</f>
        <v>9.7507139975796464E-2</v>
      </c>
      <c r="F142" s="46"/>
      <c r="G142" s="92"/>
      <c r="H142" s="93">
        <f>SUM(H139:H141)</f>
        <v>0.24893480149510069</v>
      </c>
      <c r="I142" s="46"/>
      <c r="J142" s="181"/>
      <c r="K142" s="184">
        <f>SUM(K139:K141)</f>
        <v>0.29908554593805464</v>
      </c>
      <c r="L142" s="46"/>
      <c r="M142" s="91"/>
      <c r="N142" s="91"/>
      <c r="AH142" s="34" t="s">
        <v>203</v>
      </c>
      <c r="AI142" s="146">
        <v>0.01</v>
      </c>
    </row>
    <row r="143" spans="1:35" x14ac:dyDescent="0.2">
      <c r="F143" s="46"/>
      <c r="G143" s="95" t="s">
        <v>36</v>
      </c>
      <c r="H143" s="141" t="s">
        <v>190</v>
      </c>
      <c r="I143" s="46"/>
      <c r="J143" s="179" t="s">
        <v>109</v>
      </c>
      <c r="K143" s="184" t="s">
        <v>193</v>
      </c>
      <c r="L143" s="46"/>
      <c r="M143" s="94"/>
      <c r="N143" s="94"/>
      <c r="AH143" s="34" t="s">
        <v>204</v>
      </c>
      <c r="AI143" s="146">
        <v>4.0000000000000001E-3</v>
      </c>
    </row>
    <row r="144" spans="1:35" x14ac:dyDescent="0.2">
      <c r="F144" s="46"/>
      <c r="G144" s="87" t="s">
        <v>120</v>
      </c>
      <c r="H144" s="318">
        <f>0.3212-0.0022</f>
        <v>0.31900000000000001</v>
      </c>
      <c r="I144" s="46"/>
      <c r="J144" s="181" t="s">
        <v>120</v>
      </c>
      <c r="K144" s="187">
        <v>3.85E-2</v>
      </c>
      <c r="L144" s="46"/>
      <c r="AI144" s="146"/>
    </row>
    <row r="145" spans="6:35" x14ac:dyDescent="0.2">
      <c r="F145" s="46"/>
      <c r="G145" s="87" t="s">
        <v>60</v>
      </c>
      <c r="H145" s="88">
        <f>0.0022+0+0.0225+0.007</f>
        <v>3.1699999999999999E-2</v>
      </c>
      <c r="I145" s="46"/>
      <c r="J145" s="181" t="s">
        <v>60</v>
      </c>
      <c r="K145" s="182">
        <f>0.0022+0.007</f>
        <v>9.1999999999999998E-3</v>
      </c>
      <c r="L145" s="46"/>
      <c r="AH145" s="148">
        <v>36161</v>
      </c>
    </row>
    <row r="146" spans="6:35" x14ac:dyDescent="0.2">
      <c r="G146" s="408">
        <v>2.7900000000000001E-2</v>
      </c>
      <c r="H146" s="90">
        <f>(H3)/(1-G146)-H3</f>
        <v>0.16545982923567593</v>
      </c>
      <c r="J146" s="472">
        <v>5.7500000000000002E-2</v>
      </c>
      <c r="K146" s="183">
        <f>(K$7)/(1-J146)-K$7</f>
        <v>0.38770557029177688</v>
      </c>
      <c r="AH146" s="149" t="s">
        <v>202</v>
      </c>
      <c r="AI146" s="146">
        <v>3.0000000000000001E-3</v>
      </c>
    </row>
    <row r="147" spans="6:35" x14ac:dyDescent="0.2">
      <c r="G147" s="92"/>
      <c r="H147" s="93">
        <f>SUM(H144:H146)</f>
        <v>0.51615982923567594</v>
      </c>
      <c r="J147" s="181"/>
      <c r="K147" s="184">
        <f>SUM(K144:K146)</f>
        <v>0.4354055702917769</v>
      </c>
      <c r="AH147" s="34" t="s">
        <v>203</v>
      </c>
      <c r="AI147" s="146">
        <v>8.0000000000000002E-3</v>
      </c>
    </row>
    <row r="148" spans="6:35" x14ac:dyDescent="0.2">
      <c r="G148" s="95" t="s">
        <v>36</v>
      </c>
      <c r="H148" s="141" t="s">
        <v>770</v>
      </c>
      <c r="J148" s="179" t="s">
        <v>109</v>
      </c>
      <c r="K148" s="184" t="s">
        <v>194</v>
      </c>
      <c r="AH148" s="34" t="s">
        <v>204</v>
      </c>
      <c r="AI148" s="146">
        <v>3.0000000000000001E-3</v>
      </c>
    </row>
    <row r="149" spans="6:35" x14ac:dyDescent="0.2">
      <c r="G149" s="87" t="s">
        <v>120</v>
      </c>
      <c r="H149" s="318">
        <v>0.48620000000000002</v>
      </c>
      <c r="J149" s="181" t="s">
        <v>120</v>
      </c>
      <c r="K149" s="187">
        <v>1.8200000000000001E-2</v>
      </c>
      <c r="AI149" s="146"/>
    </row>
    <row r="150" spans="6:35" x14ac:dyDescent="0.2">
      <c r="G150" s="87" t="s">
        <v>60</v>
      </c>
      <c r="H150" s="88">
        <f>0.0022</f>
        <v>2.2000000000000001E-3</v>
      </c>
      <c r="J150" s="181" t="s">
        <v>60</v>
      </c>
      <c r="K150" s="182">
        <f>0.0022+0.007</f>
        <v>9.1999999999999998E-3</v>
      </c>
      <c r="AH150" s="148">
        <v>36130</v>
      </c>
    </row>
    <row r="151" spans="6:35" x14ac:dyDescent="0.2">
      <c r="G151" s="408">
        <v>5.8799999999999998E-2</v>
      </c>
      <c r="H151" s="460">
        <f>(H3)/(1-G151)-H3</f>
        <v>0.36015937101572426</v>
      </c>
      <c r="J151" s="472">
        <v>3.3300000000000003E-2</v>
      </c>
      <c r="K151" s="183">
        <f>(K$7)/(1-J151)-K$7</f>
        <v>0.21891124443984733</v>
      </c>
      <c r="AH151" s="149" t="s">
        <v>202</v>
      </c>
      <c r="AI151" s="146">
        <v>2E-3</v>
      </c>
    </row>
    <row r="152" spans="6:35" x14ac:dyDescent="0.2">
      <c r="G152" s="92"/>
      <c r="H152" s="93">
        <f>SUM(H149:H151)</f>
        <v>0.84855937101572421</v>
      </c>
      <c r="J152" s="181"/>
      <c r="K152" s="184">
        <f>SUM(K149:K151)</f>
        <v>0.24631124443984734</v>
      </c>
      <c r="AH152" s="34" t="s">
        <v>203</v>
      </c>
      <c r="AI152" s="146">
        <v>8.0000000000000002E-3</v>
      </c>
    </row>
    <row r="153" spans="6:35" x14ac:dyDescent="0.2">
      <c r="G153" s="95" t="s">
        <v>36</v>
      </c>
      <c r="H153" s="141" t="s">
        <v>775</v>
      </c>
      <c r="J153" s="89"/>
      <c r="K153" s="89"/>
      <c r="AH153" s="34" t="s">
        <v>204</v>
      </c>
      <c r="AI153" s="146">
        <v>2E-3</v>
      </c>
    </row>
    <row r="154" spans="6:35" x14ac:dyDescent="0.2">
      <c r="G154" s="87" t="s">
        <v>120</v>
      </c>
      <c r="H154" s="318">
        <v>0.55579999999999996</v>
      </c>
      <c r="J154" s="89"/>
      <c r="K154" s="96"/>
      <c r="AI154" s="146"/>
    </row>
    <row r="155" spans="6:35" x14ac:dyDescent="0.2">
      <c r="G155" s="87" t="s">
        <v>60</v>
      </c>
      <c r="H155" s="88">
        <f>0.0022</f>
        <v>2.2000000000000001E-3</v>
      </c>
      <c r="J155" s="89"/>
      <c r="K155" s="89"/>
      <c r="AH155" s="148">
        <v>36100</v>
      </c>
    </row>
    <row r="156" spans="6:35" x14ac:dyDescent="0.2">
      <c r="G156" s="408">
        <v>6.7900000000000002E-2</v>
      </c>
      <c r="H156" s="460">
        <f>(H3)/(1-G156)-H3</f>
        <v>0.41995869541894582</v>
      </c>
      <c r="J156" s="89"/>
      <c r="K156" s="91"/>
      <c r="AH156" s="149" t="s">
        <v>202</v>
      </c>
      <c r="AI156" s="146">
        <v>3.0000000000000001E-3</v>
      </c>
    </row>
    <row r="157" spans="6:35" x14ac:dyDescent="0.2">
      <c r="G157" s="92"/>
      <c r="H157" s="93">
        <f>SUM(H154:H156)</f>
        <v>0.97795869541894576</v>
      </c>
      <c r="J157" s="89"/>
      <c r="K157" s="94"/>
      <c r="AH157" s="34" t="s">
        <v>203</v>
      </c>
      <c r="AI157" s="146">
        <v>6.0000000000000001E-3</v>
      </c>
    </row>
    <row r="158" spans="6:35" x14ac:dyDescent="0.2">
      <c r="G158" s="95" t="s">
        <v>36</v>
      </c>
      <c r="H158" s="141" t="s">
        <v>797</v>
      </c>
      <c r="J158" s="89"/>
      <c r="K158" s="89"/>
      <c r="AH158" s="34" t="s">
        <v>204</v>
      </c>
      <c r="AI158" s="146">
        <v>3.0000000000000001E-3</v>
      </c>
    </row>
    <row r="159" spans="6:35" x14ac:dyDescent="0.2">
      <c r="G159" s="87" t="s">
        <v>120</v>
      </c>
      <c r="H159" s="318">
        <v>0.62849999999999995</v>
      </c>
      <c r="J159" s="89"/>
      <c r="K159" s="89"/>
      <c r="AI159" s="146"/>
    </row>
    <row r="160" spans="6:35" x14ac:dyDescent="0.2">
      <c r="G160" s="87" t="s">
        <v>60</v>
      </c>
      <c r="H160" s="88">
        <f>0.0022+0.007</f>
        <v>9.1999999999999998E-3</v>
      </c>
      <c r="J160" s="91"/>
      <c r="K160" s="91"/>
      <c r="AH160" s="148">
        <v>36069</v>
      </c>
    </row>
    <row r="161" spans="5:35" x14ac:dyDescent="0.2">
      <c r="E161" s="46"/>
      <c r="G161" s="408">
        <v>8.7099999999999997E-2</v>
      </c>
      <c r="H161" s="460">
        <f>(H3)/(1-G161)-H3</f>
        <v>0.55003998247343588</v>
      </c>
      <c r="J161" s="94"/>
      <c r="K161" s="94"/>
      <c r="AH161" s="149" t="s">
        <v>202</v>
      </c>
      <c r="AI161" s="146">
        <v>0</v>
      </c>
    </row>
    <row r="162" spans="5:35" x14ac:dyDescent="0.2">
      <c r="E162" s="46"/>
      <c r="G162" s="92"/>
      <c r="H162" s="93">
        <f>SUM(H159:H161)</f>
        <v>1.1877399824734358</v>
      </c>
      <c r="J162" s="99"/>
      <c r="K162" s="99"/>
      <c r="AH162" s="34" t="s">
        <v>203</v>
      </c>
      <c r="AI162" s="146">
        <v>0</v>
      </c>
    </row>
    <row r="163" spans="5:35" x14ac:dyDescent="0.2">
      <c r="E163" s="46"/>
      <c r="G163" s="95" t="s">
        <v>36</v>
      </c>
      <c r="H163" s="141" t="s">
        <v>192</v>
      </c>
      <c r="J163" s="89"/>
      <c r="K163" s="89"/>
      <c r="AH163" s="34" t="s">
        <v>204</v>
      </c>
      <c r="AI163" s="146">
        <v>0</v>
      </c>
    </row>
    <row r="164" spans="5:35" x14ac:dyDescent="0.2">
      <c r="E164" s="46"/>
      <c r="G164" s="87" t="s">
        <v>120</v>
      </c>
      <c r="H164" s="318">
        <f>0.3703-0.0022</f>
        <v>0.36810000000000004</v>
      </c>
      <c r="J164" s="89"/>
      <c r="K164" s="89"/>
    </row>
    <row r="165" spans="5:35" x14ac:dyDescent="0.2">
      <c r="E165" s="46"/>
      <c r="G165" s="87" t="s">
        <v>60</v>
      </c>
      <c r="H165" s="88">
        <f>0.0022+0+0.0225+0.007</f>
        <v>3.1699999999999999E-2</v>
      </c>
      <c r="J165" s="91"/>
      <c r="K165" s="91"/>
      <c r="AH165" s="148">
        <v>36039</v>
      </c>
    </row>
    <row r="166" spans="5:35" x14ac:dyDescent="0.2">
      <c r="E166" s="46"/>
      <c r="G166" s="408">
        <v>4.2799999999999998E-2</v>
      </c>
      <c r="H166" s="460">
        <f>(H4)/(1-G166)-H4</f>
        <v>0.26090472210614291</v>
      </c>
      <c r="J166" s="94"/>
      <c r="K166" s="94"/>
      <c r="AH166" s="149" t="s">
        <v>202</v>
      </c>
      <c r="AI166" s="146">
        <v>0</v>
      </c>
    </row>
    <row r="167" spans="5:35" x14ac:dyDescent="0.2">
      <c r="E167" s="46"/>
      <c r="G167" s="92"/>
      <c r="H167" s="93">
        <f>SUM(H164:H166)</f>
        <v>0.66070472210614295</v>
      </c>
      <c r="J167" s="94"/>
      <c r="K167" s="94"/>
      <c r="AH167" s="34" t="s">
        <v>203</v>
      </c>
      <c r="AI167" s="146">
        <v>0</v>
      </c>
    </row>
    <row r="168" spans="5:35" x14ac:dyDescent="0.2">
      <c r="E168" s="46"/>
      <c r="G168" s="95" t="s">
        <v>36</v>
      </c>
      <c r="H168" s="458" t="s">
        <v>764</v>
      </c>
      <c r="J168" s="96"/>
      <c r="K168" s="96"/>
      <c r="AH168" s="34" t="s">
        <v>204</v>
      </c>
      <c r="AI168" s="146">
        <v>0</v>
      </c>
    </row>
    <row r="169" spans="5:35" x14ac:dyDescent="0.2">
      <c r="G169" s="92" t="s">
        <v>120</v>
      </c>
      <c r="H169" s="318">
        <v>0.42809999999999998</v>
      </c>
      <c r="J169" s="96"/>
      <c r="K169" s="96"/>
    </row>
    <row r="170" spans="5:35" x14ac:dyDescent="0.2">
      <c r="G170" s="92" t="s">
        <v>60</v>
      </c>
      <c r="H170" s="88">
        <f>0.0022</f>
        <v>2.2000000000000001E-3</v>
      </c>
      <c r="J170" s="96"/>
      <c r="K170" s="96"/>
      <c r="AH170" s="148">
        <v>36008</v>
      </c>
    </row>
    <row r="171" spans="5:35" x14ac:dyDescent="0.2">
      <c r="G171" s="319">
        <v>4.99E-2</v>
      </c>
      <c r="H171" s="90">
        <f>(H4)/(1-G171)-H4</f>
        <v>0.3064587938111778</v>
      </c>
      <c r="J171" s="91"/>
      <c r="K171" s="91"/>
      <c r="AH171" s="149" t="s">
        <v>202</v>
      </c>
      <c r="AI171" s="146">
        <v>0</v>
      </c>
    </row>
    <row r="172" spans="5:35" x14ac:dyDescent="0.2">
      <c r="G172" s="92"/>
      <c r="H172" s="93">
        <f>SUM(H169:H171)</f>
        <v>0.7367587938111777</v>
      </c>
      <c r="J172" s="94"/>
      <c r="K172" s="94"/>
      <c r="AH172" s="34" t="s">
        <v>203</v>
      </c>
      <c r="AI172" s="146">
        <v>0</v>
      </c>
    </row>
    <row r="173" spans="5:35" x14ac:dyDescent="0.2">
      <c r="G173" s="95" t="s">
        <v>36</v>
      </c>
      <c r="H173" s="458" t="s">
        <v>768</v>
      </c>
      <c r="J173" s="99"/>
      <c r="K173" s="99"/>
      <c r="AH173" s="34" t="s">
        <v>204</v>
      </c>
      <c r="AI173" s="146">
        <v>0</v>
      </c>
    </row>
    <row r="174" spans="5:35" x14ac:dyDescent="0.2">
      <c r="G174" s="92" t="s">
        <v>120</v>
      </c>
      <c r="H174" s="318">
        <v>0.4955</v>
      </c>
      <c r="J174" s="89"/>
      <c r="K174" s="89"/>
    </row>
    <row r="175" spans="5:35" x14ac:dyDescent="0.2">
      <c r="G175" s="92" t="s">
        <v>60</v>
      </c>
      <c r="H175" s="88">
        <f>0.0022</f>
        <v>2.2000000000000001E-3</v>
      </c>
      <c r="J175" s="89"/>
      <c r="K175" s="89"/>
      <c r="AH175" s="148">
        <v>35977</v>
      </c>
    </row>
    <row r="176" spans="5:35" x14ac:dyDescent="0.2">
      <c r="G176" s="319">
        <v>5.8999999999999997E-2</v>
      </c>
      <c r="H176" s="90">
        <f>(H4)/(1-G176)-H4</f>
        <v>0.36585015940488841</v>
      </c>
      <c r="J176" s="91"/>
      <c r="K176" s="91"/>
      <c r="AH176" s="149" t="s">
        <v>202</v>
      </c>
      <c r="AI176" s="146">
        <v>0</v>
      </c>
    </row>
    <row r="177" spans="2:35" x14ac:dyDescent="0.2">
      <c r="G177" s="92"/>
      <c r="H177" s="93">
        <f>SUM(H174:H176)</f>
        <v>0.86355015940488844</v>
      </c>
      <c r="J177" s="94"/>
      <c r="K177" s="94"/>
      <c r="AH177" s="34" t="s">
        <v>203</v>
      </c>
      <c r="AI177" s="146">
        <v>0</v>
      </c>
    </row>
    <row r="178" spans="2:35" x14ac:dyDescent="0.2">
      <c r="G178" s="95" t="s">
        <v>36</v>
      </c>
      <c r="H178" s="458" t="s">
        <v>772</v>
      </c>
      <c r="AH178" s="34" t="s">
        <v>204</v>
      </c>
      <c r="AI178" s="146">
        <v>0</v>
      </c>
    </row>
    <row r="179" spans="2:35" x14ac:dyDescent="0.2">
      <c r="G179" s="92" t="s">
        <v>120</v>
      </c>
      <c r="H179" s="318">
        <v>0.57010000000000005</v>
      </c>
      <c r="J179" s="99"/>
      <c r="K179" s="99"/>
    </row>
    <row r="180" spans="2:35" x14ac:dyDescent="0.2">
      <c r="G180" s="92" t="s">
        <v>60</v>
      </c>
      <c r="H180" s="88">
        <f>0.0022+0.007</f>
        <v>9.1999999999999998E-3</v>
      </c>
      <c r="J180" s="89"/>
      <c r="K180" s="89"/>
    </row>
    <row r="181" spans="2:35" x14ac:dyDescent="0.2">
      <c r="G181" s="319">
        <v>6.9900000000000004E-2</v>
      </c>
      <c r="H181" s="90">
        <f>(H4)/(1-G181)-H4</f>
        <v>0.43851897645414439</v>
      </c>
      <c r="J181" s="89"/>
      <c r="K181" s="89"/>
    </row>
    <row r="182" spans="2:35" x14ac:dyDescent="0.2">
      <c r="G182" s="92"/>
      <c r="H182" s="93">
        <f>SUM(H179:H181)</f>
        <v>1.0178189764541443</v>
      </c>
      <c r="J182" s="91"/>
      <c r="K182" s="91"/>
    </row>
    <row r="183" spans="2:35" x14ac:dyDescent="0.2">
      <c r="G183" s="95" t="s">
        <v>36</v>
      </c>
      <c r="H183" s="458" t="s">
        <v>798</v>
      </c>
      <c r="J183" s="94"/>
      <c r="K183" s="94"/>
    </row>
    <row r="184" spans="2:35" x14ac:dyDescent="0.2">
      <c r="B184" s="420"/>
      <c r="G184" s="92" t="s">
        <v>120</v>
      </c>
      <c r="H184" s="318">
        <v>0.69059999999999999</v>
      </c>
      <c r="J184" s="99"/>
      <c r="K184" s="99"/>
    </row>
    <row r="185" spans="2:35" x14ac:dyDescent="0.2">
      <c r="B185" s="420"/>
      <c r="G185" s="92" t="s">
        <v>60</v>
      </c>
      <c r="H185" s="88">
        <f>0.0022+0.007</f>
        <v>9.1999999999999998E-3</v>
      </c>
      <c r="J185" s="89"/>
      <c r="K185" s="89"/>
    </row>
    <row r="186" spans="2:35" x14ac:dyDescent="0.2">
      <c r="G186" s="319">
        <v>7.8200000000000006E-2</v>
      </c>
      <c r="H186" s="90">
        <f>(H3)/(1-G186)-H3</f>
        <v>0.48906812757648144</v>
      </c>
      <c r="J186" s="89"/>
      <c r="K186" s="89"/>
    </row>
    <row r="187" spans="2:35" x14ac:dyDescent="0.2">
      <c r="G187" s="92"/>
      <c r="H187" s="93">
        <f>SUM(H184:H186)</f>
        <v>1.1888681275764814</v>
      </c>
      <c r="J187" s="91"/>
      <c r="K187" s="91"/>
    </row>
    <row r="188" spans="2:35" x14ac:dyDescent="0.2">
      <c r="G188" s="95" t="s">
        <v>36</v>
      </c>
      <c r="H188" s="458" t="s">
        <v>799</v>
      </c>
      <c r="J188" s="94"/>
      <c r="K188" s="94"/>
    </row>
    <row r="189" spans="2:35" x14ac:dyDescent="0.2">
      <c r="G189" s="92" t="s">
        <v>120</v>
      </c>
      <c r="H189" s="318">
        <v>0.31919999999999998</v>
      </c>
    </row>
    <row r="190" spans="2:35" x14ac:dyDescent="0.2">
      <c r="G190" s="92" t="s">
        <v>60</v>
      </c>
      <c r="H190" s="88">
        <f>0.0022+0.007</f>
        <v>9.1999999999999998E-3</v>
      </c>
    </row>
    <row r="191" spans="2:35" x14ac:dyDescent="0.2">
      <c r="G191" s="319">
        <v>2.1700000000000001E-2</v>
      </c>
      <c r="H191" s="90">
        <f>(H5)/(1-G191)-H5</f>
        <v>0.13852243688030264</v>
      </c>
    </row>
    <row r="192" spans="2:35" x14ac:dyDescent="0.2">
      <c r="G192" s="92"/>
      <c r="H192" s="93">
        <f>SUM(H189:H191)</f>
        <v>0.4669224368803026</v>
      </c>
    </row>
    <row r="193" spans="7:11" x14ac:dyDescent="0.2">
      <c r="G193" s="95" t="s">
        <v>36</v>
      </c>
      <c r="H193" s="458" t="s">
        <v>794</v>
      </c>
    </row>
    <row r="194" spans="7:11" x14ac:dyDescent="0.2">
      <c r="G194" s="92" t="s">
        <v>120</v>
      </c>
      <c r="H194" s="318">
        <v>0.36990000000000001</v>
      </c>
    </row>
    <row r="195" spans="7:11" x14ac:dyDescent="0.2">
      <c r="G195" s="92" t="s">
        <v>60</v>
      </c>
      <c r="H195" s="88">
        <f>0.0022+0.007</f>
        <v>9.1999999999999998E-3</v>
      </c>
    </row>
    <row r="196" spans="7:11" x14ac:dyDescent="0.2">
      <c r="G196" s="319">
        <v>3.1399999999999997E-2</v>
      </c>
      <c r="H196" s="90">
        <f>(E5)/(1-G196)-E5</f>
        <v>0.18640305595705176</v>
      </c>
    </row>
    <row r="197" spans="7:11" x14ac:dyDescent="0.2">
      <c r="G197" s="92"/>
      <c r="H197" s="93">
        <f>SUM(H194:H196)</f>
        <v>0.56550305595705175</v>
      </c>
    </row>
    <row r="198" spans="7:11" x14ac:dyDescent="0.2">
      <c r="G198" s="95" t="s">
        <v>36</v>
      </c>
      <c r="H198" s="458" t="s">
        <v>767</v>
      </c>
    </row>
    <row r="199" spans="7:11" x14ac:dyDescent="0.2">
      <c r="G199" s="92" t="s">
        <v>120</v>
      </c>
      <c r="H199" s="318">
        <v>0.19700000000000001</v>
      </c>
    </row>
    <row r="200" spans="7:11" x14ac:dyDescent="0.2">
      <c r="G200" s="92" t="s">
        <v>60</v>
      </c>
      <c r="H200" s="88">
        <f>0.0022+0.007</f>
        <v>9.1999999999999998E-3</v>
      </c>
    </row>
    <row r="201" spans="7:11" x14ac:dyDescent="0.2">
      <c r="G201" s="319">
        <v>1.1599999999999999E-2</v>
      </c>
      <c r="H201" s="90">
        <f>(H5)/(1-G201)-H5</f>
        <v>7.3292189397005991E-2</v>
      </c>
    </row>
    <row r="202" spans="7:11" x14ac:dyDescent="0.2">
      <c r="G202" s="92"/>
      <c r="H202" s="93">
        <f>SUM(H199:H201)</f>
        <v>0.27949218939700599</v>
      </c>
      <c r="K202" s="120"/>
    </row>
    <row r="203" spans="7:11" x14ac:dyDescent="0.2">
      <c r="G203" s="95" t="s">
        <v>36</v>
      </c>
      <c r="H203" s="458" t="s">
        <v>195</v>
      </c>
      <c r="K203" s="120"/>
    </row>
    <row r="204" spans="7:11" x14ac:dyDescent="0.2">
      <c r="G204" s="92" t="s">
        <v>120</v>
      </c>
      <c r="H204" s="318">
        <f>0.1786-0.0022</f>
        <v>0.1764</v>
      </c>
      <c r="K204" s="120"/>
    </row>
    <row r="205" spans="7:11" x14ac:dyDescent="0.2">
      <c r="G205" s="92" t="s">
        <v>60</v>
      </c>
      <c r="H205" s="88">
        <f>0.0022+0.007</f>
        <v>9.1999999999999998E-3</v>
      </c>
    </row>
    <row r="206" spans="7:11" x14ac:dyDescent="0.2">
      <c r="G206" s="319">
        <v>1.2800000000000001E-2</v>
      </c>
      <c r="H206" s="90">
        <f>(H5)/(1-G206)-H5</f>
        <v>8.0972447325770247E-2</v>
      </c>
      <c r="K206" s="120"/>
    </row>
    <row r="207" spans="7:11" x14ac:dyDescent="0.2">
      <c r="G207" s="92"/>
      <c r="H207" s="93">
        <f>SUM(H204:H206)</f>
        <v>0.26657244732577023</v>
      </c>
      <c r="K207" s="120"/>
    </row>
    <row r="208" spans="7:11" x14ac:dyDescent="0.2">
      <c r="G208" s="95" t="s">
        <v>36</v>
      </c>
      <c r="H208" s="458" t="s">
        <v>773</v>
      </c>
      <c r="K208" s="120"/>
    </row>
    <row r="209" spans="7:8" x14ac:dyDescent="0.2">
      <c r="G209" s="92" t="s">
        <v>120</v>
      </c>
      <c r="H209" s="318">
        <v>0.28079999999999999</v>
      </c>
    </row>
    <row r="210" spans="7:8" x14ac:dyDescent="0.2">
      <c r="G210" s="92" t="s">
        <v>60</v>
      </c>
      <c r="H210" s="88">
        <f>0.0022+0.007</f>
        <v>9.1999999999999998E-3</v>
      </c>
    </row>
    <row r="211" spans="7:8" x14ac:dyDescent="0.2">
      <c r="G211" s="319">
        <v>2.0899999999999998E-2</v>
      </c>
      <c r="H211" s="90">
        <f>(H5)/(1-G211)-H5</f>
        <v>0.13330660810948824</v>
      </c>
    </row>
    <row r="212" spans="7:8" x14ac:dyDescent="0.2">
      <c r="G212" s="92"/>
      <c r="H212" s="93">
        <f>SUM(H209:H211)</f>
        <v>0.42330660810948822</v>
      </c>
    </row>
    <row r="213" spans="7:8" x14ac:dyDescent="0.2">
      <c r="G213" s="95" t="s">
        <v>36</v>
      </c>
      <c r="H213" s="458" t="s">
        <v>786</v>
      </c>
    </row>
    <row r="214" spans="7:8" x14ac:dyDescent="0.2">
      <c r="G214" s="92" t="s">
        <v>120</v>
      </c>
      <c r="H214" s="318">
        <v>0.48980000000000001</v>
      </c>
    </row>
    <row r="215" spans="7:8" x14ac:dyDescent="0.2">
      <c r="G215" s="92" t="s">
        <v>60</v>
      </c>
      <c r="H215" s="88">
        <f>0.0022+0.007</f>
        <v>9.1999999999999998E-3</v>
      </c>
    </row>
    <row r="216" spans="7:8" x14ac:dyDescent="0.2">
      <c r="G216" s="319">
        <v>4.5600000000000002E-2</v>
      </c>
      <c r="H216" s="90">
        <f>(H5)/(1-G216)-H5</f>
        <v>0.29837803855825662</v>
      </c>
    </row>
    <row r="217" spans="7:8" x14ac:dyDescent="0.2">
      <c r="G217" s="92"/>
      <c r="H217" s="93">
        <f>SUM(H214:H216)</f>
        <v>0.79737803855825662</v>
      </c>
    </row>
    <row r="218" spans="7:8" x14ac:dyDescent="0.2">
      <c r="G218" s="95" t="s">
        <v>36</v>
      </c>
      <c r="H218" s="458" t="s">
        <v>785</v>
      </c>
    </row>
    <row r="219" spans="7:8" x14ac:dyDescent="0.2">
      <c r="G219" s="92" t="s">
        <v>120</v>
      </c>
      <c r="H219" s="318">
        <v>0.31919999999999998</v>
      </c>
    </row>
    <row r="220" spans="7:8" x14ac:dyDescent="0.2">
      <c r="G220" s="92" t="s">
        <v>60</v>
      </c>
      <c r="H220" s="88">
        <f>0.0022+0.007</f>
        <v>9.1999999999999998E-3</v>
      </c>
    </row>
    <row r="221" spans="7:8" x14ac:dyDescent="0.2">
      <c r="G221" s="319">
        <v>2.5000000000000001E-2</v>
      </c>
      <c r="H221" s="90">
        <f>(H5)/(1-G221)-H5</f>
        <v>0.16012820512820536</v>
      </c>
    </row>
    <row r="222" spans="7:8" x14ac:dyDescent="0.2">
      <c r="G222" s="92"/>
      <c r="H222" s="93">
        <f>SUM(H219:H221)</f>
        <v>0.48852820512820533</v>
      </c>
    </row>
    <row r="223" spans="7:8" x14ac:dyDescent="0.2">
      <c r="G223" s="95" t="s">
        <v>36</v>
      </c>
      <c r="H223" s="458" t="s">
        <v>771</v>
      </c>
    </row>
    <row r="224" spans="7:8" x14ac:dyDescent="0.2">
      <c r="G224" s="92" t="s">
        <v>120</v>
      </c>
      <c r="H224" s="318">
        <v>0.28079999999999999</v>
      </c>
    </row>
    <row r="225" spans="7:9" x14ac:dyDescent="0.2">
      <c r="G225" s="92" t="s">
        <v>60</v>
      </c>
      <c r="H225" s="88">
        <f>0.0022+0.007</f>
        <v>9.1999999999999998E-3</v>
      </c>
    </row>
    <row r="226" spans="7:9" x14ac:dyDescent="0.2">
      <c r="G226" s="319">
        <v>1.4E-2</v>
      </c>
      <c r="H226" s="90">
        <f>(H5)/(1-G226)-H5</f>
        <v>8.867139959432091E-2</v>
      </c>
    </row>
    <row r="227" spans="7:9" x14ac:dyDescent="0.2">
      <c r="G227" s="92"/>
      <c r="H227" s="93">
        <f>SUM(H224:H226)</f>
        <v>0.37867139959432089</v>
      </c>
    </row>
    <row r="228" spans="7:9" x14ac:dyDescent="0.2">
      <c r="G228" s="95" t="s">
        <v>36</v>
      </c>
      <c r="H228" s="458" t="s">
        <v>774</v>
      </c>
    </row>
    <row r="229" spans="7:9" x14ac:dyDescent="0.2">
      <c r="G229" s="92" t="s">
        <v>120</v>
      </c>
      <c r="H229" s="318">
        <v>0.21029999999999999</v>
      </c>
    </row>
    <row r="230" spans="7:9" x14ac:dyDescent="0.2">
      <c r="G230" s="92" t="s">
        <v>60</v>
      </c>
      <c r="H230" s="88">
        <f>0.0022+0.007</f>
        <v>9.1999999999999998E-3</v>
      </c>
    </row>
    <row r="231" spans="7:9" x14ac:dyDescent="0.2">
      <c r="G231" s="319">
        <v>8.8999999999999999E-3</v>
      </c>
      <c r="H231" s="90">
        <f>(H5)/(1-G231)-H5</f>
        <v>5.607960851579108E-2</v>
      </c>
    </row>
    <row r="232" spans="7:9" x14ac:dyDescent="0.2">
      <c r="G232" s="92"/>
      <c r="H232" s="93">
        <f>SUM(H229:H231)</f>
        <v>0.27557960851579105</v>
      </c>
    </row>
    <row r="233" spans="7:9" x14ac:dyDescent="0.2">
      <c r="G233" s="46" t="s">
        <v>827</v>
      </c>
      <c r="H233" s="46"/>
    </row>
    <row r="234" spans="7:9" x14ac:dyDescent="0.2">
      <c r="G234" s="510" t="s">
        <v>36</v>
      </c>
      <c r="H234" s="511" t="s">
        <v>819</v>
      </c>
      <c r="I234" s="127"/>
    </row>
    <row r="235" spans="7:9" x14ac:dyDescent="0.2">
      <c r="G235" s="512" t="s">
        <v>120</v>
      </c>
      <c r="H235" s="513">
        <v>2.1299999999999999E-2</v>
      </c>
      <c r="I235" s="127"/>
    </row>
    <row r="236" spans="7:9" x14ac:dyDescent="0.2">
      <c r="G236" s="512" t="s">
        <v>60</v>
      </c>
      <c r="H236" s="514">
        <v>0</v>
      </c>
      <c r="I236" s="127"/>
    </row>
    <row r="237" spans="7:9" x14ac:dyDescent="0.2">
      <c r="G237" s="515">
        <v>8.8999999999999999E-3</v>
      </c>
      <c r="H237" s="516">
        <f>(H$3)/(1-G237)-H$3</f>
        <v>5.1769246291998527E-2</v>
      </c>
      <c r="I237" s="127"/>
    </row>
    <row r="238" spans="7:9" x14ac:dyDescent="0.2">
      <c r="G238" s="512"/>
      <c r="H238" s="517">
        <f>SUM(H235:H237)</f>
        <v>7.3069246291998527E-2</v>
      </c>
      <c r="I238" s="127"/>
    </row>
    <row r="239" spans="7:9" x14ac:dyDescent="0.2">
      <c r="G239" s="518"/>
      <c r="H239" s="518"/>
      <c r="I239" s="127"/>
    </row>
    <row r="240" spans="7:9" x14ac:dyDescent="0.2">
      <c r="G240" s="510" t="s">
        <v>36</v>
      </c>
      <c r="H240" s="511" t="s">
        <v>820</v>
      </c>
      <c r="I240" s="127"/>
    </row>
    <row r="241" spans="7:11" x14ac:dyDescent="0.2">
      <c r="G241" s="512" t="s">
        <v>120</v>
      </c>
      <c r="H241" s="513">
        <v>2.5000000000000001E-2</v>
      </c>
      <c r="I241" s="127"/>
    </row>
    <row r="242" spans="7:11" x14ac:dyDescent="0.2">
      <c r="G242" s="512" t="s">
        <v>60</v>
      </c>
      <c r="H242" s="514">
        <v>0</v>
      </c>
      <c r="I242" s="127"/>
    </row>
    <row r="243" spans="7:11" x14ac:dyDescent="0.2">
      <c r="G243" s="515">
        <v>2.7900000000000001E-2</v>
      </c>
      <c r="H243" s="516">
        <f>(H$3)/(1-G243)-H$3</f>
        <v>0.16545982923567593</v>
      </c>
      <c r="I243" s="127"/>
      <c r="J243" s="540">
        <f>+K243/(1-G243)</f>
        <v>20574.015019030965</v>
      </c>
      <c r="K243" s="34">
        <v>20000</v>
      </c>
    </row>
    <row r="244" spans="7:11" x14ac:dyDescent="0.2">
      <c r="G244" s="512"/>
      <c r="H244" s="517">
        <f>SUM(H241:H243)</f>
        <v>0.19045982923567592</v>
      </c>
      <c r="I244" s="127"/>
    </row>
    <row r="245" spans="7:11" x14ac:dyDescent="0.2">
      <c r="G245" s="519"/>
      <c r="H245" s="519"/>
      <c r="I245" s="127"/>
    </row>
    <row r="246" spans="7:11" x14ac:dyDescent="0.2">
      <c r="G246" s="510" t="s">
        <v>36</v>
      </c>
      <c r="H246" s="511" t="s">
        <v>825</v>
      </c>
      <c r="I246" s="127"/>
    </row>
    <row r="247" spans="7:11" x14ac:dyDescent="0.2">
      <c r="G247" s="512" t="s">
        <v>120</v>
      </c>
      <c r="H247" s="513">
        <v>2.5000000000000001E-2</v>
      </c>
      <c r="I247" s="127"/>
    </row>
    <row r="248" spans="7:11" x14ac:dyDescent="0.2">
      <c r="G248" s="512" t="s">
        <v>60</v>
      </c>
      <c r="H248" s="514">
        <v>0</v>
      </c>
      <c r="I248" s="127"/>
    </row>
    <row r="249" spans="7:11" x14ac:dyDescent="0.2">
      <c r="G249" s="515">
        <v>5.16E-2</v>
      </c>
      <c r="H249" s="516">
        <f>(H$3)/(1-G249)-H$3</f>
        <v>0.31365879375790762</v>
      </c>
      <c r="I249" s="127"/>
    </row>
    <row r="250" spans="7:11" x14ac:dyDescent="0.2">
      <c r="G250" s="512"/>
      <c r="H250" s="517">
        <f>SUM(H247:H249)</f>
        <v>0.33865879375790764</v>
      </c>
      <c r="I250" s="127"/>
    </row>
    <row r="251" spans="7:11" x14ac:dyDescent="0.2">
      <c r="G251" s="519"/>
      <c r="H251" s="519"/>
      <c r="I251" s="127"/>
    </row>
    <row r="252" spans="7:11" x14ac:dyDescent="0.2">
      <c r="G252" s="510" t="s">
        <v>36</v>
      </c>
      <c r="H252" s="511" t="s">
        <v>826</v>
      </c>
      <c r="I252" s="127"/>
    </row>
    <row r="253" spans="7:11" x14ac:dyDescent="0.2">
      <c r="G253" s="512" t="s">
        <v>120</v>
      </c>
      <c r="H253" s="513">
        <v>2.5000000000000001E-2</v>
      </c>
      <c r="I253" s="127"/>
    </row>
    <row r="254" spans="7:11" x14ac:dyDescent="0.2">
      <c r="G254" s="512" t="s">
        <v>60</v>
      </c>
      <c r="H254" s="514">
        <v>0</v>
      </c>
      <c r="I254" s="127"/>
    </row>
    <row r="255" spans="7:11" x14ac:dyDescent="0.2">
      <c r="G255" s="515">
        <v>5.8799999999999998E-2</v>
      </c>
      <c r="H255" s="516">
        <f>(H$3)/(1-G255)-H$3</f>
        <v>0.36015937101572426</v>
      </c>
      <c r="I255" s="127"/>
      <c r="J255" s="540">
        <f>+K255/(1-G255)</f>
        <v>10624.734381640459</v>
      </c>
      <c r="K255" s="34">
        <v>10000</v>
      </c>
    </row>
    <row r="256" spans="7:11" x14ac:dyDescent="0.2">
      <c r="G256" s="512"/>
      <c r="H256" s="517">
        <f>SUM(H253:H255)</f>
        <v>0.38515937101572428</v>
      </c>
      <c r="I256" s="127"/>
      <c r="J256" s="155">
        <f>+H256+H3</f>
        <v>6.1501593710157243</v>
      </c>
    </row>
    <row r="257" spans="7:9" x14ac:dyDescent="0.2">
      <c r="G257" s="519"/>
      <c r="H257" s="519"/>
      <c r="I257" s="127"/>
    </row>
    <row r="258" spans="7:9" x14ac:dyDescent="0.2">
      <c r="G258" s="510" t="s">
        <v>36</v>
      </c>
      <c r="H258" s="511" t="s">
        <v>821</v>
      </c>
      <c r="I258" s="127"/>
    </row>
    <row r="259" spans="7:9" x14ac:dyDescent="0.2">
      <c r="G259" s="512" t="s">
        <v>120</v>
      </c>
      <c r="H259" s="513">
        <v>2.5000000000000001E-2</v>
      </c>
      <c r="I259" s="127"/>
    </row>
    <row r="260" spans="7:9" x14ac:dyDescent="0.2">
      <c r="G260" s="512" t="s">
        <v>60</v>
      </c>
      <c r="H260" s="514">
        <v>0</v>
      </c>
      <c r="I260" s="127"/>
    </row>
    <row r="261" spans="7:9" x14ac:dyDescent="0.2">
      <c r="G261" s="515">
        <v>1.01E-2</v>
      </c>
      <c r="H261" s="516">
        <f>(H$4)/(1-G261)-H$4</f>
        <v>5.9534801495100709E-2</v>
      </c>
      <c r="I261" s="127"/>
    </row>
    <row r="262" spans="7:9" x14ac:dyDescent="0.2">
      <c r="G262" s="512"/>
      <c r="H262" s="517">
        <f>SUM(H259:H261)</f>
        <v>8.4534801495100703E-2</v>
      </c>
      <c r="I262" s="127"/>
    </row>
    <row r="263" spans="7:9" x14ac:dyDescent="0.2">
      <c r="G263" s="519"/>
      <c r="H263" s="519"/>
      <c r="I263" s="127"/>
    </row>
    <row r="264" spans="7:9" x14ac:dyDescent="0.2">
      <c r="G264" s="510" t="s">
        <v>36</v>
      </c>
      <c r="H264" s="511" t="s">
        <v>822</v>
      </c>
      <c r="I264" s="127"/>
    </row>
    <row r="265" spans="7:9" x14ac:dyDescent="0.2">
      <c r="G265" s="512" t="s">
        <v>120</v>
      </c>
      <c r="H265" s="513">
        <v>2.5000000000000001E-2</v>
      </c>
      <c r="I265" s="127"/>
    </row>
    <row r="266" spans="7:9" x14ac:dyDescent="0.2">
      <c r="G266" s="512" t="s">
        <v>60</v>
      </c>
      <c r="H266" s="514">
        <v>0</v>
      </c>
      <c r="I266" s="127"/>
    </row>
    <row r="267" spans="7:9" x14ac:dyDescent="0.2">
      <c r="G267" s="515">
        <v>1.9099999999999999E-2</v>
      </c>
      <c r="H267" s="516">
        <f>(H$4)/(1-G267)-H$4</f>
        <v>0.11361861555714103</v>
      </c>
      <c r="I267" s="127"/>
    </row>
    <row r="268" spans="7:9" x14ac:dyDescent="0.2">
      <c r="G268" s="512"/>
      <c r="H268" s="517">
        <f>SUM(H265:H267)</f>
        <v>0.13861861555714103</v>
      </c>
      <c r="I268" s="127"/>
    </row>
    <row r="269" spans="7:9" x14ac:dyDescent="0.2">
      <c r="G269" s="519"/>
      <c r="H269" s="519"/>
      <c r="I269" s="127"/>
    </row>
    <row r="270" spans="7:9" x14ac:dyDescent="0.2">
      <c r="G270" s="510" t="s">
        <v>36</v>
      </c>
      <c r="H270" s="511" t="s">
        <v>823</v>
      </c>
      <c r="I270" s="127"/>
    </row>
    <row r="271" spans="7:9" x14ac:dyDescent="0.2">
      <c r="G271" s="512" t="s">
        <v>120</v>
      </c>
      <c r="H271" s="513">
        <v>2.5000000000000001E-2</v>
      </c>
      <c r="I271" s="127"/>
    </row>
    <row r="272" spans="7:9" x14ac:dyDescent="0.2">
      <c r="G272" s="512" t="s">
        <v>60</v>
      </c>
      <c r="H272" s="514">
        <v>0</v>
      </c>
      <c r="I272" s="127"/>
    </row>
    <row r="273" spans="7:10" x14ac:dyDescent="0.2">
      <c r="G273" s="515">
        <v>4.2799999999999998E-2</v>
      </c>
      <c r="H273" s="516">
        <f>(H$4)/(1-G273)-H$4</f>
        <v>0.26090472210614291</v>
      </c>
      <c r="I273" s="127"/>
    </row>
    <row r="274" spans="7:10" x14ac:dyDescent="0.2">
      <c r="G274" s="512"/>
      <c r="H274" s="517">
        <f>SUM(H271:H273)</f>
        <v>0.28590472210614293</v>
      </c>
      <c r="I274" s="127"/>
    </row>
    <row r="275" spans="7:10" x14ac:dyDescent="0.2">
      <c r="G275" s="519"/>
      <c r="H275" s="519"/>
      <c r="I275" s="127"/>
    </row>
    <row r="276" spans="7:10" x14ac:dyDescent="0.2">
      <c r="G276" s="510" t="s">
        <v>36</v>
      </c>
      <c r="H276" s="511" t="s">
        <v>824</v>
      </c>
      <c r="I276" s="127"/>
    </row>
    <row r="277" spans="7:10" x14ac:dyDescent="0.2">
      <c r="G277" s="512" t="s">
        <v>120</v>
      </c>
      <c r="H277" s="513">
        <v>2.5000000000000001E-2</v>
      </c>
      <c r="I277" s="127"/>
    </row>
    <row r="278" spans="7:10" x14ac:dyDescent="0.2">
      <c r="G278" s="512" t="s">
        <v>60</v>
      </c>
      <c r="H278" s="514">
        <v>0</v>
      </c>
      <c r="I278" s="127"/>
    </row>
    <row r="279" spans="7:10" x14ac:dyDescent="0.2">
      <c r="G279" s="515">
        <v>4.99E-2</v>
      </c>
      <c r="H279" s="516">
        <f>(H$4)/(1-G279)-H$4</f>
        <v>0.3064587938111778</v>
      </c>
      <c r="I279" s="127"/>
    </row>
    <row r="280" spans="7:10" x14ac:dyDescent="0.2">
      <c r="G280" s="512"/>
      <c r="H280" s="517">
        <f>SUM(H277:H279)</f>
        <v>0.33145879381117782</v>
      </c>
      <c r="I280" s="127"/>
      <c r="J280" s="541">
        <f>+H280+H4</f>
        <v>6.1664587938111781</v>
      </c>
    </row>
  </sheetData>
  <pageMargins left="0.75" right="0.75" top="0.5" bottom="0.5" header="0.5" footer="0.5"/>
  <pageSetup paperSize="5" scale="98" orientation="portrait" verticalDpi="30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24"/>
  <sheetViews>
    <sheetView workbookViewId="0">
      <selection activeCell="A9" sqref="A9"/>
    </sheetView>
  </sheetViews>
  <sheetFormatPr defaultRowHeight="12.75" x14ac:dyDescent="0.2"/>
  <cols>
    <col min="1" max="1" width="18.42578125" style="424" customWidth="1"/>
    <col min="3" max="4" width="8.85546875" style="424" customWidth="1"/>
    <col min="5" max="5" width="8.85546875" style="425" customWidth="1"/>
    <col min="6" max="6" width="8.85546875" style="424" customWidth="1"/>
    <col min="7" max="10" width="8.85546875" customWidth="1"/>
  </cols>
  <sheetData>
    <row r="1" spans="1:9" x14ac:dyDescent="0.2">
      <c r="A1" s="424" t="s">
        <v>832</v>
      </c>
      <c r="B1" t="s">
        <v>833</v>
      </c>
    </row>
    <row r="2" spans="1:9" x14ac:dyDescent="0.2">
      <c r="B2" t="s">
        <v>834</v>
      </c>
    </row>
    <row r="3" spans="1:9" x14ac:dyDescent="0.2">
      <c r="B3" t="s">
        <v>835</v>
      </c>
    </row>
    <row r="4" spans="1:9" x14ac:dyDescent="0.2">
      <c r="B4" t="s">
        <v>836</v>
      </c>
    </row>
    <row r="7" spans="1:9" x14ac:dyDescent="0.2">
      <c r="B7" s="154" t="s">
        <v>837</v>
      </c>
      <c r="C7" s="529"/>
      <c r="D7" s="529"/>
      <c r="E7" s="529"/>
      <c r="F7" s="529"/>
      <c r="G7" s="154"/>
      <c r="H7" s="154"/>
      <c r="I7" s="154"/>
    </row>
    <row r="8" spans="1:9" x14ac:dyDescent="0.2">
      <c r="B8" s="154"/>
      <c r="C8" s="529"/>
      <c r="D8" s="530" t="s">
        <v>839</v>
      </c>
      <c r="E8" s="531"/>
      <c r="F8" s="531"/>
      <c r="G8" s="531"/>
      <c r="H8" s="531"/>
      <c r="I8" s="532"/>
    </row>
    <row r="9" spans="1:9" x14ac:dyDescent="0.2">
      <c r="B9" s="154"/>
      <c r="C9" s="529"/>
      <c r="D9" s="533">
        <v>1</v>
      </c>
      <c r="E9" s="534">
        <v>2</v>
      </c>
      <c r="F9" s="533">
        <v>3</v>
      </c>
      <c r="G9" s="535">
        <v>4</v>
      </c>
      <c r="H9" s="535">
        <v>5</v>
      </c>
      <c r="I9" s="535">
        <v>6</v>
      </c>
    </row>
    <row r="10" spans="1:9" x14ac:dyDescent="0.2">
      <c r="B10" s="154"/>
      <c r="C10" s="529" t="s">
        <v>838</v>
      </c>
      <c r="D10" s="529"/>
      <c r="E10" s="536"/>
      <c r="F10" s="529"/>
      <c r="G10" s="154"/>
      <c r="H10" s="154"/>
      <c r="I10" s="154"/>
    </row>
    <row r="11" spans="1:9" x14ac:dyDescent="0.2">
      <c r="B11" s="154"/>
      <c r="C11" s="529">
        <v>1</v>
      </c>
      <c r="D11" s="537">
        <v>3.5999999999999999E-3</v>
      </c>
      <c r="E11" s="538">
        <v>8.2000000000000007E-3</v>
      </c>
      <c r="F11" s="537">
        <v>1.2699999999999999E-2</v>
      </c>
      <c r="G11" s="539">
        <v>3.2000000000000001E-2</v>
      </c>
      <c r="H11" s="539">
        <v>4.7500000000000001E-2</v>
      </c>
      <c r="I11" s="539">
        <v>5.6000000000000001E-2</v>
      </c>
    </row>
    <row r="12" spans="1:9" x14ac:dyDescent="0.2">
      <c r="B12" s="154"/>
      <c r="C12" s="529"/>
      <c r="D12" s="537"/>
      <c r="E12" s="538"/>
      <c r="F12" s="537"/>
      <c r="G12" s="539"/>
      <c r="H12" s="539"/>
      <c r="I12" s="539"/>
    </row>
    <row r="13" spans="1:9" x14ac:dyDescent="0.2">
      <c r="B13" s="154"/>
      <c r="C13" s="529">
        <v>2</v>
      </c>
      <c r="D13" s="537"/>
      <c r="E13" s="538">
        <v>4.5999999999999999E-3</v>
      </c>
      <c r="F13" s="537">
        <v>9.1000000000000004E-3</v>
      </c>
      <c r="G13" s="539">
        <v>2.8400000000000002E-2</v>
      </c>
      <c r="H13" s="539">
        <v>4.3900000000000002E-2</v>
      </c>
      <c r="I13" s="539">
        <v>5.2400000000000002E-2</v>
      </c>
    </row>
    <row r="14" spans="1:9" x14ac:dyDescent="0.2">
      <c r="B14" s="154"/>
      <c r="C14" s="529" t="s">
        <v>47</v>
      </c>
      <c r="D14" s="537"/>
      <c r="E14" s="538"/>
      <c r="F14" s="537"/>
      <c r="G14" s="539"/>
      <c r="H14" s="539"/>
      <c r="I14" s="539"/>
    </row>
    <row r="15" spans="1:9" x14ac:dyDescent="0.2">
      <c r="B15" s="154"/>
      <c r="C15" s="529">
        <v>3</v>
      </c>
      <c r="D15" s="537"/>
      <c r="E15" s="538"/>
      <c r="F15" s="537">
        <v>4.4999999999999997E-3</v>
      </c>
      <c r="G15" s="539">
        <v>2.3800000000000002E-2</v>
      </c>
      <c r="H15" s="539">
        <v>3.9300000000000002E-2</v>
      </c>
      <c r="I15" s="539">
        <v>4.7800000000000002E-2</v>
      </c>
    </row>
    <row r="16" spans="1:9" x14ac:dyDescent="0.2">
      <c r="B16" s="154"/>
      <c r="C16" s="529"/>
      <c r="D16" s="537"/>
      <c r="E16" s="538"/>
      <c r="F16" s="537"/>
      <c r="G16" s="539"/>
      <c r="H16" s="539"/>
      <c r="I16" s="539"/>
    </row>
    <row r="17" spans="2:9" x14ac:dyDescent="0.2">
      <c r="B17" s="154"/>
      <c r="C17" s="529">
        <v>4</v>
      </c>
      <c r="D17" s="537"/>
      <c r="E17" s="538"/>
      <c r="F17" s="537"/>
      <c r="G17" s="539">
        <v>1.9300000000000001E-2</v>
      </c>
      <c r="H17" s="539">
        <v>3.4799999999999998E-2</v>
      </c>
      <c r="I17" s="539">
        <v>4.3299999999999998E-2</v>
      </c>
    </row>
    <row r="18" spans="2:9" x14ac:dyDescent="0.2">
      <c r="B18" s="154"/>
      <c r="C18" s="529"/>
      <c r="D18" s="537"/>
      <c r="E18" s="538"/>
      <c r="F18" s="537"/>
      <c r="G18" s="539"/>
      <c r="H18" s="539"/>
      <c r="I18" s="539"/>
    </row>
    <row r="19" spans="2:9" x14ac:dyDescent="0.2">
      <c r="B19" s="154"/>
      <c r="C19" s="529">
        <v>5</v>
      </c>
      <c r="D19" s="537"/>
      <c r="E19" s="538"/>
      <c r="F19" s="537"/>
      <c r="G19" s="539"/>
      <c r="H19" s="539">
        <v>1.55E-2</v>
      </c>
      <c r="I19" s="539">
        <v>2.4E-2</v>
      </c>
    </row>
    <row r="20" spans="2:9" x14ac:dyDescent="0.2">
      <c r="B20" s="154"/>
      <c r="C20" s="529"/>
      <c r="D20" s="537"/>
      <c r="E20" s="538"/>
      <c r="F20" s="537"/>
      <c r="G20" s="539"/>
      <c r="H20" s="539"/>
      <c r="I20" s="539"/>
    </row>
    <row r="21" spans="2:9" x14ac:dyDescent="0.2">
      <c r="B21" s="154"/>
      <c r="C21" s="529">
        <v>6</v>
      </c>
      <c r="D21" s="537"/>
      <c r="E21" s="538"/>
      <c r="F21" s="537"/>
      <c r="G21" s="539"/>
      <c r="H21" s="539"/>
      <c r="I21" s="539">
        <v>8.5000000000000006E-3</v>
      </c>
    </row>
    <row r="22" spans="2:9" x14ac:dyDescent="0.2">
      <c r="B22" s="154"/>
      <c r="C22" s="529"/>
      <c r="D22" s="537"/>
      <c r="E22" s="538"/>
      <c r="F22" s="537"/>
      <c r="G22" s="539"/>
      <c r="H22" s="539"/>
      <c r="I22" s="539"/>
    </row>
    <row r="23" spans="2:9" x14ac:dyDescent="0.2">
      <c r="B23" s="154"/>
      <c r="C23" s="529"/>
      <c r="D23" s="529"/>
      <c r="E23" s="536"/>
      <c r="F23" s="529"/>
      <c r="G23" s="154"/>
      <c r="H23" s="154"/>
      <c r="I23" s="154"/>
    </row>
    <row r="24" spans="2:9" x14ac:dyDescent="0.2">
      <c r="B24" s="154"/>
      <c r="C24" s="536" t="s">
        <v>840</v>
      </c>
      <c r="D24" s="529"/>
      <c r="E24" s="536"/>
      <c r="F24" s="529"/>
      <c r="G24" s="154"/>
      <c r="H24" s="154"/>
      <c r="I24" s="154"/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O200"/>
  <sheetViews>
    <sheetView workbookViewId="0">
      <selection activeCell="A12" sqref="A12"/>
    </sheetView>
  </sheetViews>
  <sheetFormatPr defaultRowHeight="12.75" x14ac:dyDescent="0.2"/>
  <cols>
    <col min="1" max="2" width="10.85546875" style="154" customWidth="1"/>
    <col min="3" max="3" width="2.85546875" style="34" customWidth="1"/>
    <col min="4" max="5" width="10.85546875" style="162" customWidth="1"/>
    <col min="6" max="6" width="2.85546875" style="34" customWidth="1"/>
    <col min="7" max="8" width="10.85546875" style="154" customWidth="1"/>
    <col min="9" max="9" width="2.85546875" style="34" customWidth="1"/>
    <col min="10" max="11" width="9.140625" style="162"/>
    <col min="12" max="12" width="3.42578125" style="34" customWidth="1"/>
    <col min="13" max="14" width="9.140625" style="162"/>
    <col min="15" max="15" width="3.42578125" style="34" customWidth="1"/>
  </cols>
  <sheetData>
    <row r="1" spans="1:15" ht="13.5" thickBot="1" x14ac:dyDescent="0.25">
      <c r="D1" s="426"/>
      <c r="E1" s="426"/>
      <c r="G1" s="426"/>
      <c r="H1" s="426"/>
      <c r="M1" s="426"/>
      <c r="N1" s="426"/>
    </row>
    <row r="2" spans="1:15" ht="13.5" thickTop="1" x14ac:dyDescent="0.2">
      <c r="A2" s="172" t="s">
        <v>47</v>
      </c>
      <c r="B2" s="195"/>
      <c r="C2" s="82"/>
      <c r="D2" s="427" t="s">
        <v>47</v>
      </c>
      <c r="E2" s="430"/>
      <c r="F2" s="82"/>
      <c r="G2" s="427"/>
      <c r="H2" s="436" t="s">
        <v>91</v>
      </c>
      <c r="I2" s="82"/>
      <c r="M2" s="426"/>
      <c r="N2" s="426"/>
    </row>
    <row r="3" spans="1:15" x14ac:dyDescent="0.2">
      <c r="A3" s="175" t="s">
        <v>93</v>
      </c>
      <c r="B3" s="277">
        <v>4.7549999999999999</v>
      </c>
      <c r="C3" s="82"/>
      <c r="D3" s="431" t="s">
        <v>77</v>
      </c>
      <c r="E3" s="432">
        <v>4.53</v>
      </c>
      <c r="F3" s="82"/>
      <c r="G3" s="431" t="s">
        <v>77</v>
      </c>
      <c r="H3" s="437">
        <f>+E3</f>
        <v>4.53</v>
      </c>
      <c r="I3" s="82"/>
      <c r="J3" s="217" t="s">
        <v>267</v>
      </c>
      <c r="K3" s="273">
        <v>4.88</v>
      </c>
      <c r="M3" s="431" t="s">
        <v>95</v>
      </c>
      <c r="N3" s="432">
        <v>2.97</v>
      </c>
    </row>
    <row r="4" spans="1:15" x14ac:dyDescent="0.2">
      <c r="A4" s="175" t="s">
        <v>97</v>
      </c>
      <c r="B4" s="196">
        <v>4.8499999999999996</v>
      </c>
      <c r="C4" s="82"/>
      <c r="D4" s="431" t="s">
        <v>78</v>
      </c>
      <c r="E4" s="432">
        <v>4.5</v>
      </c>
      <c r="F4" s="82"/>
      <c r="G4" s="431" t="s">
        <v>78</v>
      </c>
      <c r="H4" s="437">
        <f>+E4</f>
        <v>4.5</v>
      </c>
      <c r="I4" s="82"/>
      <c r="J4" s="217" t="s">
        <v>268</v>
      </c>
      <c r="M4" s="438" t="s">
        <v>268</v>
      </c>
      <c r="N4" s="426"/>
    </row>
    <row r="5" spans="1:15" x14ac:dyDescent="0.2">
      <c r="A5" s="175" t="s">
        <v>76</v>
      </c>
      <c r="B5" s="197">
        <v>5</v>
      </c>
      <c r="C5" s="82"/>
      <c r="D5" s="431" t="s">
        <v>99</v>
      </c>
      <c r="E5" s="432">
        <v>4.47</v>
      </c>
      <c r="F5" s="82"/>
      <c r="G5" s="431" t="s">
        <v>99</v>
      </c>
      <c r="H5" s="437">
        <f>+E5</f>
        <v>4.47</v>
      </c>
      <c r="I5" s="82"/>
      <c r="M5" s="426"/>
      <c r="N5" s="426"/>
    </row>
    <row r="6" spans="1:15" x14ac:dyDescent="0.2">
      <c r="A6" s="198"/>
      <c r="B6" s="198"/>
      <c r="C6" s="114"/>
      <c r="D6" s="428" t="s">
        <v>101</v>
      </c>
      <c r="E6" s="433">
        <v>2.6</v>
      </c>
      <c r="F6" s="114"/>
      <c r="G6" s="428" t="s">
        <v>101</v>
      </c>
      <c r="H6" s="437">
        <f>+E6</f>
        <v>2.6</v>
      </c>
      <c r="I6" s="114"/>
      <c r="J6" s="204"/>
      <c r="K6" s="204"/>
      <c r="L6" s="75"/>
      <c r="M6" s="429"/>
      <c r="N6" s="429"/>
      <c r="O6" s="75"/>
    </row>
    <row r="7" spans="1:15" x14ac:dyDescent="0.2">
      <c r="A7" s="199"/>
      <c r="B7" s="199"/>
      <c r="C7" s="116"/>
      <c r="D7" s="434" t="s">
        <v>95</v>
      </c>
      <c r="E7" s="435">
        <v>3.0649999999999999</v>
      </c>
      <c r="F7" s="116"/>
      <c r="G7" s="434" t="s">
        <v>95</v>
      </c>
      <c r="H7" s="437">
        <f>+E7</f>
        <v>3.0649999999999999</v>
      </c>
      <c r="I7" s="116"/>
      <c r="J7" s="218"/>
      <c r="K7" s="218"/>
      <c r="L7" s="134"/>
      <c r="M7" s="439"/>
      <c r="N7" s="439"/>
      <c r="O7" s="134"/>
    </row>
    <row r="8" spans="1:15" x14ac:dyDescent="0.2">
      <c r="A8" s="216" t="s">
        <v>440</v>
      </c>
      <c r="B8" s="205"/>
      <c r="C8" s="135"/>
      <c r="D8" s="175" t="s">
        <v>439</v>
      </c>
      <c r="E8" s="176"/>
      <c r="F8" s="82"/>
      <c r="G8" s="175" t="s">
        <v>439</v>
      </c>
      <c r="H8" s="176"/>
      <c r="I8" s="82"/>
      <c r="J8" s="162" t="s">
        <v>266</v>
      </c>
      <c r="M8" s="162" t="s">
        <v>561</v>
      </c>
    </row>
    <row r="9" spans="1:15" x14ac:dyDescent="0.2">
      <c r="A9" s="205" t="s">
        <v>103</v>
      </c>
      <c r="B9" s="205"/>
      <c r="C9" s="136"/>
      <c r="D9" s="177" t="s">
        <v>250</v>
      </c>
      <c r="E9" s="176"/>
      <c r="F9" s="82"/>
      <c r="G9" s="177" t="s">
        <v>470</v>
      </c>
      <c r="H9" s="176"/>
      <c r="I9" s="82"/>
      <c r="J9" s="162" t="s">
        <v>270</v>
      </c>
      <c r="M9" s="162" t="s">
        <v>446</v>
      </c>
    </row>
    <row r="10" spans="1:15" x14ac:dyDescent="0.2">
      <c r="A10" s="205" t="s">
        <v>272</v>
      </c>
      <c r="B10" s="205"/>
      <c r="C10" s="136"/>
      <c r="D10" s="178" t="s">
        <v>271</v>
      </c>
      <c r="E10" s="176"/>
      <c r="F10" s="82"/>
      <c r="G10" s="178" t="s">
        <v>271</v>
      </c>
      <c r="H10" s="176"/>
      <c r="I10" s="82"/>
      <c r="J10" s="162" t="s">
        <v>263</v>
      </c>
      <c r="M10" s="162" t="s">
        <v>445</v>
      </c>
    </row>
    <row r="11" spans="1:15" x14ac:dyDescent="0.2">
      <c r="A11" s="163" t="s">
        <v>714</v>
      </c>
      <c r="B11" s="205"/>
      <c r="C11" s="136"/>
      <c r="D11" s="178" t="s">
        <v>715</v>
      </c>
      <c r="E11" s="176"/>
      <c r="F11" s="82"/>
      <c r="G11" s="178" t="s">
        <v>715</v>
      </c>
      <c r="H11" s="176"/>
      <c r="I11" s="82"/>
      <c r="J11" s="162" t="s">
        <v>264</v>
      </c>
    </row>
    <row r="12" spans="1:15" x14ac:dyDescent="0.2">
      <c r="A12" s="315" t="s">
        <v>622</v>
      </c>
      <c r="B12" s="206"/>
      <c r="C12" s="82"/>
      <c r="D12" s="173" t="s">
        <v>471</v>
      </c>
      <c r="E12" s="174"/>
      <c r="F12" s="82"/>
      <c r="G12" s="173" t="s">
        <v>317</v>
      </c>
      <c r="H12" s="174"/>
      <c r="I12" s="82"/>
      <c r="J12" s="154" t="s">
        <v>566</v>
      </c>
      <c r="M12" s="162" t="s">
        <v>562</v>
      </c>
    </row>
    <row r="13" spans="1:15" x14ac:dyDescent="0.2">
      <c r="A13" s="207" t="s">
        <v>36</v>
      </c>
      <c r="B13" s="208" t="s">
        <v>603</v>
      </c>
      <c r="C13" s="99"/>
      <c r="D13" s="179" t="s">
        <v>109</v>
      </c>
      <c r="E13" s="180" t="s">
        <v>110</v>
      </c>
      <c r="F13" s="99"/>
      <c r="G13" s="179" t="s">
        <v>109</v>
      </c>
      <c r="H13" s="180" t="s">
        <v>142</v>
      </c>
      <c r="I13" s="99"/>
      <c r="J13" s="162" t="s">
        <v>115</v>
      </c>
      <c r="M13" s="207" t="s">
        <v>118</v>
      </c>
      <c r="N13" s="208" t="s">
        <v>119</v>
      </c>
    </row>
    <row r="14" spans="1:15" x14ac:dyDescent="0.2">
      <c r="A14" s="209" t="s">
        <v>120</v>
      </c>
      <c r="B14" s="164">
        <v>4.3900000000000002E-2</v>
      </c>
      <c r="C14" s="89"/>
      <c r="D14" s="181" t="s">
        <v>120</v>
      </c>
      <c r="E14" s="182">
        <v>1.78E-2</v>
      </c>
      <c r="F14" s="89"/>
      <c r="G14" s="181" t="s">
        <v>120</v>
      </c>
      <c r="H14" s="182">
        <v>0.55479999999999996</v>
      </c>
      <c r="I14" s="89"/>
      <c r="J14" s="209" t="s">
        <v>120</v>
      </c>
      <c r="K14" s="164">
        <f>0.005+0.002</f>
        <v>7.0000000000000001E-3</v>
      </c>
      <c r="M14" s="209" t="s">
        <v>120</v>
      </c>
      <c r="N14" s="164">
        <v>1.12E-2</v>
      </c>
    </row>
    <row r="15" spans="1:15" x14ac:dyDescent="0.2">
      <c r="A15" s="209" t="s">
        <v>60</v>
      </c>
      <c r="B15" s="164">
        <f>0.0022+0.0072+0.0225</f>
        <v>3.1899999999999998E-2</v>
      </c>
      <c r="C15" s="89"/>
      <c r="D15" s="181" t="s">
        <v>60</v>
      </c>
      <c r="E15" s="182">
        <f>0.0022+0.0072</f>
        <v>9.4000000000000004E-3</v>
      </c>
      <c r="F15" s="89"/>
      <c r="G15" s="181" t="s">
        <v>60</v>
      </c>
      <c r="H15" s="182">
        <f>0.0022+0.0072</f>
        <v>9.4000000000000004E-3</v>
      </c>
      <c r="I15" s="89"/>
      <c r="J15" s="209" t="s">
        <v>60</v>
      </c>
      <c r="K15" s="164">
        <f>0.0022+0.0072</f>
        <v>9.4000000000000004E-3</v>
      </c>
      <c r="M15" s="209" t="s">
        <v>60</v>
      </c>
      <c r="N15" s="164">
        <f>0.0022+0.0072</f>
        <v>9.4000000000000004E-3</v>
      </c>
    </row>
    <row r="16" spans="1:15" x14ac:dyDescent="0.2">
      <c r="A16" s="209" t="s">
        <v>273</v>
      </c>
      <c r="B16" s="210">
        <f>(B3)/(1-0.0084)-B3</f>
        <v>4.0280354981847566E-2</v>
      </c>
      <c r="C16" s="91"/>
      <c r="D16" s="319">
        <v>2.6800000000000001E-2</v>
      </c>
      <c r="E16" s="183">
        <f>(E$5)/(1-D16)-E$5</f>
        <v>0.123094944512947</v>
      </c>
      <c r="F16" s="91"/>
      <c r="G16" s="181" t="s">
        <v>458</v>
      </c>
      <c r="H16" s="183">
        <f>(H5)/(1-0.0926)-H5</f>
        <v>0.45616266255234716</v>
      </c>
      <c r="I16" s="91"/>
      <c r="J16" s="209" t="s">
        <v>442</v>
      </c>
      <c r="K16" s="165">
        <f>+K3/(1-0.0022)-K3</f>
        <v>1.0759671276808547E-2</v>
      </c>
      <c r="M16" s="209" t="s">
        <v>563</v>
      </c>
      <c r="N16" s="165">
        <f>+N3/(1-0.0058)-N3</f>
        <v>1.73264936632469E-2</v>
      </c>
    </row>
    <row r="17" spans="1:14" x14ac:dyDescent="0.2">
      <c r="A17" s="211"/>
      <c r="B17" s="166">
        <f>SUM(B14:B16)</f>
        <v>0.11608035498184757</v>
      </c>
      <c r="C17" s="94"/>
      <c r="D17" s="181"/>
      <c r="E17" s="184">
        <f>SUM(E14:E16)</f>
        <v>0.150294944512947</v>
      </c>
      <c r="F17" s="94"/>
      <c r="G17" s="181"/>
      <c r="H17" s="184">
        <f>SUM(H14:H16)</f>
        <v>1.0203626625523472</v>
      </c>
      <c r="I17" s="94"/>
      <c r="J17" s="211"/>
      <c r="K17" s="166">
        <f>SUM(K14:K16)</f>
        <v>2.7159671276808548E-2</v>
      </c>
      <c r="M17" s="211"/>
      <c r="N17" s="166">
        <f>SUM(N14:N16)</f>
        <v>3.79264936632469E-2</v>
      </c>
    </row>
    <row r="18" spans="1:14" x14ac:dyDescent="0.2">
      <c r="A18" s="212" t="s">
        <v>36</v>
      </c>
      <c r="B18" s="213" t="s">
        <v>604</v>
      </c>
      <c r="C18" s="99"/>
      <c r="D18" s="179" t="s">
        <v>109</v>
      </c>
      <c r="E18" s="180" t="s">
        <v>123</v>
      </c>
      <c r="F18" s="99"/>
      <c r="G18" s="179" t="s">
        <v>109</v>
      </c>
      <c r="H18" s="180" t="s">
        <v>147</v>
      </c>
      <c r="I18" s="99"/>
    </row>
    <row r="19" spans="1:14" x14ac:dyDescent="0.2">
      <c r="A19" s="209" t="s">
        <v>120</v>
      </c>
      <c r="B19" s="164">
        <v>6.6900000000000001E-2</v>
      </c>
      <c r="C19" s="89"/>
      <c r="D19" s="181" t="s">
        <v>120</v>
      </c>
      <c r="E19" s="182">
        <v>1.8700000000000001E-2</v>
      </c>
      <c r="F19" s="89"/>
      <c r="G19" s="181" t="s">
        <v>120</v>
      </c>
      <c r="H19" s="182">
        <v>0.65900000000000003</v>
      </c>
      <c r="I19" s="89"/>
      <c r="J19" s="162" t="s">
        <v>128</v>
      </c>
      <c r="M19" s="207" t="s">
        <v>118</v>
      </c>
      <c r="N19" s="208" t="s">
        <v>127</v>
      </c>
    </row>
    <row r="20" spans="1:14" x14ac:dyDescent="0.2">
      <c r="A20" s="209" t="s">
        <v>60</v>
      </c>
      <c r="B20" s="164">
        <f>0.0022+0.0072+0.0225</f>
        <v>3.1899999999999998E-2</v>
      </c>
      <c r="C20" s="89"/>
      <c r="D20" s="181" t="s">
        <v>60</v>
      </c>
      <c r="E20" s="182">
        <f>0.0022</f>
        <v>2.2000000000000001E-3</v>
      </c>
      <c r="F20" s="89"/>
      <c r="G20" s="181" t="s">
        <v>60</v>
      </c>
      <c r="H20" s="182">
        <f>0.0022+0.0072</f>
        <v>9.4000000000000004E-3</v>
      </c>
      <c r="I20" s="89"/>
      <c r="J20" s="209" t="s">
        <v>120</v>
      </c>
      <c r="K20" s="164">
        <f>0.0303+0.002</f>
        <v>3.2300000000000002E-2</v>
      </c>
      <c r="M20" s="209" t="s">
        <v>120</v>
      </c>
      <c r="N20" s="164">
        <v>0</v>
      </c>
    </row>
    <row r="21" spans="1:14" x14ac:dyDescent="0.2">
      <c r="A21" s="209" t="s">
        <v>274</v>
      </c>
      <c r="B21" s="210">
        <f>(B3)/(1-0.0244)-B3</f>
        <v>0.11892373923739186</v>
      </c>
      <c r="C21" s="91"/>
      <c r="D21" s="319">
        <v>2.93E-2</v>
      </c>
      <c r="E21" s="183">
        <f>(E$5)/(1-D21)-E$5</f>
        <v>0.13492428144637891</v>
      </c>
      <c r="F21" s="91"/>
      <c r="G21" s="181" t="s">
        <v>459</v>
      </c>
      <c r="H21" s="183">
        <f>(H5)/(1-0.1089)-H5</f>
        <v>0.54627202334193647</v>
      </c>
      <c r="I21" s="91"/>
      <c r="J21" s="209" t="s">
        <v>60</v>
      </c>
      <c r="K21" s="164">
        <f>0.0072+0.0022</f>
        <v>9.4000000000000004E-3</v>
      </c>
      <c r="M21" s="209" t="s">
        <v>60</v>
      </c>
      <c r="N21" s="164">
        <f>0.0022+0.0072</f>
        <v>9.4000000000000004E-3</v>
      </c>
    </row>
    <row r="22" spans="1:14" x14ac:dyDescent="0.2">
      <c r="A22" s="211"/>
      <c r="B22" s="166">
        <f>SUM(B19:B21)</f>
        <v>0.21772373923739186</v>
      </c>
      <c r="C22" s="94"/>
      <c r="D22" s="181"/>
      <c r="E22" s="184">
        <f>SUM(E19:E21)</f>
        <v>0.15582428144637891</v>
      </c>
      <c r="F22" s="94"/>
      <c r="G22" s="181"/>
      <c r="H22" s="184">
        <f>SUM(H19:H21)</f>
        <v>1.2146720233419366</v>
      </c>
      <c r="I22" s="94"/>
      <c r="J22" s="209" t="s">
        <v>443</v>
      </c>
      <c r="K22" s="165">
        <f>+K3/(1-0.0268)-K3</f>
        <v>0.13438553226469363</v>
      </c>
      <c r="M22" s="209" t="s">
        <v>563</v>
      </c>
      <c r="N22" s="165">
        <f>+N3/(1-0.0058)-N3</f>
        <v>1.73264936632469E-2</v>
      </c>
    </row>
    <row r="23" spans="1:14" x14ac:dyDescent="0.2">
      <c r="A23" s="212" t="s">
        <v>36</v>
      </c>
      <c r="B23" s="213" t="s">
        <v>605</v>
      </c>
      <c r="C23" s="94"/>
      <c r="D23" s="185" t="s">
        <v>109</v>
      </c>
      <c r="E23" s="186" t="s">
        <v>131</v>
      </c>
      <c r="F23" s="94"/>
      <c r="G23" s="179" t="s">
        <v>109</v>
      </c>
      <c r="H23" s="180" t="s">
        <v>160</v>
      </c>
      <c r="I23" s="94"/>
      <c r="J23" s="211"/>
      <c r="K23" s="166">
        <f>SUM(K20:K22)</f>
        <v>0.17608553226469364</v>
      </c>
      <c r="M23" s="211"/>
      <c r="N23" s="166">
        <f>SUM(N20:N22)</f>
        <v>2.6726493663246899E-2</v>
      </c>
    </row>
    <row r="24" spans="1:14" x14ac:dyDescent="0.2">
      <c r="A24" s="209" t="s">
        <v>120</v>
      </c>
      <c r="B24" s="164">
        <v>8.7999999999999995E-2</v>
      </c>
      <c r="C24" s="96"/>
      <c r="D24" s="181" t="s">
        <v>120</v>
      </c>
      <c r="E24" s="182">
        <v>2.3599999999999999E-2</v>
      </c>
      <c r="F24" s="96"/>
      <c r="G24" s="181" t="s">
        <v>120</v>
      </c>
      <c r="H24" s="182">
        <v>0.41149999999999998</v>
      </c>
      <c r="I24" s="96"/>
    </row>
    <row r="25" spans="1:14" x14ac:dyDescent="0.2">
      <c r="A25" s="209" t="s">
        <v>60</v>
      </c>
      <c r="B25" s="164">
        <f>0.0022+0.0072</f>
        <v>9.4000000000000004E-3</v>
      </c>
      <c r="C25" s="96"/>
      <c r="D25" s="181" t="s">
        <v>60</v>
      </c>
      <c r="E25" s="182">
        <f>0.0022+0.0072</f>
        <v>9.4000000000000004E-3</v>
      </c>
      <c r="F25" s="96"/>
      <c r="G25" s="181" t="s">
        <v>60</v>
      </c>
      <c r="H25" s="182">
        <f>0.0022+0.0072</f>
        <v>9.4000000000000004E-3</v>
      </c>
      <c r="I25" s="96"/>
      <c r="J25" s="162" t="s">
        <v>138</v>
      </c>
    </row>
    <row r="26" spans="1:14" x14ac:dyDescent="0.2">
      <c r="A26" s="209" t="s">
        <v>275</v>
      </c>
      <c r="B26" s="210">
        <f>(B3)/(1-0.0443)-B3</f>
        <v>0.2204106937323429</v>
      </c>
      <c r="C26" s="91"/>
      <c r="D26" s="319">
        <v>4.2799999999999998E-2</v>
      </c>
      <c r="E26" s="183">
        <f>(E$5)/(1-D26)-E$5</f>
        <v>0.19987045549519422</v>
      </c>
      <c r="F26" s="91"/>
      <c r="G26" s="181" t="s">
        <v>460</v>
      </c>
      <c r="H26" s="183">
        <f>(H4)/(1-0.0812)-H4</f>
        <v>0.39769264257727421</v>
      </c>
      <c r="I26" s="91"/>
      <c r="J26" s="209" t="s">
        <v>120</v>
      </c>
      <c r="K26" s="164">
        <f>0.0275+0.002</f>
        <v>2.9499999999999998E-2</v>
      </c>
    </row>
    <row r="27" spans="1:14" x14ac:dyDescent="0.2">
      <c r="A27" s="211"/>
      <c r="B27" s="166">
        <f>SUM(B24:B26)</f>
        <v>0.31781069373234289</v>
      </c>
      <c r="C27" s="94"/>
      <c r="D27" s="181"/>
      <c r="E27" s="184">
        <f>SUM(E24:E26)</f>
        <v>0.23287045549519422</v>
      </c>
      <c r="F27" s="94"/>
      <c r="G27" s="181"/>
      <c r="H27" s="184">
        <f>SUM(H24:H26)</f>
        <v>0.81859264257727427</v>
      </c>
      <c r="I27" s="94"/>
      <c r="J27" s="209" t="s">
        <v>60</v>
      </c>
      <c r="K27" s="164">
        <f>0.0072+0.0022</f>
        <v>9.4000000000000004E-3</v>
      </c>
    </row>
    <row r="28" spans="1:14" x14ac:dyDescent="0.2">
      <c r="A28" s="212" t="s">
        <v>36</v>
      </c>
      <c r="B28" s="214" t="s">
        <v>606</v>
      </c>
      <c r="C28" s="86"/>
      <c r="D28" s="179" t="s">
        <v>109</v>
      </c>
      <c r="E28" s="180" t="s">
        <v>135</v>
      </c>
      <c r="F28" s="86"/>
      <c r="G28" s="179" t="s">
        <v>109</v>
      </c>
      <c r="H28" s="180" t="s">
        <v>164</v>
      </c>
      <c r="I28" s="86"/>
      <c r="J28" s="209" t="s">
        <v>443</v>
      </c>
      <c r="K28" s="165">
        <f>+K3/(1-0.0268)-K3</f>
        <v>0.13438553226469363</v>
      </c>
    </row>
    <row r="29" spans="1:14" x14ac:dyDescent="0.2">
      <c r="A29" s="211" t="s">
        <v>120</v>
      </c>
      <c r="B29" s="164">
        <v>9.7799999999999998E-2</v>
      </c>
      <c r="C29" s="89"/>
      <c r="D29" s="181" t="s">
        <v>120</v>
      </c>
      <c r="E29" s="182">
        <v>7.0599999999999996E-2</v>
      </c>
      <c r="F29" s="89"/>
      <c r="G29" s="181" t="s">
        <v>120</v>
      </c>
      <c r="H29" s="182">
        <v>0.51570000000000005</v>
      </c>
      <c r="I29" s="89"/>
      <c r="J29" s="211"/>
      <c r="K29" s="166">
        <f>SUM(K26:K28)</f>
        <v>0.17328553226469362</v>
      </c>
    </row>
    <row r="30" spans="1:14" x14ac:dyDescent="0.2">
      <c r="A30" s="211" t="s">
        <v>60</v>
      </c>
      <c r="B30" s="164">
        <f>0.0022</f>
        <v>2.2000000000000001E-3</v>
      </c>
      <c r="C30" s="89"/>
      <c r="D30" s="181" t="s">
        <v>60</v>
      </c>
      <c r="E30" s="182">
        <f>0.0022+0.0072</f>
        <v>9.4000000000000004E-3</v>
      </c>
      <c r="F30" s="89"/>
      <c r="G30" s="181" t="s">
        <v>60</v>
      </c>
      <c r="H30" s="182">
        <f>0.0022+0.0072</f>
        <v>9.4000000000000004E-3</v>
      </c>
      <c r="I30" s="89"/>
    </row>
    <row r="31" spans="1:14" x14ac:dyDescent="0.2">
      <c r="A31" s="211" t="s">
        <v>276</v>
      </c>
      <c r="B31" s="210">
        <f>(B3)/(1-0.0504)-B3</f>
        <v>0.25237152485256953</v>
      </c>
      <c r="C31" s="91"/>
      <c r="D31" s="319">
        <v>6.7699999999999996E-2</v>
      </c>
      <c r="E31" s="183">
        <f>(E$5)/(1-D31)-E$5</f>
        <v>0.32459401480210204</v>
      </c>
      <c r="F31" s="91"/>
      <c r="G31" s="181" t="s">
        <v>461</v>
      </c>
      <c r="H31" s="183">
        <f>(H4)/(1-0.0975)-H4</f>
        <v>0.48614958448753498</v>
      </c>
      <c r="I31" s="91"/>
      <c r="J31" s="162" t="s">
        <v>144</v>
      </c>
    </row>
    <row r="32" spans="1:14" x14ac:dyDescent="0.2">
      <c r="A32" s="211"/>
      <c r="B32" s="166">
        <f>SUM(B29:B31)</f>
        <v>0.35237152485256951</v>
      </c>
      <c r="C32" s="94"/>
      <c r="D32" s="181"/>
      <c r="E32" s="184">
        <f>SUM(E29:E31)</f>
        <v>0.40459401480210205</v>
      </c>
      <c r="F32" s="94"/>
      <c r="G32" s="181"/>
      <c r="H32" s="184">
        <f>SUM(H29:H31)</f>
        <v>1.0112495844875351</v>
      </c>
      <c r="I32" s="94"/>
      <c r="J32" s="209" t="s">
        <v>120</v>
      </c>
      <c r="K32" s="164">
        <f>0.0152+0.002</f>
        <v>1.72E-2</v>
      </c>
    </row>
    <row r="33" spans="1:11" x14ac:dyDescent="0.2">
      <c r="A33" s="212" t="s">
        <v>36</v>
      </c>
      <c r="B33" s="214" t="s">
        <v>607</v>
      </c>
      <c r="C33" s="86"/>
      <c r="D33" s="179" t="s">
        <v>109</v>
      </c>
      <c r="E33" s="180" t="s">
        <v>142</v>
      </c>
      <c r="F33" s="86"/>
      <c r="G33" s="179" t="s">
        <v>109</v>
      </c>
      <c r="H33" s="180" t="s">
        <v>179</v>
      </c>
      <c r="I33" s="86"/>
      <c r="J33" s="209" t="s">
        <v>60</v>
      </c>
      <c r="K33" s="164">
        <f>0.002+0.0072+0.0022</f>
        <v>1.14E-2</v>
      </c>
    </row>
    <row r="34" spans="1:11" x14ac:dyDescent="0.2">
      <c r="A34" s="211" t="s">
        <v>120</v>
      </c>
      <c r="B34" s="164">
        <v>0.1118</v>
      </c>
      <c r="C34" s="89"/>
      <c r="D34" s="181" t="s">
        <v>120</v>
      </c>
      <c r="E34" s="182">
        <v>9.1499999999999998E-2</v>
      </c>
      <c r="F34" s="89"/>
      <c r="G34" s="181" t="s">
        <v>120</v>
      </c>
      <c r="H34" s="182">
        <v>0.39369999999999999</v>
      </c>
      <c r="I34" s="89"/>
      <c r="J34" s="209" t="s">
        <v>444</v>
      </c>
      <c r="K34" s="165">
        <f>+K3/(1-0.0169)-K3</f>
        <v>8.3889736547655858E-2</v>
      </c>
    </row>
    <row r="35" spans="1:11" x14ac:dyDescent="0.2">
      <c r="A35" s="211" t="s">
        <v>60</v>
      </c>
      <c r="B35" s="164">
        <f>0.0022+0.0072</f>
        <v>9.4000000000000004E-3</v>
      </c>
      <c r="C35" s="89"/>
      <c r="D35" s="181" t="s">
        <v>60</v>
      </c>
      <c r="E35" s="182">
        <f>0.0022+0.0072</f>
        <v>9.4000000000000004E-3</v>
      </c>
      <c r="F35" s="89"/>
      <c r="G35" s="181" t="s">
        <v>60</v>
      </c>
      <c r="H35" s="182">
        <f>0.0022+0.0072</f>
        <v>9.4000000000000004E-3</v>
      </c>
      <c r="I35" s="89"/>
      <c r="J35" s="211"/>
      <c r="K35" s="166">
        <f>SUM(K32:K34)</f>
        <v>0.11248973654765586</v>
      </c>
    </row>
    <row r="36" spans="1:11" x14ac:dyDescent="0.2">
      <c r="A36" s="211" t="s">
        <v>277</v>
      </c>
      <c r="B36" s="210">
        <f>(B3)/(1-0.058)-B3</f>
        <v>0.2927707006369431</v>
      </c>
      <c r="C36" s="91"/>
      <c r="D36" s="319">
        <v>9.2600000000000002E-2</v>
      </c>
      <c r="E36" s="183">
        <f>(E$5)/(1-D36)-E$5</f>
        <v>0.45616266255234716</v>
      </c>
      <c r="F36" s="91"/>
      <c r="G36" s="181" t="s">
        <v>462</v>
      </c>
      <c r="H36" s="183">
        <f>(H3)/(1-0.0761)-H3</f>
        <v>0.37312804416062395</v>
      </c>
      <c r="I36" s="91"/>
    </row>
    <row r="37" spans="1:11" x14ac:dyDescent="0.2">
      <c r="A37" s="211"/>
      <c r="B37" s="166">
        <f>SUM(B34:B36)</f>
        <v>0.41397070063694308</v>
      </c>
      <c r="C37" s="94"/>
      <c r="D37" s="181"/>
      <c r="E37" s="184">
        <f>SUM(E34:E36)</f>
        <v>0.55706266255234715</v>
      </c>
      <c r="F37" s="94"/>
      <c r="G37" s="181"/>
      <c r="H37" s="184">
        <f>SUM(H34:H36)</f>
        <v>0.77622804416062396</v>
      </c>
      <c r="I37" s="94"/>
      <c r="J37" s="162" t="s">
        <v>356</v>
      </c>
    </row>
    <row r="38" spans="1:11" x14ac:dyDescent="0.2">
      <c r="A38" s="212" t="s">
        <v>36</v>
      </c>
      <c r="B38" s="214" t="s">
        <v>608</v>
      </c>
      <c r="C38" s="86"/>
      <c r="D38" s="179" t="s">
        <v>109</v>
      </c>
      <c r="E38" s="180" t="s">
        <v>147</v>
      </c>
      <c r="F38" s="86"/>
      <c r="G38" s="179" t="s">
        <v>109</v>
      </c>
      <c r="H38" s="180" t="s">
        <v>182</v>
      </c>
      <c r="I38" s="86"/>
      <c r="J38" s="209" t="s">
        <v>120</v>
      </c>
      <c r="K38" s="164">
        <f>0.0152+0.002</f>
        <v>1.72E-2</v>
      </c>
    </row>
    <row r="39" spans="1:11" x14ac:dyDescent="0.2">
      <c r="A39" s="211" t="s">
        <v>120</v>
      </c>
      <c r="B39" s="164">
        <v>0.1231</v>
      </c>
      <c r="C39" s="89"/>
      <c r="D39" s="181" t="s">
        <v>120</v>
      </c>
      <c r="E39" s="182">
        <v>0.1061</v>
      </c>
      <c r="F39" s="89"/>
      <c r="G39" s="181" t="s">
        <v>120</v>
      </c>
      <c r="H39" s="182">
        <v>0.49790000000000001</v>
      </c>
      <c r="I39" s="89"/>
      <c r="J39" s="209" t="s">
        <v>60</v>
      </c>
      <c r="K39" s="164">
        <f>0.0072+0.0022</f>
        <v>9.4000000000000004E-3</v>
      </c>
    </row>
    <row r="40" spans="1:11" x14ac:dyDescent="0.2">
      <c r="A40" s="211" t="s">
        <v>60</v>
      </c>
      <c r="B40" s="164">
        <f>0.0022+0.0072</f>
        <v>9.4000000000000004E-3</v>
      </c>
      <c r="C40" s="89"/>
      <c r="D40" s="181" t="s">
        <v>60</v>
      </c>
      <c r="E40" s="182">
        <f>0.0022+0.0072</f>
        <v>9.4000000000000004E-3</v>
      </c>
      <c r="F40" s="89"/>
      <c r="G40" s="181" t="s">
        <v>60</v>
      </c>
      <c r="H40" s="182">
        <f>0.0022+0.0072</f>
        <v>9.4000000000000004E-3</v>
      </c>
      <c r="I40" s="89"/>
      <c r="J40" s="209" t="s">
        <v>173</v>
      </c>
      <c r="K40" s="165">
        <v>0</v>
      </c>
    </row>
    <row r="41" spans="1:11" x14ac:dyDescent="0.2">
      <c r="A41" s="211" t="s">
        <v>278</v>
      </c>
      <c r="B41" s="210">
        <f>(B3)/(1-0.0672)-B3</f>
        <v>0.34255574614065232</v>
      </c>
      <c r="C41" s="91"/>
      <c r="D41" s="319">
        <v>0.1089</v>
      </c>
      <c r="E41" s="183">
        <f>(E$5)/(1-D41)-E$5</f>
        <v>0.54627202334193647</v>
      </c>
      <c r="F41" s="91"/>
      <c r="G41" s="181" t="s">
        <v>463</v>
      </c>
      <c r="H41" s="183">
        <f>(H3)/(1-0.0924)-H3</f>
        <v>0.4611855442926398</v>
      </c>
      <c r="I41" s="91"/>
      <c r="J41" s="211"/>
      <c r="K41" s="166">
        <f>SUM(K38:K40)</f>
        <v>2.6599999999999999E-2</v>
      </c>
    </row>
    <row r="42" spans="1:11" x14ac:dyDescent="0.2">
      <c r="A42" s="211"/>
      <c r="B42" s="166">
        <f>SUM(B39:B41)</f>
        <v>0.47505574614065232</v>
      </c>
      <c r="C42" s="94"/>
      <c r="D42" s="181"/>
      <c r="E42" s="184">
        <f>SUM(E39:E41)</f>
        <v>0.66177202334193652</v>
      </c>
      <c r="F42" s="94"/>
      <c r="G42" s="181"/>
      <c r="H42" s="184">
        <f>SUM(H39:H41)</f>
        <v>0.96848554429263978</v>
      </c>
      <c r="I42" s="94"/>
    </row>
    <row r="43" spans="1:11" x14ac:dyDescent="0.2">
      <c r="A43" s="212" t="s">
        <v>36</v>
      </c>
      <c r="B43" s="214" t="s">
        <v>609</v>
      </c>
      <c r="C43" s="86"/>
      <c r="D43" s="179" t="s">
        <v>109</v>
      </c>
      <c r="E43" s="180" t="s">
        <v>150</v>
      </c>
      <c r="F43" s="86"/>
      <c r="G43" s="179" t="s">
        <v>109</v>
      </c>
      <c r="H43" s="180" t="s">
        <v>187</v>
      </c>
      <c r="I43" s="86"/>
    </row>
    <row r="44" spans="1:11" x14ac:dyDescent="0.2">
      <c r="A44" s="211" t="s">
        <v>120</v>
      </c>
      <c r="B44" s="164">
        <v>0.1608</v>
      </c>
      <c r="C44" s="89"/>
      <c r="D44" s="181" t="s">
        <v>120</v>
      </c>
      <c r="E44" s="182">
        <v>1.47E-2</v>
      </c>
      <c r="F44" s="89"/>
      <c r="G44" s="181" t="s">
        <v>120</v>
      </c>
      <c r="H44" s="182">
        <v>0.31059999999999999</v>
      </c>
      <c r="I44" s="89"/>
    </row>
    <row r="45" spans="1:11" x14ac:dyDescent="0.2">
      <c r="A45" s="211" t="s">
        <v>60</v>
      </c>
      <c r="B45" s="164">
        <f>0.0022+0.0072</f>
        <v>9.4000000000000004E-3</v>
      </c>
      <c r="C45" s="89"/>
      <c r="D45" s="181" t="s">
        <v>60</v>
      </c>
      <c r="E45" s="182">
        <f>0.0022</f>
        <v>2.2000000000000001E-3</v>
      </c>
      <c r="F45" s="89"/>
      <c r="G45" s="181" t="s">
        <v>60</v>
      </c>
      <c r="H45" s="182">
        <f>0.0022+0.0072</f>
        <v>9.4000000000000004E-3</v>
      </c>
      <c r="I45" s="89"/>
    </row>
    <row r="46" spans="1:11" x14ac:dyDescent="0.2">
      <c r="A46" s="211" t="s">
        <v>279</v>
      </c>
      <c r="B46" s="210">
        <f>(B3)/(1-0.0742)-B3</f>
        <v>0.38109850939727785</v>
      </c>
      <c r="C46" s="91"/>
      <c r="D46" s="319">
        <v>1.7500000000000002E-2</v>
      </c>
      <c r="E46" s="417">
        <f>(E$4)/(1-D46)-E$4</f>
        <v>8.0152671755724825E-2</v>
      </c>
      <c r="F46" s="91"/>
      <c r="G46" s="181" t="s">
        <v>464</v>
      </c>
      <c r="H46" s="183">
        <f>(H6)/(1-0.0498)-(H6)</f>
        <v>0.13626604925278896</v>
      </c>
      <c r="I46" s="91"/>
    </row>
    <row r="47" spans="1:11" x14ac:dyDescent="0.2">
      <c r="A47" s="211"/>
      <c r="B47" s="166">
        <f>SUM(B44:B46)</f>
        <v>0.55129850939727787</v>
      </c>
      <c r="C47" s="94"/>
      <c r="D47" s="181"/>
      <c r="E47" s="184">
        <f>SUM(E44:E46)</f>
        <v>9.7052671755724823E-2</v>
      </c>
      <c r="F47" s="94"/>
      <c r="G47" s="181"/>
      <c r="H47" s="184">
        <f>SUM(H44:H46)</f>
        <v>0.45626604925278896</v>
      </c>
      <c r="I47" s="94"/>
    </row>
    <row r="48" spans="1:11" x14ac:dyDescent="0.2">
      <c r="A48" s="212" t="s">
        <v>36</v>
      </c>
      <c r="B48" s="213" t="s">
        <v>610</v>
      </c>
      <c r="C48" s="97"/>
      <c r="D48" s="179" t="s">
        <v>109</v>
      </c>
      <c r="E48" s="180" t="s">
        <v>153</v>
      </c>
      <c r="F48" s="97"/>
      <c r="G48" s="179" t="s">
        <v>109</v>
      </c>
      <c r="H48" s="180" t="s">
        <v>189</v>
      </c>
      <c r="I48" s="97"/>
    </row>
    <row r="49" spans="1:9" x14ac:dyDescent="0.2">
      <c r="A49" s="209" t="s">
        <v>120</v>
      </c>
      <c r="B49" s="164">
        <v>2.86E-2</v>
      </c>
      <c r="C49" s="89"/>
      <c r="D49" s="181" t="s">
        <v>120</v>
      </c>
      <c r="E49" s="182">
        <v>1.95E-2</v>
      </c>
      <c r="F49" s="89"/>
      <c r="G49" s="181" t="s">
        <v>120</v>
      </c>
      <c r="H49" s="182">
        <v>0.41470000000000001</v>
      </c>
      <c r="I49" s="89"/>
    </row>
    <row r="50" spans="1:9" x14ac:dyDescent="0.2">
      <c r="A50" s="209" t="s">
        <v>60</v>
      </c>
      <c r="B50" s="164">
        <f>0.0022+0.0072+0.0225</f>
        <v>3.1899999999999998E-2</v>
      </c>
      <c r="C50" s="89"/>
      <c r="D50" s="181" t="s">
        <v>60</v>
      </c>
      <c r="E50" s="182">
        <f>0.0022+0.0072</f>
        <v>9.4000000000000004E-3</v>
      </c>
      <c r="F50" s="89"/>
      <c r="G50" s="181" t="s">
        <v>60</v>
      </c>
      <c r="H50" s="182">
        <f>0.0022+0.0072</f>
        <v>9.4000000000000004E-3</v>
      </c>
      <c r="I50" s="89"/>
    </row>
    <row r="51" spans="1:9" x14ac:dyDescent="0.2">
      <c r="A51" s="209" t="s">
        <v>280</v>
      </c>
      <c r="B51" s="215">
        <f>(B4)/(1-0.0095)-B4</f>
        <v>4.6516910651186016E-2</v>
      </c>
      <c r="C51" s="91"/>
      <c r="D51" s="319">
        <v>3.1399999999999997E-2</v>
      </c>
      <c r="E51" s="417">
        <f>(E$4)/(1-D51)-E$4</f>
        <v>0.14588065248812754</v>
      </c>
      <c r="F51" s="91"/>
      <c r="G51" s="181" t="s">
        <v>465</v>
      </c>
      <c r="H51" s="183">
        <f>(H6)/(1-0.0661)-(H6)</f>
        <v>0.18402398543741327</v>
      </c>
      <c r="I51" s="91"/>
    </row>
    <row r="52" spans="1:9" x14ac:dyDescent="0.2">
      <c r="A52" s="211"/>
      <c r="B52" s="166">
        <f>SUM(B49:B51)</f>
        <v>0.10701691065118601</v>
      </c>
      <c r="C52" s="94"/>
      <c r="D52" s="181"/>
      <c r="E52" s="184">
        <f>SUM(E49:E51)</f>
        <v>0.17478065248812755</v>
      </c>
      <c r="F52" s="94"/>
      <c r="G52" s="181"/>
      <c r="H52" s="184">
        <f>SUM(H49:H51)</f>
        <v>0.60812398543741331</v>
      </c>
      <c r="I52" s="94"/>
    </row>
    <row r="53" spans="1:9" x14ac:dyDescent="0.2">
      <c r="A53" s="212" t="s">
        <v>36</v>
      </c>
      <c r="B53" s="213" t="s">
        <v>611</v>
      </c>
      <c r="C53" s="97"/>
      <c r="D53" s="179" t="s">
        <v>109</v>
      </c>
      <c r="E53" s="180" t="s">
        <v>156</v>
      </c>
      <c r="F53" s="97"/>
      <c r="G53" s="179" t="s">
        <v>109</v>
      </c>
      <c r="H53" s="184" t="s">
        <v>193</v>
      </c>
      <c r="I53" s="97"/>
    </row>
    <row r="54" spans="1:9" x14ac:dyDescent="0.2">
      <c r="A54" s="209" t="s">
        <v>120</v>
      </c>
      <c r="B54" s="164">
        <v>5.7200000000000001E-2</v>
      </c>
      <c r="C54" s="89"/>
      <c r="D54" s="181" t="s">
        <v>120</v>
      </c>
      <c r="E54" s="182">
        <v>6.6500000000000004E-2</v>
      </c>
      <c r="F54" s="89"/>
      <c r="G54" s="181" t="s">
        <v>120</v>
      </c>
      <c r="H54" s="187">
        <v>0.34089999999999998</v>
      </c>
      <c r="I54" s="89"/>
    </row>
    <row r="55" spans="1:9" x14ac:dyDescent="0.2">
      <c r="A55" s="209" t="s">
        <v>60</v>
      </c>
      <c r="B55" s="164">
        <f>0.0022+0.0072+0.0225</f>
        <v>3.1899999999999998E-2</v>
      </c>
      <c r="C55" s="89"/>
      <c r="D55" s="181" t="s">
        <v>60</v>
      </c>
      <c r="E55" s="182">
        <f>0.0022+0.0072</f>
        <v>9.4000000000000004E-3</v>
      </c>
      <c r="F55" s="89"/>
      <c r="G55" s="181" t="s">
        <v>60</v>
      </c>
      <c r="H55" s="182">
        <f>0.0022+0.0072</f>
        <v>9.4000000000000004E-3</v>
      </c>
      <c r="I55" s="89"/>
    </row>
    <row r="56" spans="1:9" x14ac:dyDescent="0.2">
      <c r="A56" s="209" t="s">
        <v>281</v>
      </c>
      <c r="B56" s="215">
        <f>(B4)/(1-0.017)-B4</f>
        <v>8.387589013224872E-2</v>
      </c>
      <c r="C56" s="91"/>
      <c r="D56" s="319">
        <v>5.6300000000000003E-2</v>
      </c>
      <c r="E56" s="417">
        <f>(E$4)/(1-D56)-E$4</f>
        <v>0.26846455441347938</v>
      </c>
      <c r="F56" s="91"/>
      <c r="G56" s="181" t="s">
        <v>466</v>
      </c>
      <c r="H56" s="183">
        <f>(H6)/(1-0.0545)-H6</f>
        <v>0.14986779481755663</v>
      </c>
      <c r="I56" s="91"/>
    </row>
    <row r="57" spans="1:9" x14ac:dyDescent="0.2">
      <c r="A57" s="211"/>
      <c r="B57" s="166">
        <f>SUM(B54:B56)</f>
        <v>0.17297589013224873</v>
      </c>
      <c r="C57" s="94"/>
      <c r="D57" s="181"/>
      <c r="E57" s="184">
        <f>SUM(E54:E56)</f>
        <v>0.34436455441347941</v>
      </c>
      <c r="F57" s="94"/>
      <c r="G57" s="181"/>
      <c r="H57" s="184">
        <f>SUM(H54:H56)</f>
        <v>0.50016779481755669</v>
      </c>
      <c r="I57" s="94"/>
    </row>
    <row r="58" spans="1:9" x14ac:dyDescent="0.2">
      <c r="A58" s="212" t="s">
        <v>36</v>
      </c>
      <c r="B58" s="213" t="s">
        <v>612</v>
      </c>
      <c r="C58" s="86"/>
      <c r="D58" s="179" t="s">
        <v>109</v>
      </c>
      <c r="E58" s="180" t="s">
        <v>160</v>
      </c>
      <c r="F58" s="86"/>
      <c r="G58" s="179" t="s">
        <v>109</v>
      </c>
      <c r="H58" s="184" t="s">
        <v>194</v>
      </c>
      <c r="I58" s="86"/>
    </row>
    <row r="59" spans="1:9" x14ac:dyDescent="0.2">
      <c r="A59" s="209" t="s">
        <v>120</v>
      </c>
      <c r="B59" s="164">
        <v>7.7600000000000002E-2</v>
      </c>
      <c r="C59" s="89"/>
      <c r="D59" s="181" t="s">
        <v>120</v>
      </c>
      <c r="E59" s="182">
        <v>8.7400000000000005E-2</v>
      </c>
      <c r="F59" s="89"/>
      <c r="G59" s="181" t="s">
        <v>120</v>
      </c>
      <c r="H59" s="187">
        <v>0.18859999999999999</v>
      </c>
      <c r="I59" s="89"/>
    </row>
    <row r="60" spans="1:9" x14ac:dyDescent="0.2">
      <c r="A60" s="209" t="s">
        <v>60</v>
      </c>
      <c r="B60" s="164">
        <f>0.0022+0.0072</f>
        <v>9.4000000000000004E-3</v>
      </c>
      <c r="C60" s="89"/>
      <c r="D60" s="181" t="s">
        <v>60</v>
      </c>
      <c r="E60" s="182">
        <f>0.0022+0.0072</f>
        <v>9.4000000000000004E-3</v>
      </c>
      <c r="F60" s="89"/>
      <c r="G60" s="181" t="s">
        <v>60</v>
      </c>
      <c r="H60" s="182">
        <f>0.0022+0.0072</f>
        <v>9.4000000000000004E-3</v>
      </c>
      <c r="I60" s="89"/>
    </row>
    <row r="61" spans="1:9" x14ac:dyDescent="0.2">
      <c r="A61" s="209" t="s">
        <v>282</v>
      </c>
      <c r="B61" s="210">
        <f>(B4)/(1-0.0369)-B4</f>
        <v>0.18582182535562275</v>
      </c>
      <c r="C61" s="91"/>
      <c r="D61" s="319">
        <v>8.1199999999999994E-2</v>
      </c>
      <c r="E61" s="417">
        <f>(E$4)/(1-D61)-E$4</f>
        <v>0.39769264257727421</v>
      </c>
      <c r="F61" s="91"/>
      <c r="G61" s="181" t="s">
        <v>467</v>
      </c>
      <c r="H61" s="183">
        <f>(H7)/(1-0.0299)-H7</f>
        <v>9.4468096072569896E-2</v>
      </c>
      <c r="I61" s="91"/>
    </row>
    <row r="62" spans="1:9" x14ac:dyDescent="0.2">
      <c r="A62" s="211"/>
      <c r="B62" s="166">
        <f>SUM(B59:B61)</f>
        <v>0.27282182535562277</v>
      </c>
      <c r="C62" s="94"/>
      <c r="D62" s="181"/>
      <c r="E62" s="184">
        <f>SUM(E59:E61)</f>
        <v>0.49449264257727421</v>
      </c>
      <c r="F62" s="94"/>
      <c r="G62" s="181"/>
      <c r="H62" s="184">
        <f>SUM(H59:H61)</f>
        <v>0.29246809607256985</v>
      </c>
      <c r="I62" s="94"/>
    </row>
    <row r="63" spans="1:9" x14ac:dyDescent="0.2">
      <c r="A63" s="212" t="s">
        <v>36</v>
      </c>
      <c r="B63" s="213" t="s">
        <v>613</v>
      </c>
      <c r="C63" s="86"/>
      <c r="D63" s="179" t="s">
        <v>109</v>
      </c>
      <c r="E63" s="180" t="s">
        <v>164</v>
      </c>
      <c r="F63" s="86"/>
      <c r="G63" s="222"/>
      <c r="H63" s="192"/>
      <c r="I63" s="86"/>
    </row>
    <row r="64" spans="1:9" x14ac:dyDescent="0.2">
      <c r="A64" s="209" t="s">
        <v>120</v>
      </c>
      <c r="B64" s="164">
        <v>8.7400000000000005E-2</v>
      </c>
      <c r="C64" s="89"/>
      <c r="D64" s="181" t="s">
        <v>120</v>
      </c>
      <c r="E64" s="182">
        <v>0.10199999999999999</v>
      </c>
      <c r="F64" s="89"/>
      <c r="G64" s="190"/>
      <c r="H64" s="194"/>
      <c r="I64" s="89"/>
    </row>
    <row r="65" spans="1:9" x14ac:dyDescent="0.2">
      <c r="A65" s="209" t="s">
        <v>60</v>
      </c>
      <c r="B65" s="164">
        <f>0.0022</f>
        <v>2.2000000000000001E-3</v>
      </c>
      <c r="C65" s="89"/>
      <c r="D65" s="181" t="s">
        <v>60</v>
      </c>
      <c r="E65" s="182">
        <f>0.0022+0.0072</f>
        <v>9.4000000000000004E-3</v>
      </c>
      <c r="F65" s="89"/>
      <c r="G65" s="190"/>
      <c r="H65" s="190"/>
      <c r="I65" s="89"/>
    </row>
    <row r="66" spans="1:9" x14ac:dyDescent="0.2">
      <c r="A66" s="209" t="s">
        <v>283</v>
      </c>
      <c r="B66" s="165">
        <f>(B4)/(1-0.0429)-B4</f>
        <v>0.21739107721241258</v>
      </c>
      <c r="C66" s="91"/>
      <c r="D66" s="319">
        <v>9.7500000000000003E-2</v>
      </c>
      <c r="E66" s="417">
        <f>(E$4)/(1-D66)-E$4</f>
        <v>0.48614958448753498</v>
      </c>
      <c r="F66" s="91"/>
      <c r="G66" s="190"/>
      <c r="H66" s="191"/>
      <c r="I66" s="91"/>
    </row>
    <row r="67" spans="1:9" x14ac:dyDescent="0.2">
      <c r="A67" s="211"/>
      <c r="B67" s="166">
        <f>SUM(B64:B66)</f>
        <v>0.30699107721241259</v>
      </c>
      <c r="C67" s="94"/>
      <c r="D67" s="181"/>
      <c r="E67" s="184">
        <f>SUM(E64:E66)</f>
        <v>0.59754958448753492</v>
      </c>
      <c r="F67" s="94"/>
      <c r="G67" s="190"/>
      <c r="H67" s="192"/>
      <c r="I67" s="94"/>
    </row>
    <row r="68" spans="1:9" x14ac:dyDescent="0.2">
      <c r="A68" s="212" t="s">
        <v>36</v>
      </c>
      <c r="B68" s="213" t="s">
        <v>614</v>
      </c>
      <c r="C68" s="99"/>
      <c r="D68" s="179" t="s">
        <v>109</v>
      </c>
      <c r="E68" s="180" t="s">
        <v>199</v>
      </c>
      <c r="F68" s="99"/>
      <c r="G68" s="190"/>
      <c r="H68" s="190"/>
      <c r="I68" s="99"/>
    </row>
    <row r="69" spans="1:9" x14ac:dyDescent="0.2">
      <c r="A69" s="209" t="s">
        <v>120</v>
      </c>
      <c r="B69" s="164">
        <v>0.1014</v>
      </c>
      <c r="C69" s="89"/>
      <c r="D69" s="181" t="s">
        <v>120</v>
      </c>
      <c r="E69" s="182">
        <v>2.1999999999999999E-2</v>
      </c>
      <c r="F69" s="89"/>
      <c r="G69" s="190"/>
      <c r="H69" s="190"/>
      <c r="I69" s="89"/>
    </row>
    <row r="70" spans="1:9" x14ac:dyDescent="0.2">
      <c r="A70" s="209" t="s">
        <v>60</v>
      </c>
      <c r="B70" s="164">
        <f>0.0022+0.0072</f>
        <v>9.4000000000000004E-3</v>
      </c>
      <c r="C70" s="89"/>
      <c r="D70" s="181" t="s">
        <v>60</v>
      </c>
      <c r="E70" s="182">
        <f>0.0022+0.0072</f>
        <v>9.4000000000000004E-3</v>
      </c>
      <c r="F70" s="89"/>
      <c r="G70" s="191"/>
      <c r="H70" s="191"/>
      <c r="I70" s="89"/>
    </row>
    <row r="71" spans="1:9" x14ac:dyDescent="0.2">
      <c r="A71" s="209" t="s">
        <v>284</v>
      </c>
      <c r="B71" s="215">
        <f>(B4)/(1-0.0506)-B4</f>
        <v>0.2584895723614915</v>
      </c>
      <c r="C71" s="91"/>
      <c r="D71" s="319">
        <v>2.6800000000000001E-2</v>
      </c>
      <c r="E71" s="417">
        <f>(E$3)/(1-D71)-E$3</f>
        <v>0.12474722564734897</v>
      </c>
      <c r="F71" s="91"/>
      <c r="G71" s="192"/>
      <c r="H71" s="192"/>
      <c r="I71" s="91"/>
    </row>
    <row r="72" spans="1:9" x14ac:dyDescent="0.2">
      <c r="A72" s="211"/>
      <c r="B72" s="166">
        <f>SUM(B69:B71)</f>
        <v>0.36928957236149151</v>
      </c>
      <c r="C72" s="94"/>
      <c r="D72" s="181"/>
      <c r="E72" s="184">
        <f>SUM(E69:E71)</f>
        <v>0.15614722564734895</v>
      </c>
      <c r="F72" s="94"/>
      <c r="G72" s="193"/>
      <c r="H72" s="193"/>
      <c r="I72" s="94"/>
    </row>
    <row r="73" spans="1:9" x14ac:dyDescent="0.2">
      <c r="A73" s="212" t="s">
        <v>36</v>
      </c>
      <c r="B73" s="213" t="s">
        <v>615</v>
      </c>
      <c r="C73" s="99"/>
      <c r="D73" s="179" t="s">
        <v>109</v>
      </c>
      <c r="E73" s="180" t="s">
        <v>198</v>
      </c>
      <c r="F73" s="99"/>
      <c r="G73" s="190"/>
      <c r="H73" s="190"/>
      <c r="I73" s="99"/>
    </row>
    <row r="74" spans="1:9" x14ac:dyDescent="0.2">
      <c r="A74" s="209" t="s">
        <v>120</v>
      </c>
      <c r="B74" s="164">
        <v>0.11260000000000001</v>
      </c>
      <c r="C74" s="89"/>
      <c r="D74" s="181" t="s">
        <v>120</v>
      </c>
      <c r="E74" s="182">
        <v>1.83E-2</v>
      </c>
      <c r="F74" s="89"/>
      <c r="G74" s="190"/>
      <c r="H74" s="190"/>
      <c r="I74" s="89"/>
    </row>
    <row r="75" spans="1:9" x14ac:dyDescent="0.2">
      <c r="A75" s="209" t="s">
        <v>60</v>
      </c>
      <c r="B75" s="164">
        <f>0.0022+0.0072</f>
        <v>9.4000000000000004E-3</v>
      </c>
      <c r="C75" s="89"/>
      <c r="D75" s="181" t="s">
        <v>60</v>
      </c>
      <c r="E75" s="182">
        <f>0.0022</f>
        <v>2.2000000000000001E-3</v>
      </c>
      <c r="F75" s="89"/>
      <c r="G75" s="191"/>
      <c r="H75" s="191"/>
      <c r="I75" s="89"/>
    </row>
    <row r="76" spans="1:9" x14ac:dyDescent="0.2">
      <c r="A76" s="209" t="s">
        <v>285</v>
      </c>
      <c r="B76" s="215">
        <f>(B4)/(1-0.0597)-B4</f>
        <v>0.30792832074869736</v>
      </c>
      <c r="C76" s="91"/>
      <c r="D76" s="319">
        <v>2.63E-2</v>
      </c>
      <c r="E76" s="417">
        <f>(E$3)/(1-D76)-E$3</f>
        <v>0.12235698880558665</v>
      </c>
      <c r="F76" s="91"/>
      <c r="G76" s="192"/>
      <c r="H76" s="192"/>
      <c r="I76" s="91"/>
    </row>
    <row r="77" spans="1:9" x14ac:dyDescent="0.2">
      <c r="A77" s="211"/>
      <c r="B77" s="166">
        <f>SUM(B74:B76)</f>
        <v>0.42992832074869736</v>
      </c>
      <c r="C77" s="94"/>
      <c r="D77" s="181"/>
      <c r="E77" s="184">
        <f>SUM(E74:E76)</f>
        <v>0.14285698880558664</v>
      </c>
      <c r="F77" s="94"/>
      <c r="G77" s="192"/>
      <c r="H77" s="192"/>
      <c r="I77" s="94"/>
    </row>
    <row r="78" spans="1:9" x14ac:dyDescent="0.2">
      <c r="A78" s="212" t="s">
        <v>36</v>
      </c>
      <c r="B78" s="213" t="s">
        <v>616</v>
      </c>
      <c r="C78" s="99"/>
      <c r="D78" s="179" t="s">
        <v>109</v>
      </c>
      <c r="E78" s="180" t="s">
        <v>167</v>
      </c>
      <c r="F78" s="99"/>
      <c r="G78" s="194"/>
      <c r="H78" s="194"/>
      <c r="I78" s="99"/>
    </row>
    <row r="79" spans="1:9" x14ac:dyDescent="0.2">
      <c r="A79" s="209" t="s">
        <v>120</v>
      </c>
      <c r="B79" s="164">
        <v>0.15029999999999999</v>
      </c>
      <c r="C79" s="89"/>
      <c r="D79" s="181" t="s">
        <v>120</v>
      </c>
      <c r="E79" s="182">
        <v>1.77E-2</v>
      </c>
      <c r="F79" s="89"/>
      <c r="G79" s="194"/>
      <c r="H79" s="194"/>
      <c r="I79" s="89"/>
    </row>
    <row r="80" spans="1:9" x14ac:dyDescent="0.2">
      <c r="A80" s="209" t="s">
        <v>60</v>
      </c>
      <c r="B80" s="164">
        <f>0.0022+0.0072</f>
        <v>9.4000000000000004E-3</v>
      </c>
      <c r="C80" s="89"/>
      <c r="D80" s="181" t="s">
        <v>60</v>
      </c>
      <c r="E80" s="182">
        <f>0.0022+0.0072</f>
        <v>9.4000000000000004E-3</v>
      </c>
      <c r="F80" s="89"/>
      <c r="G80" s="194"/>
      <c r="H80" s="194"/>
      <c r="I80" s="89"/>
    </row>
    <row r="81" spans="1:9" x14ac:dyDescent="0.2">
      <c r="A81" s="209" t="s">
        <v>286</v>
      </c>
      <c r="B81" s="210">
        <f>(B4)/(1-0.0667)-B4</f>
        <v>0.34661416479159968</v>
      </c>
      <c r="C81" s="91"/>
      <c r="D81" s="319">
        <v>2.63E-2</v>
      </c>
      <c r="E81" s="417">
        <f>(E$3)/(1-D81)-E$3</f>
        <v>0.12235698880558665</v>
      </c>
      <c r="F81" s="91"/>
      <c r="G81" s="191"/>
      <c r="H81" s="191"/>
      <c r="I81" s="91"/>
    </row>
    <row r="82" spans="1:9" x14ac:dyDescent="0.2">
      <c r="A82" s="211"/>
      <c r="B82" s="166">
        <f>SUM(B79:B81)</f>
        <v>0.50631416479159963</v>
      </c>
      <c r="C82" s="94"/>
      <c r="D82" s="181"/>
      <c r="E82" s="184">
        <f>SUM(E79:E81)</f>
        <v>0.14945698880558667</v>
      </c>
      <c r="F82" s="94"/>
      <c r="G82" s="192"/>
      <c r="H82" s="192"/>
      <c r="I82" s="94"/>
    </row>
    <row r="83" spans="1:9" x14ac:dyDescent="0.2">
      <c r="A83" s="212" t="s">
        <v>36</v>
      </c>
      <c r="B83" s="213" t="s">
        <v>617</v>
      </c>
      <c r="C83" s="99"/>
      <c r="D83" s="179" t="s">
        <v>109</v>
      </c>
      <c r="E83" s="180" t="s">
        <v>171</v>
      </c>
      <c r="F83" s="99"/>
      <c r="G83" s="193"/>
      <c r="H83" s="193"/>
      <c r="I83" s="99"/>
    </row>
    <row r="84" spans="1:9" x14ac:dyDescent="0.2">
      <c r="A84" s="209" t="s">
        <v>120</v>
      </c>
      <c r="B84" s="164">
        <v>7.8299999999999995E-2</v>
      </c>
      <c r="C84" s="89"/>
      <c r="D84" s="181" t="s">
        <v>120</v>
      </c>
      <c r="E84" s="182">
        <v>1.67E-2</v>
      </c>
      <c r="F84" s="89"/>
      <c r="G84" s="190"/>
      <c r="H84" s="190"/>
      <c r="I84" s="89"/>
    </row>
    <row r="85" spans="1:9" x14ac:dyDescent="0.2">
      <c r="A85" s="209" t="s">
        <v>60</v>
      </c>
      <c r="B85" s="164">
        <f>0.0022+0.0072</f>
        <v>9.4000000000000004E-3</v>
      </c>
      <c r="C85" s="89"/>
      <c r="D85" s="181" t="s">
        <v>60</v>
      </c>
      <c r="E85" s="182">
        <f>0.0022+0.0072</f>
        <v>9.4000000000000004E-3</v>
      </c>
      <c r="F85" s="89"/>
      <c r="G85" s="190"/>
      <c r="H85" s="190"/>
      <c r="I85" s="89"/>
    </row>
    <row r="86" spans="1:9" x14ac:dyDescent="0.2">
      <c r="A86" s="209" t="s">
        <v>295</v>
      </c>
      <c r="B86" s="210">
        <f>(B4)/(1-0.0358)-B4</f>
        <v>0.1800767475627465</v>
      </c>
      <c r="C86" s="91"/>
      <c r="D86" s="319">
        <v>2.63E-2</v>
      </c>
      <c r="E86" s="417">
        <f>(E$3)/(1-D86)-E$3</f>
        <v>0.12235698880558665</v>
      </c>
      <c r="F86" s="91"/>
      <c r="G86" s="191"/>
      <c r="H86" s="191"/>
      <c r="I86" s="91"/>
    </row>
    <row r="87" spans="1:9" x14ac:dyDescent="0.2">
      <c r="A87" s="211"/>
      <c r="B87" s="166">
        <f>SUM(B84:B86)</f>
        <v>0.2677767475627465</v>
      </c>
      <c r="C87" s="94"/>
      <c r="D87" s="181"/>
      <c r="E87" s="184">
        <f>SUM(E84:E86)</f>
        <v>0.14845698880558666</v>
      </c>
      <c r="F87" s="94"/>
      <c r="G87" s="192"/>
      <c r="H87" s="192"/>
      <c r="I87" s="94"/>
    </row>
    <row r="88" spans="1:9" x14ac:dyDescent="0.2">
      <c r="A88" s="212" t="s">
        <v>36</v>
      </c>
      <c r="B88" s="213" t="s">
        <v>618</v>
      </c>
      <c r="C88" s="99"/>
      <c r="D88" s="179" t="s">
        <v>109</v>
      </c>
      <c r="E88" s="180" t="s">
        <v>174</v>
      </c>
      <c r="F88" s="99"/>
      <c r="I88" s="99"/>
    </row>
    <row r="89" spans="1:9" x14ac:dyDescent="0.2">
      <c r="A89" s="209" t="s">
        <v>120</v>
      </c>
      <c r="B89" s="164">
        <f>0.0511-0.0022-0.0088</f>
        <v>4.0099999999999997E-2</v>
      </c>
      <c r="C89" s="89"/>
      <c r="D89" s="181" t="s">
        <v>120</v>
      </c>
      <c r="E89" s="182">
        <v>1.77E-2</v>
      </c>
      <c r="F89" s="89"/>
      <c r="G89" s="193"/>
      <c r="H89" s="193"/>
      <c r="I89" s="89"/>
    </row>
    <row r="90" spans="1:9" x14ac:dyDescent="0.2">
      <c r="A90" s="209" t="s">
        <v>60</v>
      </c>
      <c r="B90" s="164">
        <f>0.0022+0.0072</f>
        <v>9.4000000000000004E-3</v>
      </c>
      <c r="C90" s="89"/>
      <c r="D90" s="181" t="s">
        <v>60</v>
      </c>
      <c r="E90" s="182">
        <f>0.0022+0.0072</f>
        <v>9.4000000000000004E-3</v>
      </c>
      <c r="F90" s="89"/>
      <c r="G90" s="190"/>
      <c r="H90" s="190"/>
      <c r="I90" s="89"/>
    </row>
    <row r="91" spans="1:9" x14ac:dyDescent="0.2">
      <c r="A91" s="209" t="s">
        <v>177</v>
      </c>
      <c r="B91" s="165">
        <f>(B5)/(1-0.0101)-B5</f>
        <v>5.1015254066067328E-2</v>
      </c>
      <c r="C91" s="91"/>
      <c r="D91" s="319">
        <v>2.63E-2</v>
      </c>
      <c r="E91" s="417">
        <f>(E$3)/(1-D91)-E$3</f>
        <v>0.12235698880558665</v>
      </c>
      <c r="F91" s="91"/>
      <c r="G91" s="190"/>
      <c r="H91" s="190"/>
      <c r="I91" s="91"/>
    </row>
    <row r="92" spans="1:9" x14ac:dyDescent="0.2">
      <c r="A92" s="211"/>
      <c r="B92" s="166">
        <f>SUM(B89:B91)</f>
        <v>0.10051525406606732</v>
      </c>
      <c r="C92" s="94"/>
      <c r="D92" s="181"/>
      <c r="E92" s="184">
        <f>SUM(E89:E91)</f>
        <v>0.14945698880558667</v>
      </c>
      <c r="F92" s="94"/>
      <c r="G92" s="191"/>
      <c r="H92" s="191"/>
      <c r="I92" s="94"/>
    </row>
    <row r="93" spans="1:9" x14ac:dyDescent="0.2">
      <c r="A93" s="212" t="s">
        <v>36</v>
      </c>
      <c r="B93" s="213" t="s">
        <v>619</v>
      </c>
      <c r="C93" s="94"/>
      <c r="D93" s="179" t="s">
        <v>109</v>
      </c>
      <c r="E93" s="180" t="s">
        <v>176</v>
      </c>
      <c r="F93" s="94"/>
      <c r="G93" s="192"/>
      <c r="H93" s="192"/>
      <c r="I93" s="94"/>
    </row>
    <row r="94" spans="1:9" x14ac:dyDescent="0.2">
      <c r="A94" s="209" t="s">
        <v>120</v>
      </c>
      <c r="B94" s="164">
        <v>8.3400000000000002E-2</v>
      </c>
      <c r="C94" s="96"/>
      <c r="D94" s="181" t="s">
        <v>120</v>
      </c>
      <c r="E94" s="182">
        <v>6.4699999999999994E-2</v>
      </c>
      <c r="F94" s="96"/>
      <c r="G94" s="193"/>
      <c r="H94" s="193"/>
      <c r="I94" s="96"/>
    </row>
    <row r="95" spans="1:9" x14ac:dyDescent="0.2">
      <c r="A95" s="209" t="s">
        <v>60</v>
      </c>
      <c r="B95" s="164">
        <f>0.0022+0.0072</f>
        <v>9.4000000000000004E-3</v>
      </c>
      <c r="C95" s="96" t="s">
        <v>47</v>
      </c>
      <c r="D95" s="181" t="s">
        <v>60</v>
      </c>
      <c r="E95" s="182">
        <f>0.0022+0.0072</f>
        <v>9.4000000000000004E-3</v>
      </c>
      <c r="F95" s="96"/>
      <c r="G95" s="190"/>
      <c r="H95" s="190"/>
      <c r="I95" s="96"/>
    </row>
    <row r="96" spans="1:9" x14ac:dyDescent="0.2">
      <c r="A96" s="209" t="s">
        <v>180</v>
      </c>
      <c r="B96" s="165">
        <f>(B5)/(1-0.0192)-B5</f>
        <v>9.7879282218596764E-2</v>
      </c>
      <c r="C96" s="91"/>
      <c r="D96" s="319">
        <v>5.1200000000000002E-2</v>
      </c>
      <c r="E96" s="417">
        <f>(E$3)/(1-D96)-E$3</f>
        <v>0.24445193929173747</v>
      </c>
      <c r="F96" s="91"/>
      <c r="G96" s="190"/>
      <c r="H96" s="190"/>
      <c r="I96" s="91"/>
    </row>
    <row r="97" spans="1:9" x14ac:dyDescent="0.2">
      <c r="A97" s="211"/>
      <c r="B97" s="166">
        <f>SUM(B94:B96)</f>
        <v>0.19067928221859676</v>
      </c>
      <c r="C97" s="94"/>
      <c r="D97" s="181"/>
      <c r="E97" s="184">
        <f>SUM(E94:E96)</f>
        <v>0.31855193929173747</v>
      </c>
      <c r="F97" s="94"/>
      <c r="G97" s="191"/>
      <c r="H97" s="191"/>
      <c r="I97" s="94"/>
    </row>
    <row r="98" spans="1:9" x14ac:dyDescent="0.2">
      <c r="A98" s="212" t="s">
        <v>36</v>
      </c>
      <c r="B98" s="214" t="s">
        <v>620</v>
      </c>
      <c r="C98" s="99"/>
      <c r="D98" s="179" t="s">
        <v>109</v>
      </c>
      <c r="E98" s="180" t="s">
        <v>179</v>
      </c>
      <c r="F98" s="99"/>
      <c r="G98" s="192"/>
      <c r="H98" s="192"/>
      <c r="I98" s="99"/>
    </row>
    <row r="99" spans="1:9" x14ac:dyDescent="0.2">
      <c r="A99" s="211" t="s">
        <v>120</v>
      </c>
      <c r="B99" s="164">
        <v>4.2700000000000002E-2</v>
      </c>
      <c r="C99" s="89"/>
      <c r="D99" s="181" t="s">
        <v>120</v>
      </c>
      <c r="E99" s="182">
        <v>8.5599999999999996E-2</v>
      </c>
      <c r="F99" s="89"/>
      <c r="I99" s="89"/>
    </row>
    <row r="100" spans="1:9" x14ac:dyDescent="0.2">
      <c r="A100" s="211" t="s">
        <v>60</v>
      </c>
      <c r="B100" s="164">
        <f>0.0022+0.0072</f>
        <v>9.4000000000000004E-3</v>
      </c>
      <c r="C100" s="89"/>
      <c r="D100" s="181" t="s">
        <v>60</v>
      </c>
      <c r="E100" s="182">
        <f>0.0022+0.0072</f>
        <v>9.4000000000000004E-3</v>
      </c>
      <c r="F100" s="89"/>
      <c r="I100" s="89"/>
    </row>
    <row r="101" spans="1:9" x14ac:dyDescent="0.2">
      <c r="A101" s="211" t="s">
        <v>287</v>
      </c>
      <c r="B101" s="165">
        <f>(+B5)/(1-0.0117)-B5</f>
        <v>5.9192552868562842E-2</v>
      </c>
      <c r="C101" s="89"/>
      <c r="D101" s="319">
        <v>7.6100000000000001E-2</v>
      </c>
      <c r="E101" s="417">
        <f>(E$3)/(1-D101)-E$3</f>
        <v>0.37312804416062395</v>
      </c>
      <c r="F101" s="89"/>
      <c r="I101" s="89"/>
    </row>
    <row r="102" spans="1:9" x14ac:dyDescent="0.2">
      <c r="A102" s="211"/>
      <c r="B102" s="166">
        <f>SUM(B99:B101)</f>
        <v>0.11129255286856285</v>
      </c>
      <c r="C102" s="91"/>
      <c r="D102" s="181"/>
      <c r="E102" s="184">
        <f>SUM(E99:E101)</f>
        <v>0.46812804416062392</v>
      </c>
      <c r="F102" s="91"/>
      <c r="I102" s="91"/>
    </row>
    <row r="103" spans="1:9" x14ac:dyDescent="0.2">
      <c r="A103" s="324" t="s">
        <v>647</v>
      </c>
      <c r="B103" s="214" t="s">
        <v>646</v>
      </c>
      <c r="C103" s="94"/>
      <c r="D103" s="179" t="s">
        <v>109</v>
      </c>
      <c r="E103" s="180" t="s">
        <v>182</v>
      </c>
      <c r="F103" s="94"/>
      <c r="I103" s="94"/>
    </row>
    <row r="104" spans="1:9" x14ac:dyDescent="0.2">
      <c r="A104" s="211" t="s">
        <v>120</v>
      </c>
      <c r="B104" s="164">
        <v>4.2700000000000002E-2</v>
      </c>
      <c r="D104" s="181" t="s">
        <v>120</v>
      </c>
      <c r="E104" s="182">
        <v>0.1002</v>
      </c>
    </row>
    <row r="105" spans="1:9" x14ac:dyDescent="0.2">
      <c r="A105" s="211" t="s">
        <v>60</v>
      </c>
      <c r="B105" s="164">
        <f>0.0022+0.0072</f>
        <v>9.4000000000000004E-3</v>
      </c>
      <c r="C105" s="99"/>
      <c r="D105" s="181" t="s">
        <v>60</v>
      </c>
      <c r="E105" s="182">
        <f>0.0022+0.0072</f>
        <v>9.4000000000000004E-3</v>
      </c>
      <c r="F105" s="99"/>
      <c r="I105" s="99"/>
    </row>
    <row r="106" spans="1:9" x14ac:dyDescent="0.2">
      <c r="A106" s="211" t="s">
        <v>648</v>
      </c>
      <c r="B106" s="165">
        <f>(+B5)/(1-0.005)-B5</f>
        <v>2.5125628140703959E-2</v>
      </c>
      <c r="C106" s="89"/>
      <c r="D106" s="319">
        <v>9.2399999999999996E-2</v>
      </c>
      <c r="E106" s="417">
        <f>(E$3)/(1-D106)-E$3</f>
        <v>0.4611855442926398</v>
      </c>
      <c r="F106" s="89"/>
      <c r="I106" s="89"/>
    </row>
    <row r="107" spans="1:9" x14ac:dyDescent="0.2">
      <c r="A107" s="211"/>
      <c r="B107" s="166">
        <f>SUM(B104:B106)</f>
        <v>7.7225628140703967E-2</v>
      </c>
      <c r="C107" s="89"/>
      <c r="D107" s="181"/>
      <c r="E107" s="184">
        <f>SUM(E104:E106)</f>
        <v>0.57078554429263983</v>
      </c>
      <c r="F107" s="89"/>
      <c r="I107" s="89"/>
    </row>
    <row r="108" spans="1:9" x14ac:dyDescent="0.2">
      <c r="A108" s="212" t="s">
        <v>36</v>
      </c>
      <c r="B108" s="214" t="s">
        <v>621</v>
      </c>
      <c r="C108" s="91"/>
      <c r="D108" s="179" t="s">
        <v>109</v>
      </c>
      <c r="E108" s="180" t="s">
        <v>184</v>
      </c>
      <c r="F108" s="91"/>
      <c r="I108" s="91"/>
    </row>
    <row r="109" spans="1:9" x14ac:dyDescent="0.2">
      <c r="A109" s="211" t="s">
        <v>120</v>
      </c>
      <c r="B109" s="164">
        <v>7.6499999999999999E-2</v>
      </c>
      <c r="C109" s="94"/>
      <c r="D109" s="181" t="s">
        <v>120</v>
      </c>
      <c r="E109" s="182">
        <v>4.7E-2</v>
      </c>
      <c r="F109" s="94"/>
      <c r="I109" s="94"/>
    </row>
    <row r="110" spans="1:9" x14ac:dyDescent="0.2">
      <c r="A110" s="211" t="s">
        <v>60</v>
      </c>
      <c r="B110" s="164">
        <f>0.0022+0.0072</f>
        <v>9.4000000000000004E-3</v>
      </c>
      <c r="C110" s="99"/>
      <c r="D110" s="181" t="s">
        <v>60</v>
      </c>
      <c r="E110" s="182">
        <f>0.0022+0.0072</f>
        <v>9.4000000000000004E-3</v>
      </c>
      <c r="F110" s="99"/>
      <c r="I110" s="99"/>
    </row>
    <row r="111" spans="1:9" x14ac:dyDescent="0.2">
      <c r="A111" s="211" t="s">
        <v>288</v>
      </c>
      <c r="B111" s="165">
        <f>(+B5)/(1-0.0186)-B5</f>
        <v>9.4762584063582622E-2</v>
      </c>
      <c r="C111" s="89"/>
      <c r="D111" s="418">
        <v>2.4899999999999999E-2</v>
      </c>
      <c r="E111" s="417">
        <f>(E$6)/(1-D111)-(E$6)</f>
        <v>6.6393190442005867E-2</v>
      </c>
      <c r="F111" s="89"/>
      <c r="I111" s="89"/>
    </row>
    <row r="112" spans="1:9" x14ac:dyDescent="0.2">
      <c r="A112" s="211"/>
      <c r="B112" s="166">
        <f>SUM(B109:B111)</f>
        <v>0.18066258406358263</v>
      </c>
      <c r="C112" s="89"/>
      <c r="D112" s="181"/>
      <c r="E112" s="184">
        <f>SUM(E109:E111)</f>
        <v>0.12279319044200587</v>
      </c>
      <c r="F112" s="89"/>
      <c r="I112" s="89"/>
    </row>
    <row r="113" spans="1:9" x14ac:dyDescent="0.2">
      <c r="A113" s="212" t="s">
        <v>36</v>
      </c>
      <c r="B113" s="214" t="s">
        <v>678</v>
      </c>
      <c r="C113" s="91"/>
      <c r="D113" s="179" t="s">
        <v>109</v>
      </c>
      <c r="E113" s="180" t="s">
        <v>187</v>
      </c>
      <c r="F113" s="91"/>
      <c r="I113" s="91"/>
    </row>
    <row r="114" spans="1:9" x14ac:dyDescent="0.2">
      <c r="A114" s="211" t="s">
        <v>120</v>
      </c>
      <c r="B114" s="164">
        <v>7.6499999999999999E-2</v>
      </c>
      <c r="C114" s="94"/>
      <c r="D114" s="181" t="s">
        <v>120</v>
      </c>
      <c r="E114" s="182">
        <v>6.7900000000000002E-2</v>
      </c>
      <c r="F114" s="94"/>
      <c r="I114" s="94"/>
    </row>
    <row r="115" spans="1:9" x14ac:dyDescent="0.2">
      <c r="A115" s="211" t="s">
        <v>60</v>
      </c>
      <c r="B115" s="164">
        <f>0.0022+0.0072</f>
        <v>9.4000000000000004E-3</v>
      </c>
      <c r="D115" s="181" t="s">
        <v>60</v>
      </c>
      <c r="E115" s="182">
        <f>0.0022+0.0072</f>
        <v>9.4000000000000004E-3</v>
      </c>
    </row>
    <row r="116" spans="1:9" x14ac:dyDescent="0.2">
      <c r="A116" s="211" t="s">
        <v>679</v>
      </c>
      <c r="B116" s="165">
        <f>(+B$5)/(1-0.0127)-B$5</f>
        <v>6.4316823660488076E-2</v>
      </c>
      <c r="D116" s="418">
        <v>4.9799999999999997E-2</v>
      </c>
      <c r="E116" s="417">
        <f>(E$6)/(1-D116)-(E$6)</f>
        <v>0.13626604925278896</v>
      </c>
    </row>
    <row r="117" spans="1:9" x14ac:dyDescent="0.2">
      <c r="A117" s="211"/>
      <c r="B117" s="166">
        <f>SUM(B114:B116)</f>
        <v>0.15021682366048808</v>
      </c>
      <c r="D117" s="181"/>
      <c r="E117" s="184">
        <f>SUM(E114:E116)</f>
        <v>0.21356604925278896</v>
      </c>
    </row>
    <row r="118" spans="1:9" x14ac:dyDescent="0.2">
      <c r="A118" s="212" t="s">
        <v>36</v>
      </c>
      <c r="B118" s="214" t="s">
        <v>632</v>
      </c>
      <c r="D118" s="179" t="s">
        <v>109</v>
      </c>
      <c r="E118" s="180" t="s">
        <v>189</v>
      </c>
    </row>
    <row r="119" spans="1:9" x14ac:dyDescent="0.2">
      <c r="A119" s="211" t="s">
        <v>120</v>
      </c>
      <c r="B119" s="164">
        <v>6.4199999999999993E-2</v>
      </c>
      <c r="D119" s="181" t="s">
        <v>120</v>
      </c>
      <c r="E119" s="182">
        <v>8.2500000000000004E-2</v>
      </c>
    </row>
    <row r="120" spans="1:9" x14ac:dyDescent="0.2">
      <c r="A120" s="211" t="s">
        <v>60</v>
      </c>
      <c r="B120" s="164">
        <f>0.0022+0.0072</f>
        <v>9.4000000000000004E-3</v>
      </c>
      <c r="D120" s="181" t="s">
        <v>60</v>
      </c>
      <c r="E120" s="182">
        <f>0.0022+0.0072</f>
        <v>9.4000000000000004E-3</v>
      </c>
    </row>
    <row r="121" spans="1:9" x14ac:dyDescent="0.2">
      <c r="A121" s="211" t="s">
        <v>633</v>
      </c>
      <c r="B121" s="165">
        <f>(+B4)/(1-0.0186)-B4</f>
        <v>9.1919706541674806E-2</v>
      </c>
      <c r="D121" s="418">
        <v>6.6100000000000006E-2</v>
      </c>
      <c r="E121" s="417">
        <f>(E$6)/(1-D121)-(E$6)</f>
        <v>0.18402398543741327</v>
      </c>
    </row>
    <row r="122" spans="1:9" x14ac:dyDescent="0.2">
      <c r="A122" s="211"/>
      <c r="B122" s="166">
        <f>SUM(B119:B121)</f>
        <v>0.1655197065416748</v>
      </c>
      <c r="D122" s="181"/>
      <c r="E122" s="184">
        <f>SUM(E119:E121)</f>
        <v>0.27592398543741326</v>
      </c>
    </row>
    <row r="123" spans="1:9" x14ac:dyDescent="0.2">
      <c r="A123" s="212" t="s">
        <v>598</v>
      </c>
      <c r="B123" s="213"/>
      <c r="D123" s="179" t="s">
        <v>109</v>
      </c>
      <c r="E123" s="184" t="s">
        <v>191</v>
      </c>
    </row>
    <row r="124" spans="1:9" x14ac:dyDescent="0.2">
      <c r="A124" s="209" t="s">
        <v>120</v>
      </c>
      <c r="B124" s="164">
        <v>9.4000000000000004E-3</v>
      </c>
      <c r="D124" s="181" t="s">
        <v>120</v>
      </c>
      <c r="E124" s="187">
        <v>5.7799999999999997E-2</v>
      </c>
    </row>
    <row r="125" spans="1:9" x14ac:dyDescent="0.2">
      <c r="A125" s="209" t="s">
        <v>60</v>
      </c>
      <c r="B125" s="164">
        <v>2.2000000000000001E-3</v>
      </c>
      <c r="D125" s="181" t="s">
        <v>60</v>
      </c>
      <c r="E125" s="182">
        <f>0.0022</f>
        <v>2.2000000000000001E-3</v>
      </c>
    </row>
    <row r="126" spans="1:9" x14ac:dyDescent="0.2">
      <c r="A126" s="209" t="s">
        <v>556</v>
      </c>
      <c r="B126" s="165">
        <f>(+AC3+AC17)/(1-0.0131)-(+AC3+AC17)</f>
        <v>0</v>
      </c>
      <c r="D126" s="319">
        <v>3.78E-2</v>
      </c>
      <c r="E126" s="183">
        <f>(E$6)/(1-D126)-E$6</f>
        <v>0.10214092704219535</v>
      </c>
    </row>
    <row r="127" spans="1:9" x14ac:dyDescent="0.2">
      <c r="A127" s="211"/>
      <c r="B127" s="166">
        <f>SUM(B124:B126)</f>
        <v>1.1600000000000001E-2</v>
      </c>
      <c r="D127" s="181"/>
      <c r="E127" s="184">
        <f>SUM(E124:E126)</f>
        <v>0.16214092704219535</v>
      </c>
    </row>
    <row r="128" spans="1:9" x14ac:dyDescent="0.2">
      <c r="A128" s="212" t="s">
        <v>36</v>
      </c>
      <c r="B128" s="213" t="s">
        <v>186</v>
      </c>
      <c r="D128" s="179" t="s">
        <v>109</v>
      </c>
      <c r="E128" s="184" t="s">
        <v>193</v>
      </c>
    </row>
    <row r="129" spans="1:5" x14ac:dyDescent="0.2">
      <c r="A129" s="209" t="s">
        <v>120</v>
      </c>
      <c r="B129" s="164">
        <v>4.5900000000000003E-2</v>
      </c>
      <c r="D129" s="181" t="s">
        <v>120</v>
      </c>
      <c r="E129" s="187">
        <v>7.2300000000000003E-2</v>
      </c>
    </row>
    <row r="130" spans="1:5" x14ac:dyDescent="0.2">
      <c r="A130" s="209" t="s">
        <v>60</v>
      </c>
      <c r="B130" s="164">
        <f>0.0022+0.0072</f>
        <v>9.4000000000000004E-3</v>
      </c>
      <c r="D130" s="181" t="s">
        <v>60</v>
      </c>
      <c r="E130" s="182">
        <f>0.0022+0.0072</f>
        <v>9.4000000000000004E-3</v>
      </c>
    </row>
    <row r="131" spans="1:5" x14ac:dyDescent="0.2">
      <c r="A131" s="209" t="s">
        <v>289</v>
      </c>
      <c r="B131" s="165">
        <f>(+B5)/(1-0.0107)-B5</f>
        <v>5.407864146366137E-2</v>
      </c>
      <c r="D131" s="319">
        <v>5.45E-2</v>
      </c>
      <c r="E131" s="183">
        <f>(E$6)/(1-D131)-E$6</f>
        <v>0.14986779481755663</v>
      </c>
    </row>
    <row r="132" spans="1:5" x14ac:dyDescent="0.2">
      <c r="A132" s="211"/>
      <c r="B132" s="166">
        <f>SUM(B129:B131)</f>
        <v>0.10937864146366137</v>
      </c>
      <c r="D132" s="181"/>
      <c r="E132" s="184">
        <f>SUM(E129:E131)</f>
        <v>0.23156779481755663</v>
      </c>
    </row>
    <row r="133" spans="1:5" x14ac:dyDescent="0.2">
      <c r="A133" s="212" t="s">
        <v>36</v>
      </c>
      <c r="B133" s="213" t="s">
        <v>188</v>
      </c>
      <c r="D133" s="179" t="s">
        <v>109</v>
      </c>
      <c r="E133" s="184" t="s">
        <v>194</v>
      </c>
    </row>
    <row r="134" spans="1:5" x14ac:dyDescent="0.2">
      <c r="A134" s="209" t="s">
        <v>120</v>
      </c>
      <c r="B134" s="316">
        <f>0.1599-0.0022</f>
        <v>0.15769999999999998</v>
      </c>
      <c r="D134" s="181" t="s">
        <v>120</v>
      </c>
      <c r="E134" s="187">
        <v>5.1200000000000002E-2</v>
      </c>
    </row>
    <row r="135" spans="1:5" x14ac:dyDescent="0.2">
      <c r="A135" s="209" t="s">
        <v>60</v>
      </c>
      <c r="B135" s="164">
        <f>0.0022+0+0.0225+0.0072</f>
        <v>3.1899999999999998E-2</v>
      </c>
      <c r="D135" s="181" t="s">
        <v>60</v>
      </c>
      <c r="E135" s="182">
        <f>0.0022+0.0072</f>
        <v>9.4000000000000004E-3</v>
      </c>
    </row>
    <row r="136" spans="1:5" x14ac:dyDescent="0.2">
      <c r="A136" s="209" t="s">
        <v>280</v>
      </c>
      <c r="B136" s="210">
        <f>(B4)/(1-0.095)-B4</f>
        <v>0.50911602209944729</v>
      </c>
      <c r="D136" s="319">
        <v>2.9899999999999999E-2</v>
      </c>
      <c r="E136" s="416">
        <f>(E$7)/(1-D136)-E$7</f>
        <v>9.4468096072569896E-2</v>
      </c>
    </row>
    <row r="137" spans="1:5" x14ac:dyDescent="0.2">
      <c r="A137" s="211"/>
      <c r="B137" s="166">
        <f>SUM(B134:B136)</f>
        <v>0.69871602209944728</v>
      </c>
      <c r="D137" s="188"/>
      <c r="E137" s="189">
        <f>SUM(E134:E136)</f>
        <v>0.15506809607256988</v>
      </c>
    </row>
    <row r="138" spans="1:5" x14ac:dyDescent="0.2">
      <c r="A138" s="212" t="s">
        <v>36</v>
      </c>
      <c r="B138" s="213" t="s">
        <v>190</v>
      </c>
      <c r="D138" s="179"/>
      <c r="E138" s="184"/>
    </row>
    <row r="139" spans="1:5" x14ac:dyDescent="0.2">
      <c r="A139" s="209" t="s">
        <v>120</v>
      </c>
      <c r="B139" s="316">
        <f>0.3212-0.0022</f>
        <v>0.31900000000000001</v>
      </c>
      <c r="D139" s="167"/>
      <c r="E139" s="167"/>
    </row>
    <row r="140" spans="1:5" x14ac:dyDescent="0.2">
      <c r="A140" s="209" t="s">
        <v>60</v>
      </c>
      <c r="B140" s="164">
        <f>0.0022+0+0.0225+0.0072</f>
        <v>3.1899999999999998E-2</v>
      </c>
      <c r="D140" s="168"/>
      <c r="E140" s="168"/>
    </row>
    <row r="141" spans="1:5" x14ac:dyDescent="0.2">
      <c r="A141" s="209" t="s">
        <v>274</v>
      </c>
      <c r="B141" s="210">
        <f>(B3)/(1-0.0244)-B3</f>
        <v>0.11892373923739186</v>
      </c>
      <c r="D141" s="169"/>
      <c r="E141" s="169"/>
    </row>
    <row r="142" spans="1:5" x14ac:dyDescent="0.2">
      <c r="A142" s="211"/>
      <c r="B142" s="166">
        <f>SUM(B139:B141)</f>
        <v>0.46982373923739185</v>
      </c>
      <c r="D142" s="170"/>
      <c r="E142" s="170"/>
    </row>
    <row r="143" spans="1:5" x14ac:dyDescent="0.2">
      <c r="A143" s="212" t="s">
        <v>36</v>
      </c>
      <c r="B143" s="213" t="s">
        <v>192</v>
      </c>
      <c r="D143" s="167"/>
      <c r="E143" s="167"/>
    </row>
    <row r="144" spans="1:5" x14ac:dyDescent="0.2">
      <c r="A144" s="209" t="s">
        <v>120</v>
      </c>
      <c r="B144" s="316">
        <f>0.3703-0.0022</f>
        <v>0.36810000000000004</v>
      </c>
      <c r="D144" s="167"/>
      <c r="E144" s="167"/>
    </row>
    <row r="145" spans="1:5" x14ac:dyDescent="0.2">
      <c r="A145" s="209" t="s">
        <v>60</v>
      </c>
      <c r="B145" s="164">
        <f>0.0022+0+0.0225+0.0072</f>
        <v>3.1899999999999998E-2</v>
      </c>
      <c r="D145" s="168"/>
      <c r="E145" s="168"/>
    </row>
    <row r="146" spans="1:5" x14ac:dyDescent="0.2">
      <c r="A146" s="209" t="s">
        <v>282</v>
      </c>
      <c r="B146" s="210">
        <f>(B4)/(1-0.0369)-B4</f>
        <v>0.18582182535562275</v>
      </c>
      <c r="D146" s="169"/>
      <c r="E146" s="169"/>
    </row>
    <row r="147" spans="1:5" x14ac:dyDescent="0.2">
      <c r="A147" s="211"/>
      <c r="B147" s="166">
        <f>SUM(B144:B146)</f>
        <v>0.58582182535562277</v>
      </c>
      <c r="D147" s="170"/>
      <c r="E147" s="170"/>
    </row>
    <row r="148" spans="1:5" x14ac:dyDescent="0.2">
      <c r="A148" s="209" t="s">
        <v>47</v>
      </c>
      <c r="B148" s="164" t="s">
        <v>47</v>
      </c>
      <c r="D148" s="167"/>
      <c r="E148" s="167"/>
    </row>
    <row r="149" spans="1:5" x14ac:dyDescent="0.2">
      <c r="A149" s="212" t="s">
        <v>36</v>
      </c>
      <c r="B149" s="214" t="s">
        <v>195</v>
      </c>
      <c r="D149" s="167"/>
      <c r="E149" s="167"/>
    </row>
    <row r="150" spans="1:5" x14ac:dyDescent="0.2">
      <c r="A150" s="211" t="s">
        <v>120</v>
      </c>
      <c r="B150" s="316">
        <f>0.1786-0.0022</f>
        <v>0.1764</v>
      </c>
      <c r="D150" s="168"/>
      <c r="E150" s="168"/>
    </row>
    <row r="151" spans="1:5" x14ac:dyDescent="0.2">
      <c r="A151" s="211" t="s">
        <v>60</v>
      </c>
      <c r="B151" s="164">
        <f>0.0022+0.0072</f>
        <v>9.4000000000000004E-3</v>
      </c>
      <c r="D151" s="169"/>
      <c r="E151" s="169"/>
    </row>
    <row r="152" spans="1:5" x14ac:dyDescent="0.2">
      <c r="A152" s="211" t="s">
        <v>287</v>
      </c>
      <c r="B152" s="165">
        <f>(B5)/(1-0.0117)-B5</f>
        <v>5.9192552868562842E-2</v>
      </c>
      <c r="D152" s="169"/>
      <c r="E152" s="169"/>
    </row>
    <row r="153" spans="1:5" x14ac:dyDescent="0.2">
      <c r="A153" s="211"/>
      <c r="B153" s="166">
        <f>SUM(B150:B152)</f>
        <v>0.24499255286856284</v>
      </c>
      <c r="D153" s="171"/>
      <c r="E153" s="171"/>
    </row>
    <row r="154" spans="1:5" x14ac:dyDescent="0.2">
      <c r="A154" s="162"/>
      <c r="B154" s="162"/>
      <c r="D154" s="171"/>
      <c r="E154" s="171"/>
    </row>
    <row r="155" spans="1:5" x14ac:dyDescent="0.2">
      <c r="A155" s="209" t="s">
        <v>47</v>
      </c>
      <c r="B155" s="164" t="s">
        <v>47</v>
      </c>
      <c r="D155" s="171"/>
      <c r="E155" s="171"/>
    </row>
    <row r="156" spans="1:5" x14ac:dyDescent="0.2">
      <c r="A156" s="209" t="s">
        <v>47</v>
      </c>
      <c r="B156" s="164" t="s">
        <v>47</v>
      </c>
      <c r="D156" s="168"/>
      <c r="E156" s="168"/>
    </row>
    <row r="157" spans="1:5" x14ac:dyDescent="0.2">
      <c r="A157" s="162"/>
      <c r="B157" s="162"/>
      <c r="D157" s="169"/>
      <c r="E157" s="169"/>
    </row>
    <row r="158" spans="1:5" x14ac:dyDescent="0.2">
      <c r="A158" s="270"/>
      <c r="B158" s="270"/>
      <c r="D158" s="170"/>
      <c r="E158" s="170"/>
    </row>
    <row r="159" spans="1:5" x14ac:dyDescent="0.2">
      <c r="A159" s="271"/>
      <c r="B159" s="271"/>
      <c r="D159" s="167"/>
      <c r="E159" s="167"/>
    </row>
    <row r="160" spans="1:5" x14ac:dyDescent="0.2">
      <c r="A160" s="272" t="s">
        <v>47</v>
      </c>
      <c r="B160" s="190" t="s">
        <v>47</v>
      </c>
      <c r="D160" s="167"/>
      <c r="E160" s="167"/>
    </row>
    <row r="161" spans="1:5" x14ac:dyDescent="0.2">
      <c r="A161" s="272" t="s">
        <v>47</v>
      </c>
      <c r="B161" s="190" t="s">
        <v>47</v>
      </c>
      <c r="D161" s="168"/>
      <c r="E161" s="168"/>
    </row>
    <row r="162" spans="1:5" x14ac:dyDescent="0.2">
      <c r="A162" s="271"/>
      <c r="B162" s="271"/>
      <c r="D162" s="169"/>
      <c r="E162" s="169"/>
    </row>
    <row r="163" spans="1:5" x14ac:dyDescent="0.2">
      <c r="A163" s="271"/>
      <c r="B163" s="271"/>
    </row>
    <row r="164" spans="1:5" x14ac:dyDescent="0.2">
      <c r="A164" s="271"/>
      <c r="B164" s="271"/>
      <c r="D164" s="170"/>
      <c r="E164" s="170"/>
    </row>
    <row r="165" spans="1:5" x14ac:dyDescent="0.2">
      <c r="A165" s="271"/>
      <c r="B165" s="271"/>
      <c r="D165" s="167"/>
      <c r="E165" s="167"/>
    </row>
    <row r="166" spans="1:5" x14ac:dyDescent="0.2">
      <c r="D166" s="167"/>
      <c r="E166" s="167"/>
    </row>
    <row r="167" spans="1:5" x14ac:dyDescent="0.2">
      <c r="D167" s="168"/>
      <c r="E167" s="168"/>
    </row>
    <row r="168" spans="1:5" x14ac:dyDescent="0.2">
      <c r="D168" s="169"/>
      <c r="E168" s="169"/>
    </row>
    <row r="169" spans="1:5" x14ac:dyDescent="0.2">
      <c r="D169" s="170"/>
      <c r="E169" s="170"/>
    </row>
    <row r="170" spans="1:5" x14ac:dyDescent="0.2">
      <c r="D170" s="167"/>
      <c r="E170" s="167"/>
    </row>
    <row r="171" spans="1:5" x14ac:dyDescent="0.2">
      <c r="D171" s="167"/>
      <c r="E171" s="167"/>
    </row>
    <row r="172" spans="1:5" x14ac:dyDescent="0.2">
      <c r="D172" s="168"/>
      <c r="E172" s="168"/>
    </row>
    <row r="173" spans="1:5" x14ac:dyDescent="0.2">
      <c r="D173" s="169"/>
      <c r="E173" s="169"/>
    </row>
    <row r="200" spans="1:11" x14ac:dyDescent="0.2">
      <c r="A200" s="419"/>
      <c r="B200" s="419"/>
      <c r="J200" s="419"/>
      <c r="K200" s="419"/>
    </row>
  </sheetData>
  <pageMargins left="0.75" right="0.75" top="1" bottom="1" header="0.5" footer="0.5"/>
  <pageSetup orientation="portrait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G167"/>
  <sheetViews>
    <sheetView topLeftCell="A125" workbookViewId="0">
      <selection activeCell="G37" sqref="G37"/>
    </sheetView>
  </sheetViews>
  <sheetFormatPr defaultRowHeight="12.75" x14ac:dyDescent="0.2"/>
  <cols>
    <col min="3" max="3" width="4.85546875" customWidth="1"/>
    <col min="6" max="6" width="11.85546875" customWidth="1"/>
  </cols>
  <sheetData>
    <row r="1" spans="1:7" x14ac:dyDescent="0.2">
      <c r="A1" s="45" t="s">
        <v>22</v>
      </c>
      <c r="C1" s="45"/>
    </row>
    <row r="3" spans="1:7" x14ac:dyDescent="0.2">
      <c r="B3" t="s">
        <v>316</v>
      </c>
      <c r="G3" s="38"/>
    </row>
    <row r="5" spans="1:7" x14ac:dyDescent="0.2">
      <c r="B5" t="s">
        <v>325</v>
      </c>
    </row>
    <row r="7" spans="1:7" x14ac:dyDescent="0.2">
      <c r="C7" t="s">
        <v>290</v>
      </c>
    </row>
    <row r="8" spans="1:7" x14ac:dyDescent="0.2">
      <c r="D8" t="s">
        <v>326</v>
      </c>
      <c r="E8" t="s">
        <v>327</v>
      </c>
      <c r="F8" s="60">
        <v>3.88</v>
      </c>
    </row>
    <row r="9" spans="1:7" x14ac:dyDescent="0.2">
      <c r="D9" t="s">
        <v>290</v>
      </c>
      <c r="F9" s="61">
        <v>3.3300000000000003E-2</v>
      </c>
    </row>
    <row r="10" spans="1:7" x14ac:dyDescent="0.2">
      <c r="D10" t="s">
        <v>328</v>
      </c>
      <c r="F10" s="62">
        <v>4.7404500000000002E-2</v>
      </c>
      <c r="G10" t="s">
        <v>390</v>
      </c>
    </row>
    <row r="11" spans="1:7" x14ac:dyDescent="0.2">
      <c r="D11" t="s">
        <v>329</v>
      </c>
      <c r="F11" s="63">
        <f>+F8/(1-F10)-F8</f>
        <v>0.19308243635415057</v>
      </c>
    </row>
    <row r="12" spans="1:7" ht="13.5" thickBot="1" x14ac:dyDescent="0.25">
      <c r="D12" t="s">
        <v>330</v>
      </c>
      <c r="F12" s="64">
        <f>+F11+F9</f>
        <v>0.22638243635415056</v>
      </c>
    </row>
    <row r="13" spans="1:7" ht="13.5" thickTop="1" x14ac:dyDescent="0.2"/>
    <row r="14" spans="1:7" x14ac:dyDescent="0.2">
      <c r="C14" t="s">
        <v>291</v>
      </c>
    </row>
    <row r="15" spans="1:7" x14ac:dyDescent="0.2">
      <c r="D15" t="s">
        <v>326</v>
      </c>
      <c r="E15" t="s">
        <v>327</v>
      </c>
      <c r="F15" s="60">
        <v>3.88</v>
      </c>
    </row>
    <row r="16" spans="1:7" x14ac:dyDescent="0.2">
      <c r="D16" t="s">
        <v>291</v>
      </c>
      <c r="F16" s="61">
        <v>3.2500000000000001E-2</v>
      </c>
    </row>
    <row r="17" spans="2:6" x14ac:dyDescent="0.2">
      <c r="D17" t="s">
        <v>331</v>
      </c>
      <c r="F17" s="62">
        <v>0</v>
      </c>
    </row>
    <row r="18" spans="2:6" x14ac:dyDescent="0.2">
      <c r="D18" t="s">
        <v>329</v>
      </c>
      <c r="F18" s="63">
        <f>+F15/(1-F17)-F15</f>
        <v>0</v>
      </c>
    </row>
    <row r="19" spans="2:6" ht="13.5" thickBot="1" x14ac:dyDescent="0.25">
      <c r="D19" t="s">
        <v>330</v>
      </c>
      <c r="F19" s="64">
        <f>+F18+F16</f>
        <v>3.2500000000000001E-2</v>
      </c>
    </row>
    <row r="20" spans="2:6" ht="13.5" thickTop="1" x14ac:dyDescent="0.2"/>
    <row r="22" spans="2:6" x14ac:dyDescent="0.2">
      <c r="B22" t="s">
        <v>403</v>
      </c>
    </row>
    <row r="24" spans="2:6" x14ac:dyDescent="0.2">
      <c r="C24" t="s">
        <v>290</v>
      </c>
    </row>
    <row r="25" spans="2:6" x14ac:dyDescent="0.2">
      <c r="D25" t="s">
        <v>326</v>
      </c>
      <c r="E25" t="s">
        <v>327</v>
      </c>
      <c r="F25" s="60">
        <v>2.2000000000000002</v>
      </c>
    </row>
    <row r="26" spans="2:6" x14ac:dyDescent="0.2">
      <c r="D26" t="s">
        <v>290</v>
      </c>
      <c r="F26" s="61">
        <v>5.4000000000000003E-3</v>
      </c>
    </row>
    <row r="27" spans="2:6" x14ac:dyDescent="0.2">
      <c r="D27" t="s">
        <v>328</v>
      </c>
      <c r="F27" s="62">
        <v>1.9800000000000002E-2</v>
      </c>
    </row>
    <row r="28" spans="2:6" x14ac:dyDescent="0.2">
      <c r="D28" t="s">
        <v>329</v>
      </c>
      <c r="F28" s="63">
        <f>+F25/(1-F27)-F25</f>
        <v>4.4439910222403789E-2</v>
      </c>
    </row>
    <row r="29" spans="2:6" ht="13.5" thickBot="1" x14ac:dyDescent="0.25">
      <c r="D29" t="s">
        <v>330</v>
      </c>
      <c r="F29" s="64">
        <f>+F28+F26</f>
        <v>4.9839910222403791E-2</v>
      </c>
    </row>
    <row r="30" spans="2:6" ht="13.5" thickTop="1" x14ac:dyDescent="0.2"/>
    <row r="31" spans="2:6" x14ac:dyDescent="0.2">
      <c r="C31" t="s">
        <v>291</v>
      </c>
    </row>
    <row r="32" spans="2:6" x14ac:dyDescent="0.2">
      <c r="D32" t="s">
        <v>326</v>
      </c>
      <c r="E32" t="s">
        <v>327</v>
      </c>
      <c r="F32" s="60">
        <v>1.95</v>
      </c>
    </row>
    <row r="33" spans="2:7" x14ac:dyDescent="0.2">
      <c r="D33" t="s">
        <v>291</v>
      </c>
      <c r="F33" s="61">
        <v>5.4000000000000003E-3</v>
      </c>
    </row>
    <row r="34" spans="2:7" x14ac:dyDescent="0.2">
      <c r="D34" t="s">
        <v>331</v>
      </c>
      <c r="F34" s="62">
        <v>0</v>
      </c>
    </row>
    <row r="35" spans="2:7" x14ac:dyDescent="0.2">
      <c r="D35" t="s">
        <v>329</v>
      </c>
      <c r="F35" s="63">
        <f>+F32/(1-F34)-F32</f>
        <v>0</v>
      </c>
    </row>
    <row r="36" spans="2:7" ht="13.5" thickBot="1" x14ac:dyDescent="0.25">
      <c r="D36" t="s">
        <v>330</v>
      </c>
      <c r="F36" s="64">
        <f>+F35+F33</f>
        <v>5.4000000000000003E-3</v>
      </c>
    </row>
    <row r="37" spans="2:7" ht="13.5" thickTop="1" x14ac:dyDescent="0.2"/>
    <row r="39" spans="2:7" x14ac:dyDescent="0.2">
      <c r="B39" t="s">
        <v>332</v>
      </c>
    </row>
    <row r="41" spans="2:7" x14ac:dyDescent="0.2">
      <c r="C41" t="s">
        <v>290</v>
      </c>
    </row>
    <row r="42" spans="2:7" x14ac:dyDescent="0.2">
      <c r="D42" t="s">
        <v>326</v>
      </c>
      <c r="E42" t="s">
        <v>327</v>
      </c>
      <c r="F42" s="60">
        <v>2.2000000000000002</v>
      </c>
    </row>
    <row r="43" spans="2:7" x14ac:dyDescent="0.2">
      <c r="D43" t="s">
        <v>290</v>
      </c>
      <c r="F43" s="61">
        <v>2.1899999999999999E-2</v>
      </c>
    </row>
    <row r="44" spans="2:7" x14ac:dyDescent="0.2">
      <c r="D44" t="s">
        <v>328</v>
      </c>
      <c r="F44" s="62">
        <v>2.375E-2</v>
      </c>
      <c r="G44" t="s">
        <v>333</v>
      </c>
    </row>
    <row r="45" spans="2:7" x14ac:dyDescent="0.2">
      <c r="D45" t="s">
        <v>329</v>
      </c>
      <c r="F45" s="63">
        <f>+F42/(1-F44)-F42</f>
        <v>5.3521126760563309E-2</v>
      </c>
    </row>
    <row r="46" spans="2:7" ht="13.5" thickBot="1" x14ac:dyDescent="0.25">
      <c r="D46" t="s">
        <v>330</v>
      </c>
      <c r="F46" s="64">
        <f>+F45+F43</f>
        <v>7.5421126760563312E-2</v>
      </c>
    </row>
    <row r="47" spans="2:7" ht="13.5" thickTop="1" x14ac:dyDescent="0.2"/>
    <row r="48" spans="2:7" x14ac:dyDescent="0.2">
      <c r="C48" t="s">
        <v>291</v>
      </c>
    </row>
    <row r="49" spans="2:7" x14ac:dyDescent="0.2">
      <c r="D49" t="s">
        <v>326</v>
      </c>
      <c r="E49" t="s">
        <v>327</v>
      </c>
      <c r="F49" s="60">
        <v>1.95</v>
      </c>
    </row>
    <row r="50" spans="2:7" x14ac:dyDescent="0.2">
      <c r="D50" t="s">
        <v>291</v>
      </c>
      <c r="F50" s="61">
        <v>2.0899999999999998E-2</v>
      </c>
    </row>
    <row r="51" spans="2:7" x14ac:dyDescent="0.2">
      <c r="D51" t="s">
        <v>331</v>
      </c>
      <c r="F51" s="62">
        <v>4.7000000000000002E-3</v>
      </c>
    </row>
    <row r="52" spans="2:7" x14ac:dyDescent="0.2">
      <c r="D52" t="s">
        <v>329</v>
      </c>
      <c r="F52" s="63">
        <f>+F49/(1-F51)-F49</f>
        <v>9.2082789108811625E-3</v>
      </c>
    </row>
    <row r="53" spans="2:7" ht="13.5" thickBot="1" x14ac:dyDescent="0.25">
      <c r="D53" t="s">
        <v>330</v>
      </c>
      <c r="F53" s="64">
        <f>+F52+F50</f>
        <v>3.0108278910881161E-2</v>
      </c>
    </row>
    <row r="54" spans="2:7" ht="13.5" thickTop="1" x14ac:dyDescent="0.2"/>
    <row r="55" spans="2:7" x14ac:dyDescent="0.2">
      <c r="B55" t="s">
        <v>391</v>
      </c>
    </row>
    <row r="57" spans="2:7" x14ac:dyDescent="0.2">
      <c r="C57" t="s">
        <v>290</v>
      </c>
    </row>
    <row r="58" spans="2:7" x14ac:dyDescent="0.2">
      <c r="D58" t="s">
        <v>326</v>
      </c>
      <c r="E58" t="s">
        <v>327</v>
      </c>
      <c r="F58" s="60">
        <v>2.2000000000000002</v>
      </c>
    </row>
    <row r="59" spans="2:7" x14ac:dyDescent="0.2">
      <c r="D59" t="s">
        <v>290</v>
      </c>
      <c r="F59" s="61">
        <v>3.3399999999999999E-2</v>
      </c>
      <c r="G59" t="s">
        <v>392</v>
      </c>
    </row>
    <row r="60" spans="2:7" x14ac:dyDescent="0.2">
      <c r="D60" t="s">
        <v>393</v>
      </c>
      <c r="F60" s="61">
        <v>7.2700000000000001E-2</v>
      </c>
      <c r="G60" t="s">
        <v>394</v>
      </c>
    </row>
    <row r="61" spans="2:7" x14ac:dyDescent="0.2">
      <c r="D61" t="s">
        <v>328</v>
      </c>
      <c r="F61" s="62">
        <v>0</v>
      </c>
    </row>
    <row r="62" spans="2:7" x14ac:dyDescent="0.2">
      <c r="D62" t="s">
        <v>329</v>
      </c>
      <c r="F62" s="63">
        <f>+F58/(1-F61)-F58</f>
        <v>0</v>
      </c>
    </row>
    <row r="63" spans="2:7" ht="13.5" thickBot="1" x14ac:dyDescent="0.25">
      <c r="D63" t="s">
        <v>330</v>
      </c>
      <c r="F63" s="64">
        <f>SUM(F59:F60,F62)</f>
        <v>0.1061</v>
      </c>
    </row>
    <row r="64" spans="2:7" ht="13.5" thickTop="1" x14ac:dyDescent="0.2"/>
    <row r="65" spans="2:7" x14ac:dyDescent="0.2">
      <c r="C65" t="s">
        <v>291</v>
      </c>
    </row>
    <row r="66" spans="2:7" x14ac:dyDescent="0.2">
      <c r="D66" t="s">
        <v>326</v>
      </c>
      <c r="E66" t="s">
        <v>327</v>
      </c>
      <c r="F66" s="60">
        <v>1.95</v>
      </c>
    </row>
    <row r="67" spans="2:7" x14ac:dyDescent="0.2">
      <c r="D67" t="s">
        <v>393</v>
      </c>
      <c r="F67" s="61">
        <v>7.2700000000000001E-2</v>
      </c>
      <c r="G67" t="s">
        <v>395</v>
      </c>
    </row>
    <row r="68" spans="2:7" x14ac:dyDescent="0.2">
      <c r="D68" t="s">
        <v>291</v>
      </c>
      <c r="F68" s="61">
        <v>2.64E-2</v>
      </c>
      <c r="G68" t="s">
        <v>396</v>
      </c>
    </row>
    <row r="69" spans="2:7" x14ac:dyDescent="0.2">
      <c r="D69" t="s">
        <v>331</v>
      </c>
      <c r="F69" s="62">
        <v>0</v>
      </c>
    </row>
    <row r="70" spans="2:7" x14ac:dyDescent="0.2">
      <c r="D70" t="s">
        <v>329</v>
      </c>
      <c r="F70" s="63">
        <f>+F66/(1-F69)-F66</f>
        <v>0</v>
      </c>
    </row>
    <row r="71" spans="2:7" ht="13.5" thickBot="1" x14ac:dyDescent="0.25">
      <c r="D71" t="s">
        <v>330</v>
      </c>
      <c r="F71" s="64">
        <f>SUM(F67:F68,F70)</f>
        <v>9.9099999999999994E-2</v>
      </c>
    </row>
    <row r="72" spans="2:7" ht="13.5" thickTop="1" x14ac:dyDescent="0.2"/>
    <row r="74" spans="2:7" x14ac:dyDescent="0.2">
      <c r="B74" s="45" t="s">
        <v>383</v>
      </c>
    </row>
    <row r="76" spans="2:7" x14ac:dyDescent="0.2">
      <c r="D76" t="s">
        <v>326</v>
      </c>
      <c r="E76" t="s">
        <v>327</v>
      </c>
      <c r="F76" s="60">
        <v>2.8</v>
      </c>
    </row>
    <row r="77" spans="2:7" x14ac:dyDescent="0.2">
      <c r="D77" t="s">
        <v>252</v>
      </c>
      <c r="F77" s="61">
        <v>5.7000000000000002E-3</v>
      </c>
    </row>
    <row r="78" spans="2:7" x14ac:dyDescent="0.2">
      <c r="D78" t="s">
        <v>384</v>
      </c>
      <c r="F78" s="61">
        <f>0.0022+0.0075</f>
        <v>9.7000000000000003E-3</v>
      </c>
      <c r="G78" t="s">
        <v>385</v>
      </c>
    </row>
    <row r="79" spans="2:7" x14ac:dyDescent="0.2">
      <c r="D79" t="s">
        <v>200</v>
      </c>
      <c r="F79" s="62">
        <v>7.1999999999999998E-3</v>
      </c>
    </row>
    <row r="80" spans="2:7" x14ac:dyDescent="0.2">
      <c r="D80" t="s">
        <v>329</v>
      </c>
      <c r="F80" s="63">
        <f>+F76/(1-F79)-F76</f>
        <v>2.0306204673650186E-2</v>
      </c>
    </row>
    <row r="81" spans="1:6" ht="13.5" thickBot="1" x14ac:dyDescent="0.25">
      <c r="D81" t="s">
        <v>330</v>
      </c>
      <c r="F81" s="64">
        <f>SUM(F80,F78,F77)</f>
        <v>3.5706204673650183E-2</v>
      </c>
    </row>
    <row r="82" spans="1:6" ht="13.5" thickTop="1" x14ac:dyDescent="0.2"/>
    <row r="96" spans="1:6" x14ac:dyDescent="0.2">
      <c r="A96" s="45" t="s">
        <v>114</v>
      </c>
    </row>
    <row r="98" spans="2:6" x14ac:dyDescent="0.2">
      <c r="B98" t="s">
        <v>316</v>
      </c>
    </row>
    <row r="100" spans="2:6" x14ac:dyDescent="0.2">
      <c r="B100" t="s">
        <v>338</v>
      </c>
    </row>
    <row r="101" spans="2:6" x14ac:dyDescent="0.2">
      <c r="C101" t="s">
        <v>290</v>
      </c>
    </row>
    <row r="102" spans="2:6" x14ac:dyDescent="0.2">
      <c r="D102" t="s">
        <v>326</v>
      </c>
      <c r="E102" t="s">
        <v>339</v>
      </c>
      <c r="F102" s="60">
        <f>0.18+2.27</f>
        <v>2.4500000000000002</v>
      </c>
    </row>
    <row r="103" spans="2:6" x14ac:dyDescent="0.2">
      <c r="D103" t="s">
        <v>290</v>
      </c>
      <c r="F103" s="61">
        <v>1.6199999999999999E-2</v>
      </c>
    </row>
    <row r="104" spans="2:6" x14ac:dyDescent="0.2">
      <c r="D104" t="s">
        <v>328</v>
      </c>
      <c r="F104" s="62">
        <v>2.7799999999999998E-2</v>
      </c>
    </row>
    <row r="105" spans="2:6" x14ac:dyDescent="0.2">
      <c r="D105" t="s">
        <v>329</v>
      </c>
      <c r="F105" s="63">
        <f>+F102/(1-F104)-F102</f>
        <v>7.0057601316601659E-2</v>
      </c>
    </row>
    <row r="106" spans="2:6" ht="13.5" thickBot="1" x14ac:dyDescent="0.25">
      <c r="D106" t="s">
        <v>330</v>
      </c>
      <c r="F106" s="64">
        <f>+F105+F103</f>
        <v>8.6257601316601651E-2</v>
      </c>
    </row>
    <row r="107" spans="2:6" ht="13.5" thickTop="1" x14ac:dyDescent="0.2"/>
    <row r="108" spans="2:6" x14ac:dyDescent="0.2">
      <c r="C108" t="s">
        <v>291</v>
      </c>
    </row>
    <row r="109" spans="2:6" x14ac:dyDescent="0.2">
      <c r="D109" t="s">
        <v>326</v>
      </c>
      <c r="E109" t="s">
        <v>339</v>
      </c>
      <c r="F109" s="60">
        <v>1.95</v>
      </c>
    </row>
    <row r="110" spans="2:6" x14ac:dyDescent="0.2">
      <c r="D110" t="s">
        <v>291</v>
      </c>
      <c r="F110" s="61">
        <v>1.47E-2</v>
      </c>
    </row>
    <row r="111" spans="2:6" x14ac:dyDescent="0.2">
      <c r="D111" t="s">
        <v>340</v>
      </c>
      <c r="F111" s="61">
        <v>-5.9999999999999995E-4</v>
      </c>
    </row>
    <row r="112" spans="2:6" x14ac:dyDescent="0.2">
      <c r="D112" t="s">
        <v>331</v>
      </c>
      <c r="F112" s="62">
        <v>0</v>
      </c>
    </row>
    <row r="113" spans="2:6" x14ac:dyDescent="0.2">
      <c r="D113" t="s">
        <v>329</v>
      </c>
      <c r="F113" s="63">
        <f>+F109/(1-F112)-F109</f>
        <v>0</v>
      </c>
    </row>
    <row r="114" spans="2:6" ht="13.5" thickBot="1" x14ac:dyDescent="0.25">
      <c r="D114" t="s">
        <v>330</v>
      </c>
      <c r="F114" s="64">
        <f>SUM(F110:F111,F113)</f>
        <v>1.41E-2</v>
      </c>
    </row>
    <row r="115" spans="2:6" ht="13.5" thickTop="1" x14ac:dyDescent="0.2"/>
    <row r="116" spans="2:6" x14ac:dyDescent="0.2">
      <c r="C116" t="s">
        <v>341</v>
      </c>
    </row>
    <row r="117" spans="2:6" x14ac:dyDescent="0.2">
      <c r="C117" t="s">
        <v>342</v>
      </c>
    </row>
    <row r="121" spans="2:6" x14ac:dyDescent="0.2">
      <c r="B121" s="45" t="s">
        <v>379</v>
      </c>
    </row>
    <row r="123" spans="2:6" x14ac:dyDescent="0.2">
      <c r="B123" t="s">
        <v>316</v>
      </c>
    </row>
    <row r="125" spans="2:6" x14ac:dyDescent="0.2">
      <c r="B125" t="s">
        <v>380</v>
      </c>
    </row>
    <row r="126" spans="2:6" x14ac:dyDescent="0.2">
      <c r="C126" t="s">
        <v>290</v>
      </c>
    </row>
    <row r="127" spans="2:6" x14ac:dyDescent="0.2">
      <c r="D127" t="s">
        <v>326</v>
      </c>
      <c r="E127" t="s">
        <v>339</v>
      </c>
      <c r="F127" s="60">
        <v>2.48</v>
      </c>
    </row>
    <row r="128" spans="2:6" x14ac:dyDescent="0.2">
      <c r="D128" t="s">
        <v>290</v>
      </c>
      <c r="F128" s="61">
        <v>8.8999999999999999E-3</v>
      </c>
    </row>
    <row r="129" spans="2:6" x14ac:dyDescent="0.2">
      <c r="D129" t="s">
        <v>328</v>
      </c>
      <c r="F129" s="62">
        <v>6.4999999999999997E-3</v>
      </c>
    </row>
    <row r="130" spans="2:6" x14ac:dyDescent="0.2">
      <c r="D130" t="s">
        <v>329</v>
      </c>
      <c r="F130" s="63">
        <f>+F127/(1-F129)-F127</f>
        <v>1.6225465525918192E-2</v>
      </c>
    </row>
    <row r="131" spans="2:6" ht="13.5" thickBot="1" x14ac:dyDescent="0.25">
      <c r="D131" t="s">
        <v>330</v>
      </c>
      <c r="F131" s="64">
        <f>+F130+F128</f>
        <v>2.5125465525918191E-2</v>
      </c>
    </row>
    <row r="132" spans="2:6" ht="13.5" thickTop="1" x14ac:dyDescent="0.2"/>
    <row r="133" spans="2:6" x14ac:dyDescent="0.2">
      <c r="B133" t="s">
        <v>382</v>
      </c>
    </row>
    <row r="134" spans="2:6" x14ac:dyDescent="0.2">
      <c r="C134" t="s">
        <v>290</v>
      </c>
    </row>
    <row r="135" spans="2:6" x14ac:dyDescent="0.2">
      <c r="D135" t="s">
        <v>326</v>
      </c>
      <c r="E135" t="s">
        <v>339</v>
      </c>
      <c r="F135" s="60">
        <v>2.48</v>
      </c>
    </row>
    <row r="136" spans="2:6" x14ac:dyDescent="0.2">
      <c r="D136" t="s">
        <v>381</v>
      </c>
      <c r="F136" s="61">
        <v>7.9000000000000008E-3</v>
      </c>
    </row>
    <row r="137" spans="2:6" x14ac:dyDescent="0.2">
      <c r="D137" t="s">
        <v>344</v>
      </c>
      <c r="F137" s="61">
        <v>2.2000000000000001E-3</v>
      </c>
    </row>
    <row r="138" spans="2:6" x14ac:dyDescent="0.2">
      <c r="D138" t="s">
        <v>328</v>
      </c>
      <c r="F138" s="109">
        <v>3.2500000000000001E-2</v>
      </c>
    </row>
    <row r="139" spans="2:6" x14ac:dyDescent="0.2">
      <c r="D139" t="s">
        <v>329</v>
      </c>
      <c r="F139" s="110">
        <f>+F135/(1-F138)-F135</f>
        <v>8.3307493540051514E-2</v>
      </c>
    </row>
    <row r="140" spans="2:6" ht="13.5" thickBot="1" x14ac:dyDescent="0.25">
      <c r="D140" t="s">
        <v>330</v>
      </c>
      <c r="F140" s="64">
        <f>SUM(F136:F137,F139)</f>
        <v>9.3407493540051512E-2</v>
      </c>
    </row>
    <row r="141" spans="2:6" ht="13.5" thickTop="1" x14ac:dyDescent="0.2">
      <c r="F141" s="107"/>
    </row>
    <row r="142" spans="2:6" x14ac:dyDescent="0.2">
      <c r="F142" s="107"/>
    </row>
    <row r="143" spans="2:6" x14ac:dyDescent="0.2">
      <c r="B143" t="s">
        <v>380</v>
      </c>
    </row>
    <row r="144" spans="2:6" x14ac:dyDescent="0.2">
      <c r="C144" t="s">
        <v>291</v>
      </c>
    </row>
    <row r="145" spans="2:6" x14ac:dyDescent="0.2">
      <c r="D145" t="s">
        <v>326</v>
      </c>
      <c r="E145" t="s">
        <v>339</v>
      </c>
      <c r="F145" s="60">
        <v>1.95</v>
      </c>
    </row>
    <row r="146" spans="2:6" x14ac:dyDescent="0.2">
      <c r="D146" t="s">
        <v>291</v>
      </c>
      <c r="F146" s="61">
        <v>8.8999999999999999E-3</v>
      </c>
    </row>
    <row r="147" spans="2:6" x14ac:dyDescent="0.2">
      <c r="D147" t="s">
        <v>331</v>
      </c>
      <c r="F147" s="62">
        <v>0</v>
      </c>
    </row>
    <row r="148" spans="2:6" x14ac:dyDescent="0.2">
      <c r="D148" t="s">
        <v>329</v>
      </c>
      <c r="F148" s="63">
        <f>+F145/(1-F147)-F145</f>
        <v>0</v>
      </c>
    </row>
    <row r="149" spans="2:6" ht="13.5" thickBot="1" x14ac:dyDescent="0.25">
      <c r="D149" t="s">
        <v>330</v>
      </c>
      <c r="F149" s="64">
        <f>SUM(F146,F148)</f>
        <v>8.8999999999999999E-3</v>
      </c>
    </row>
    <row r="150" spans="2:6" ht="13.5" thickTop="1" x14ac:dyDescent="0.2"/>
    <row r="151" spans="2:6" x14ac:dyDescent="0.2">
      <c r="B151" t="s">
        <v>382</v>
      </c>
    </row>
    <row r="152" spans="2:6" x14ac:dyDescent="0.2">
      <c r="C152" t="s">
        <v>291</v>
      </c>
    </row>
    <row r="153" spans="2:6" x14ac:dyDescent="0.2">
      <c r="D153" t="s">
        <v>326</v>
      </c>
      <c r="E153" t="s">
        <v>339</v>
      </c>
      <c r="F153" s="60">
        <v>2.48</v>
      </c>
    </row>
    <row r="154" spans="2:6" x14ac:dyDescent="0.2">
      <c r="D154" t="s">
        <v>381</v>
      </c>
      <c r="F154" s="61">
        <v>7.9000000000000008E-3</v>
      </c>
    </row>
    <row r="155" spans="2:6" x14ac:dyDescent="0.2">
      <c r="D155" t="s">
        <v>344</v>
      </c>
      <c r="F155" s="61">
        <v>2.2000000000000001E-3</v>
      </c>
    </row>
    <row r="156" spans="2:6" x14ac:dyDescent="0.2">
      <c r="D156" t="s">
        <v>331</v>
      </c>
      <c r="F156" s="109">
        <v>0</v>
      </c>
    </row>
    <row r="157" spans="2:6" x14ac:dyDescent="0.2">
      <c r="D157" t="s">
        <v>329</v>
      </c>
      <c r="F157" s="110">
        <f>+F153/(1-F156)-F153</f>
        <v>0</v>
      </c>
    </row>
    <row r="158" spans="2:6" ht="13.5" thickBot="1" x14ac:dyDescent="0.25">
      <c r="D158" t="s">
        <v>330</v>
      </c>
      <c r="F158" s="64">
        <f>SUM(F154:F155,F157)</f>
        <v>1.0100000000000001E-2</v>
      </c>
    </row>
    <row r="159" spans="2:6" ht="13.5" thickTop="1" x14ac:dyDescent="0.2"/>
    <row r="161" spans="3:7" x14ac:dyDescent="0.2">
      <c r="C161" s="102"/>
      <c r="D161" s="102"/>
      <c r="E161" s="102"/>
      <c r="F161" s="102"/>
      <c r="G161" s="102"/>
    </row>
    <row r="162" spans="3:7" x14ac:dyDescent="0.2">
      <c r="C162" s="102"/>
      <c r="D162" s="102"/>
      <c r="E162" s="102"/>
      <c r="F162" s="107"/>
      <c r="G162" s="102"/>
    </row>
    <row r="163" spans="3:7" x14ac:dyDescent="0.2">
      <c r="C163" s="102"/>
      <c r="D163" s="102"/>
      <c r="E163" s="102"/>
      <c r="F163" s="108"/>
      <c r="G163" s="102"/>
    </row>
    <row r="164" spans="3:7" x14ac:dyDescent="0.2">
      <c r="C164" s="102"/>
      <c r="D164" s="102"/>
      <c r="E164" s="102"/>
      <c r="F164" s="109"/>
      <c r="G164" s="102"/>
    </row>
    <row r="165" spans="3:7" x14ac:dyDescent="0.2">
      <c r="C165" s="102"/>
      <c r="D165" s="102"/>
      <c r="E165" s="102"/>
      <c r="F165" s="107"/>
      <c r="G165" s="102"/>
    </row>
    <row r="166" spans="3:7" x14ac:dyDescent="0.2">
      <c r="C166" s="102"/>
      <c r="D166" s="102"/>
      <c r="E166" s="102"/>
      <c r="F166" s="107"/>
      <c r="G166" s="102"/>
    </row>
    <row r="167" spans="3:7" x14ac:dyDescent="0.2">
      <c r="C167" s="102"/>
      <c r="D167" s="102"/>
      <c r="E167" s="102"/>
      <c r="F167" s="102"/>
      <c r="G167" s="102"/>
    </row>
  </sheetData>
  <pageMargins left="0.75" right="0.75" top="1" bottom="1" header="0.5" footer="0.5"/>
  <pageSetup scale="2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IT &amp; Pooling</vt:lpstr>
      <vt:lpstr>CES IT</vt:lpstr>
      <vt:lpstr>East Capacity</vt:lpstr>
      <vt:lpstr>Mrkt East Capacity</vt:lpstr>
      <vt:lpstr>Feb Matrix</vt:lpstr>
      <vt:lpstr>Rates</vt:lpstr>
      <vt:lpstr>Notes</vt:lpstr>
      <vt:lpstr>Offseason Rate</vt:lpstr>
      <vt:lpstr>Special Rates</vt:lpstr>
      <vt:lpstr>Basis</vt:lpstr>
      <vt:lpstr>Basis!Print_Area</vt:lpstr>
      <vt:lpstr>'Feb Matrix'!Print_Area</vt:lpstr>
      <vt:lpstr>'Mrkt East Capacity'!Print_Area</vt:lpstr>
      <vt:lpstr>Rates!Print_Area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2001-02-13T13:50:15Z</cp:lastPrinted>
  <dcterms:created xsi:type="dcterms:W3CDTF">1998-07-21T12:15:25Z</dcterms:created>
  <dcterms:modified xsi:type="dcterms:W3CDTF">2014-09-03T12:29:33Z</dcterms:modified>
</cp:coreProperties>
</file>