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255" windowWidth="14790" windowHeight="8850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East'!$A$1:$AC$109</definedName>
    <definedName name="_xlnm.Print_Area" localSheetId="6">'New Retail Mrkt'!$A$7:$V$66</definedName>
  </definedNames>
  <calcPr calcId="15251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R6" i="30"/>
  <c r="S6" i="30"/>
  <c r="N6" i="22" s="1"/>
  <c r="A7" i="30"/>
  <c r="B7" i="30"/>
  <c r="C7" i="30"/>
  <c r="D7" i="30"/>
  <c r="F7" i="30"/>
  <c r="G7" i="30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J7" i="30"/>
  <c r="J8" i="30" s="1"/>
  <c r="K7" i="30"/>
  <c r="N7" i="30"/>
  <c r="A8" i="30"/>
  <c r="A9" i="30" s="1"/>
  <c r="A10" i="30" s="1"/>
  <c r="A11" i="30" s="1"/>
  <c r="B8" i="30"/>
  <c r="B9" i="30" s="1"/>
  <c r="B10" i="30" s="1"/>
  <c r="C8" i="30"/>
  <c r="K8" i="30"/>
  <c r="N8" i="30"/>
  <c r="C9" i="30"/>
  <c r="J9" i="30"/>
  <c r="J10" i="30" s="1"/>
  <c r="J11" i="30"/>
  <c r="A12" i="30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B14" i="30"/>
  <c r="B16" i="30"/>
  <c r="B18" i="30"/>
  <c r="B19" i="30" s="1"/>
  <c r="R5" i="22"/>
  <c r="F6" i="22"/>
  <c r="I6" i="22"/>
  <c r="K6" i="22"/>
  <c r="O6" i="22"/>
  <c r="Y6" i="22"/>
  <c r="A7" i="22"/>
  <c r="C7" i="22"/>
  <c r="F7" i="22"/>
  <c r="H7" i="22"/>
  <c r="H8" i="22" s="1"/>
  <c r="I7" i="22"/>
  <c r="M7" i="22"/>
  <c r="M8" i="22" s="1"/>
  <c r="Y7" i="22"/>
  <c r="A8" i="22"/>
  <c r="A9" i="22" s="1"/>
  <c r="A10" i="22" s="1"/>
  <c r="A11" i="22" s="1"/>
  <c r="A12" i="22" s="1"/>
  <c r="A13" i="22" s="1"/>
  <c r="A14" i="22" s="1"/>
  <c r="A15" i="22" s="1"/>
  <c r="C8" i="22"/>
  <c r="F8" i="22"/>
  <c r="I8" i="22"/>
  <c r="K8" i="22"/>
  <c r="Y8" i="22"/>
  <c r="C9" i="22"/>
  <c r="K9" i="22" s="1"/>
  <c r="F9" i="22"/>
  <c r="H9" i="22"/>
  <c r="I9" i="22"/>
  <c r="Y9" i="22"/>
  <c r="C10" i="22"/>
  <c r="F10" i="22"/>
  <c r="H10" i="22"/>
  <c r="Y10" i="22"/>
  <c r="F11" i="22"/>
  <c r="Y11" i="22"/>
  <c r="F12" i="22"/>
  <c r="Y12" i="22"/>
  <c r="F13" i="22"/>
  <c r="Y13" i="22"/>
  <c r="F14" i="22"/>
  <c r="Y14" i="22"/>
  <c r="F15" i="22"/>
  <c r="Y15" i="22"/>
  <c r="A16" i="22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F16" i="22"/>
  <c r="Y16" i="22"/>
  <c r="F17" i="22"/>
  <c r="Y17" i="22"/>
  <c r="F18" i="22"/>
  <c r="Y18" i="22"/>
  <c r="F19" i="22"/>
  <c r="Y19" i="22"/>
  <c r="F20" i="22"/>
  <c r="Y20" i="22"/>
  <c r="F21" i="22"/>
  <c r="Y21" i="22"/>
  <c r="F22" i="22"/>
  <c r="Y22" i="22"/>
  <c r="F23" i="22"/>
  <c r="Y23" i="22"/>
  <c r="F24" i="22"/>
  <c r="Y24" i="22"/>
  <c r="F25" i="22"/>
  <c r="Y25" i="22"/>
  <c r="F26" i="22"/>
  <c r="Y26" i="22"/>
  <c r="F27" i="22"/>
  <c r="Y27" i="22"/>
  <c r="F28" i="22"/>
  <c r="Y28" i="22"/>
  <c r="F29" i="22"/>
  <c r="Y29" i="22"/>
  <c r="F30" i="22"/>
  <c r="Y30" i="22"/>
  <c r="F31" i="22"/>
  <c r="Y31" i="22"/>
  <c r="F32" i="22"/>
  <c r="Y32" i="22"/>
  <c r="B33" i="22"/>
  <c r="E33" i="22"/>
  <c r="E38" i="22" s="1"/>
  <c r="Y33" i="22"/>
  <c r="E41" i="22"/>
  <c r="W11" i="19"/>
  <c r="J12" i="19"/>
  <c r="T12" i="19" s="1"/>
  <c r="J13" i="19"/>
  <c r="T13" i="19" s="1"/>
  <c r="J14" i="19"/>
  <c r="T14" i="19"/>
  <c r="J15" i="19"/>
  <c r="T15" i="19" s="1"/>
  <c r="J16" i="19"/>
  <c r="P16" i="19" s="1"/>
  <c r="T16" i="19"/>
  <c r="J17" i="19"/>
  <c r="J18" i="19"/>
  <c r="P18" i="19"/>
  <c r="T18" i="19"/>
  <c r="J19" i="19"/>
  <c r="T19" i="19" s="1"/>
  <c r="J20" i="19"/>
  <c r="T20" i="19" s="1"/>
  <c r="J21" i="19"/>
  <c r="T21" i="19" s="1"/>
  <c r="J22" i="19"/>
  <c r="T22" i="19" s="1"/>
  <c r="J23" i="19"/>
  <c r="T23" i="19" s="1"/>
  <c r="J24" i="19"/>
  <c r="T24" i="19"/>
  <c r="J25" i="19"/>
  <c r="T25" i="19" s="1"/>
  <c r="R27" i="19"/>
  <c r="W28" i="19"/>
  <c r="P29" i="19"/>
  <c r="T29" i="19"/>
  <c r="J30" i="19"/>
  <c r="T30" i="19" s="1"/>
  <c r="P30" i="19"/>
  <c r="P31" i="19"/>
  <c r="T31" i="19"/>
  <c r="J32" i="19"/>
  <c r="P33" i="19"/>
  <c r="T33" i="19"/>
  <c r="J34" i="19"/>
  <c r="P34" i="19"/>
  <c r="T34" i="19"/>
  <c r="W34" i="19"/>
  <c r="P35" i="19"/>
  <c r="T35" i="19"/>
  <c r="J36" i="19"/>
  <c r="W36" i="19"/>
  <c r="P37" i="19"/>
  <c r="T37" i="19"/>
  <c r="J38" i="19"/>
  <c r="P38" i="19" s="1"/>
  <c r="T38" i="19"/>
  <c r="W38" i="19"/>
  <c r="P39" i="19"/>
  <c r="T39" i="19"/>
  <c r="J40" i="19"/>
  <c r="T40" i="19" s="1"/>
  <c r="P40" i="19"/>
  <c r="W40" i="19"/>
  <c r="J41" i="19"/>
  <c r="T41" i="19" s="1"/>
  <c r="J42" i="19"/>
  <c r="T42" i="19"/>
  <c r="J43" i="19"/>
  <c r="T43" i="19" s="1"/>
  <c r="J44" i="19"/>
  <c r="T44" i="19" s="1"/>
  <c r="J45" i="19"/>
  <c r="T45" i="19"/>
  <c r="J46" i="19"/>
  <c r="T46" i="19"/>
  <c r="J47" i="19"/>
  <c r="T47" i="19"/>
  <c r="J48" i="19"/>
  <c r="T48" i="19" s="1"/>
  <c r="J49" i="19"/>
  <c r="T49" i="19" s="1"/>
  <c r="J50" i="19"/>
  <c r="T50" i="19"/>
  <c r="J51" i="19"/>
  <c r="T51" i="19"/>
  <c r="J52" i="19"/>
  <c r="T52" i="19" s="1"/>
  <c r="J53" i="19"/>
  <c r="T53" i="19"/>
  <c r="J54" i="19"/>
  <c r="T54" i="19"/>
  <c r="J55" i="19"/>
  <c r="T55" i="19" s="1"/>
  <c r="R56" i="19"/>
  <c r="W58" i="19"/>
  <c r="T60" i="19"/>
  <c r="W61" i="19"/>
  <c r="J62" i="19"/>
  <c r="Q63" i="19"/>
  <c r="Q64" i="19" s="1"/>
  <c r="S63" i="19"/>
  <c r="S64" i="19" s="1"/>
  <c r="V63" i="19"/>
  <c r="V64" i="19"/>
  <c r="J65" i="19"/>
  <c r="P65" i="19"/>
  <c r="T65" i="19"/>
  <c r="F66" i="19"/>
  <c r="F67" i="19" s="1"/>
  <c r="J66" i="19"/>
  <c r="P66" i="19" s="1"/>
  <c r="Q66" i="19"/>
  <c r="Q67" i="19" s="1"/>
  <c r="S66" i="19"/>
  <c r="S67" i="19" s="1"/>
  <c r="V66" i="19"/>
  <c r="V67" i="19" s="1"/>
  <c r="J67" i="19"/>
  <c r="R67" i="19"/>
  <c r="J68" i="19"/>
  <c r="J69" i="19"/>
  <c r="P69" i="19"/>
  <c r="Q69" i="19"/>
  <c r="Q70" i="19" s="1"/>
  <c r="S69" i="19"/>
  <c r="T69" i="19"/>
  <c r="V69" i="19"/>
  <c r="V70" i="19" s="1"/>
  <c r="J70" i="19"/>
  <c r="S70" i="19"/>
  <c r="J71" i="19"/>
  <c r="J72" i="19" s="1"/>
  <c r="T71" i="19"/>
  <c r="Q72" i="19"/>
  <c r="Q73" i="19" s="1"/>
  <c r="S72" i="19"/>
  <c r="V72" i="19"/>
  <c r="V73" i="19" s="1"/>
  <c r="J73" i="19"/>
  <c r="P73" i="19" s="1"/>
  <c r="R73" i="19"/>
  <c r="S73" i="19"/>
  <c r="J74" i="19"/>
  <c r="P74" i="19"/>
  <c r="T74" i="19"/>
  <c r="J75" i="19"/>
  <c r="Q75" i="19"/>
  <c r="S75" i="19"/>
  <c r="V75" i="19"/>
  <c r="V76" i="19" s="1"/>
  <c r="Q76" i="19"/>
  <c r="R76" i="19"/>
  <c r="S76" i="19"/>
  <c r="J77" i="19"/>
  <c r="J78" i="19" s="1"/>
  <c r="P77" i="19"/>
  <c r="T77" i="19"/>
  <c r="Q78" i="19"/>
  <c r="Q79" i="19" s="1"/>
  <c r="S78" i="19"/>
  <c r="S79" i="19" s="1"/>
  <c r="V78" i="19"/>
  <c r="V79" i="19" s="1"/>
  <c r="R79" i="19"/>
  <c r="J80" i="19"/>
  <c r="T80" i="19" s="1"/>
  <c r="P80" i="19"/>
  <c r="J81" i="19"/>
  <c r="P81" i="19" s="1"/>
  <c r="T81" i="19"/>
  <c r="J82" i="19"/>
  <c r="Q83" i="19"/>
  <c r="Q84" i="19" s="1"/>
  <c r="S83" i="19"/>
  <c r="R84" i="19"/>
  <c r="S84" i="19"/>
  <c r="J85" i="19"/>
  <c r="P85" i="19"/>
  <c r="T85" i="19"/>
  <c r="J86" i="19"/>
  <c r="P86" i="19"/>
  <c r="T86" i="19"/>
  <c r="F87" i="19"/>
  <c r="J87" i="19"/>
  <c r="Q87" i="19"/>
  <c r="Q88" i="19" s="1"/>
  <c r="S87" i="19"/>
  <c r="V87" i="19"/>
  <c r="F88" i="19"/>
  <c r="J88" i="19"/>
  <c r="R88" i="19"/>
  <c r="S88" i="19"/>
  <c r="V88" i="19"/>
  <c r="J89" i="19"/>
  <c r="P89" i="19" s="1"/>
  <c r="T89" i="19"/>
  <c r="P90" i="19"/>
  <c r="T90" i="19"/>
  <c r="P91" i="19"/>
  <c r="T91" i="19"/>
  <c r="P92" i="19"/>
  <c r="T92" i="19"/>
  <c r="P93" i="19"/>
  <c r="S93" i="19"/>
  <c r="T93" i="19"/>
  <c r="P94" i="19"/>
  <c r="T94" i="19"/>
  <c r="P95" i="19"/>
  <c r="T95" i="19"/>
  <c r="P96" i="19"/>
  <c r="T96" i="19"/>
  <c r="P97" i="19"/>
  <c r="T97" i="19"/>
  <c r="P98" i="19"/>
  <c r="T98" i="19"/>
  <c r="P99" i="19"/>
  <c r="S99" i="19"/>
  <c r="T99" i="19"/>
  <c r="P100" i="19"/>
  <c r="T100" i="19"/>
  <c r="P101" i="19"/>
  <c r="S101" i="19"/>
  <c r="T101" i="19"/>
  <c r="J102" i="19"/>
  <c r="T102" i="19"/>
  <c r="J103" i="19"/>
  <c r="T103" i="19" s="1"/>
  <c r="J104" i="19"/>
  <c r="T104" i="19" s="1"/>
  <c r="J105" i="19"/>
  <c r="T105" i="19" s="1"/>
  <c r="J106" i="19"/>
  <c r="T106" i="19"/>
  <c r="J107" i="19"/>
  <c r="T107" i="19" s="1"/>
  <c r="V7" i="28"/>
  <c r="P8" i="28"/>
  <c r="P9" i="28"/>
  <c r="J10" i="28"/>
  <c r="T10" i="28"/>
  <c r="T11" i="28"/>
  <c r="J12" i="28"/>
  <c r="T12" i="28" s="1"/>
  <c r="J13" i="28"/>
  <c r="T13" i="28"/>
  <c r="J14" i="28"/>
  <c r="T14" i="28"/>
  <c r="J15" i="28"/>
  <c r="T15" i="28"/>
  <c r="J16" i="28"/>
  <c r="T16" i="28" s="1"/>
  <c r="J17" i="28"/>
  <c r="T17" i="28" s="1"/>
  <c r="J18" i="28"/>
  <c r="P18" i="28"/>
  <c r="T18" i="28"/>
  <c r="P19" i="28"/>
  <c r="T19" i="28"/>
  <c r="P20" i="28"/>
  <c r="T20" i="28"/>
  <c r="P21" i="28"/>
  <c r="T21" i="28"/>
  <c r="P22" i="28"/>
  <c r="T22" i="28"/>
  <c r="J23" i="28"/>
  <c r="T23" i="28"/>
  <c r="J24" i="28"/>
  <c r="T24" i="28"/>
  <c r="J25" i="28"/>
  <c r="T25" i="28" s="1"/>
  <c r="J26" i="28"/>
  <c r="T26" i="28"/>
  <c r="J27" i="28"/>
  <c r="T27" i="28" s="1"/>
  <c r="P27" i="28"/>
  <c r="J28" i="28"/>
  <c r="T28" i="28" s="1"/>
  <c r="P28" i="28"/>
  <c r="J29" i="28"/>
  <c r="P29" i="28" s="1"/>
  <c r="T29" i="28"/>
  <c r="J30" i="28"/>
  <c r="J31" i="28"/>
  <c r="J32" i="28"/>
  <c r="J33" i="28"/>
  <c r="P33" i="28"/>
  <c r="T33" i="28"/>
  <c r="J34" i="28"/>
  <c r="P34" i="28"/>
  <c r="T34" i="28"/>
  <c r="J35" i="28"/>
  <c r="P35" i="28" s="1"/>
  <c r="T35" i="28"/>
  <c r="J36" i="28"/>
  <c r="J37" i="28"/>
  <c r="J38" i="28"/>
  <c r="P38" i="28" s="1"/>
  <c r="T38" i="28"/>
  <c r="J39" i="28"/>
  <c r="J40" i="28"/>
  <c r="P40" i="28"/>
  <c r="T40" i="28"/>
  <c r="J41" i="28"/>
  <c r="P41" i="28" s="1"/>
  <c r="T41" i="28"/>
  <c r="J42" i="28"/>
  <c r="T42" i="28"/>
  <c r="J43" i="28"/>
  <c r="T43" i="28" s="1"/>
  <c r="J44" i="28"/>
  <c r="T44" i="28" s="1"/>
  <c r="J45" i="28"/>
  <c r="T45" i="28"/>
  <c r="J46" i="28"/>
  <c r="T46" i="28"/>
  <c r="J47" i="28"/>
  <c r="J48" i="28"/>
  <c r="P48" i="28" s="1"/>
  <c r="T48" i="28"/>
  <c r="J49" i="28"/>
  <c r="T49" i="28"/>
  <c r="J50" i="28"/>
  <c r="T50" i="28"/>
  <c r="J51" i="28"/>
  <c r="T51" i="28" s="1"/>
  <c r="J52" i="28"/>
  <c r="T52" i="28" s="1"/>
  <c r="P52" i="28"/>
  <c r="J53" i="28"/>
  <c r="J54" i="28"/>
  <c r="T54" i="28" s="1"/>
  <c r="P54" i="28"/>
  <c r="J55" i="28"/>
  <c r="P55" i="28" s="1"/>
  <c r="T55" i="28"/>
  <c r="J56" i="28"/>
  <c r="P56" i="28" s="1"/>
  <c r="T56" i="28"/>
  <c r="J57" i="28"/>
  <c r="J58" i="28"/>
  <c r="P58" i="28"/>
  <c r="T58" i="28"/>
  <c r="J59" i="28"/>
  <c r="P59" i="28"/>
  <c r="T59" i="28"/>
  <c r="J60" i="28"/>
  <c r="J61" i="28"/>
  <c r="T61" i="28" s="1"/>
  <c r="P61" i="28"/>
  <c r="J62" i="28"/>
  <c r="T62" i="28"/>
  <c r="J63" i="28"/>
  <c r="T63" i="28" s="1"/>
  <c r="J64" i="28"/>
  <c r="T64" i="28"/>
  <c r="J65" i="28"/>
  <c r="T65" i="28" s="1"/>
  <c r="E9" i="25"/>
  <c r="E11" i="25" s="1"/>
  <c r="I10" i="25"/>
  <c r="C11" i="25"/>
  <c r="C12" i="25" s="1"/>
  <c r="I11" i="25"/>
  <c r="E13" i="25"/>
  <c r="J18" i="25"/>
  <c r="J19" i="25"/>
  <c r="J20" i="25"/>
  <c r="D22" i="25"/>
  <c r="C23" i="25"/>
  <c r="C24" i="25" s="1"/>
  <c r="D24" i="31"/>
  <c r="E24" i="31"/>
  <c r="F24" i="31"/>
  <c r="E29" i="31"/>
  <c r="E34" i="31" s="1"/>
  <c r="E36" i="31" s="1"/>
  <c r="F30" i="31"/>
  <c r="F34" i="31" s="1"/>
  <c r="F36" i="31" s="1"/>
  <c r="G31" i="31"/>
  <c r="E32" i="31"/>
  <c r="F32" i="31"/>
  <c r="G32" i="31"/>
  <c r="H32" i="31"/>
  <c r="H34" i="31" s="1"/>
  <c r="H36" i="31" s="1"/>
  <c r="D33" i="31"/>
  <c r="E33" i="31"/>
  <c r="F33" i="31"/>
  <c r="G33" i="31"/>
  <c r="D34" i="31"/>
  <c r="D36" i="31" s="1"/>
  <c r="D47" i="31" s="1"/>
  <c r="G34" i="31"/>
  <c r="G36" i="31" s="1"/>
  <c r="D45" i="31"/>
  <c r="D6" i="21"/>
  <c r="H6" i="21"/>
  <c r="L6" i="21"/>
  <c r="P6" i="21"/>
  <c r="T6" i="21"/>
  <c r="X6" i="21"/>
  <c r="Z6" i="21"/>
  <c r="A7" i="21"/>
  <c r="A8" i="21" s="1"/>
  <c r="B7" i="2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F7" i="21"/>
  <c r="G7" i="21"/>
  <c r="H7" i="21"/>
  <c r="J7" i="21"/>
  <c r="K7" i="21"/>
  <c r="N7" i="21"/>
  <c r="P7" i="21" s="1"/>
  <c r="O7" i="21"/>
  <c r="O8" i="21" s="1"/>
  <c r="O9" i="21" s="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R7" i="21"/>
  <c r="S7" i="21"/>
  <c r="V7" i="21"/>
  <c r="V8" i="21" s="1"/>
  <c r="W7" i="21"/>
  <c r="X7" i="21" s="1"/>
  <c r="B8" i="21"/>
  <c r="F8" i="21"/>
  <c r="F9" i="21" s="1"/>
  <c r="G8" i="2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J8" i="2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N8" i="21"/>
  <c r="S8" i="21"/>
  <c r="A9" i="21"/>
  <c r="A10" i="21" s="1"/>
  <c r="B9" i="21"/>
  <c r="S9" i="2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V9" i="21"/>
  <c r="A11" i="21"/>
  <c r="A12" i="21" s="1"/>
  <c r="A13" i="2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O23" i="21"/>
  <c r="O24" i="21" s="1"/>
  <c r="O25" i="21" s="1"/>
  <c r="O26" i="21" s="1"/>
  <c r="O27" i="21" s="1"/>
  <c r="O28" i="21" s="1"/>
  <c r="O29" i="21" s="1"/>
  <c r="O30" i="21" s="1"/>
  <c r="J24" i="21"/>
  <c r="J25" i="21" s="1"/>
  <c r="J26" i="21" s="1"/>
  <c r="O31" i="21"/>
  <c r="O32" i="21" s="1"/>
  <c r="O33" i="21" s="1"/>
  <c r="O34" i="21" s="1"/>
  <c r="O35" i="21" s="1"/>
  <c r="O36" i="21" s="1"/>
  <c r="T60" i="28" l="1"/>
  <c r="P60" i="28"/>
  <c r="J27" i="21"/>
  <c r="T7" i="21"/>
  <c r="R8" i="21"/>
  <c r="Z8" i="21" s="1"/>
  <c r="O8" i="22" s="1"/>
  <c r="P70" i="19"/>
  <c r="T70" i="19"/>
  <c r="D9" i="21"/>
  <c r="B10" i="21"/>
  <c r="H9" i="21"/>
  <c r="P78" i="19"/>
  <c r="T78" i="19"/>
  <c r="J79" i="19"/>
  <c r="P75" i="19"/>
  <c r="T75" i="19"/>
  <c r="K7" i="22"/>
  <c r="K8" i="21"/>
  <c r="L7" i="21"/>
  <c r="P31" i="28"/>
  <c r="T31" i="28"/>
  <c r="W8" i="2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P30" i="28"/>
  <c r="T30" i="28"/>
  <c r="T67" i="28" s="1"/>
  <c r="T70" i="28" s="1"/>
  <c r="T88" i="19"/>
  <c r="P88" i="19"/>
  <c r="T47" i="28"/>
  <c r="P47" i="28"/>
  <c r="T68" i="19"/>
  <c r="P68" i="19"/>
  <c r="P37" i="28"/>
  <c r="T37" i="28"/>
  <c r="O7" i="30"/>
  <c r="P6" i="30"/>
  <c r="P53" i="28"/>
  <c r="T53" i="28"/>
  <c r="I10" i="22"/>
  <c r="H11" i="22"/>
  <c r="V10" i="21"/>
  <c r="X9" i="21"/>
  <c r="N9" i="21"/>
  <c r="P8" i="21"/>
  <c r="X8" i="21"/>
  <c r="T57" i="28"/>
  <c r="P57" i="28"/>
  <c r="J76" i="19"/>
  <c r="T73" i="19"/>
  <c r="T36" i="19"/>
  <c r="P36" i="19"/>
  <c r="T36" i="28"/>
  <c r="P36" i="28"/>
  <c r="D8" i="21"/>
  <c r="P39" i="28"/>
  <c r="T39" i="28"/>
  <c r="P82" i="19"/>
  <c r="T82" i="19"/>
  <c r="J63" i="19"/>
  <c r="T62" i="19"/>
  <c r="N9" i="30"/>
  <c r="M9" i="22"/>
  <c r="H7" i="30"/>
  <c r="F8" i="30"/>
  <c r="R7" i="30"/>
  <c r="S7" i="30" s="1"/>
  <c r="N7" i="22" s="1"/>
  <c r="F10" i="21"/>
  <c r="H8" i="21"/>
  <c r="T27" i="19"/>
  <c r="J12" i="30"/>
  <c r="D7" i="21"/>
  <c r="Z7" i="21"/>
  <c r="O7" i="22" s="1"/>
  <c r="T32" i="28"/>
  <c r="P32" i="28"/>
  <c r="P87" i="19"/>
  <c r="T87" i="19"/>
  <c r="J83" i="19"/>
  <c r="P62" i="19"/>
  <c r="P17" i="19"/>
  <c r="T17" i="19"/>
  <c r="B20" i="30"/>
  <c r="P72" i="19"/>
  <c r="T72" i="19"/>
  <c r="C11" i="22"/>
  <c r="K10" i="22"/>
  <c r="D9" i="30"/>
  <c r="C10" i="30"/>
  <c r="C11" i="30" s="1"/>
  <c r="C12" i="30" s="1"/>
  <c r="C13" i="30" s="1"/>
  <c r="P71" i="19"/>
  <c r="T67" i="19"/>
  <c r="P67" i="19"/>
  <c r="T32" i="19"/>
  <c r="T57" i="19" s="1"/>
  <c r="P32" i="19"/>
  <c r="B38" i="22"/>
  <c r="K9" i="30"/>
  <c r="L8" i="30"/>
  <c r="P6" i="22"/>
  <c r="B11" i="30"/>
  <c r="T66" i="19"/>
  <c r="F33" i="22"/>
  <c r="F38" i="22" s="1"/>
  <c r="P7" i="22"/>
  <c r="V7" i="22" s="1"/>
  <c r="L7" i="30"/>
  <c r="D8" i="30"/>
  <c r="F11" i="21" l="1"/>
  <c r="H10" i="21"/>
  <c r="J13" i="30"/>
  <c r="L9" i="30"/>
  <c r="K10" i="30"/>
  <c r="P9" i="21"/>
  <c r="N10" i="21"/>
  <c r="K9" i="21"/>
  <c r="L8" i="21"/>
  <c r="F9" i="30"/>
  <c r="H8" i="30"/>
  <c r="R8" i="30"/>
  <c r="S8" i="30" s="1"/>
  <c r="N8" i="22" s="1"/>
  <c r="P8" i="22" s="1"/>
  <c r="N10" i="30"/>
  <c r="D10" i="21"/>
  <c r="B11" i="21"/>
  <c r="J28" i="21"/>
  <c r="P79" i="19"/>
  <c r="T79" i="19"/>
  <c r="T8" i="21"/>
  <c r="R9" i="21"/>
  <c r="C14" i="30"/>
  <c r="D13" i="30"/>
  <c r="O8" i="30"/>
  <c r="P7" i="30"/>
  <c r="D11" i="30"/>
  <c r="B12" i="30"/>
  <c r="D10" i="30"/>
  <c r="X10" i="21"/>
  <c r="V11" i="21"/>
  <c r="T7" i="22"/>
  <c r="R7" i="22" s="1"/>
  <c r="Z9" i="21"/>
  <c r="O9" i="22" s="1"/>
  <c r="V6" i="22"/>
  <c r="M10" i="22"/>
  <c r="B21" i="30"/>
  <c r="C12" i="22"/>
  <c r="K11" i="22"/>
  <c r="P76" i="19"/>
  <c r="T76" i="19"/>
  <c r="H12" i="22"/>
  <c r="I11" i="22"/>
  <c r="T83" i="19"/>
  <c r="J84" i="19"/>
  <c r="P83" i="19"/>
  <c r="T6" i="22"/>
  <c r="P63" i="19"/>
  <c r="T63" i="19"/>
  <c r="J64" i="19"/>
  <c r="K12" i="22" l="1"/>
  <c r="C13" i="22"/>
  <c r="B22" i="30"/>
  <c r="D11" i="21"/>
  <c r="B12" i="21"/>
  <c r="D12" i="30"/>
  <c r="P84" i="19"/>
  <c r="T84" i="19"/>
  <c r="V8" i="22"/>
  <c r="T8" i="22"/>
  <c r="R8" i="22" s="1"/>
  <c r="H13" i="22"/>
  <c r="I12" i="22"/>
  <c r="O9" i="30"/>
  <c r="P8" i="30"/>
  <c r="F10" i="30"/>
  <c r="R9" i="30"/>
  <c r="S9" i="30" s="1"/>
  <c r="N9" i="22" s="1"/>
  <c r="H9" i="30"/>
  <c r="C15" i="30"/>
  <c r="D14" i="30"/>
  <c r="K10" i="21"/>
  <c r="L9" i="21"/>
  <c r="F12" i="21"/>
  <c r="H11" i="21"/>
  <c r="N11" i="30"/>
  <c r="K11" i="30"/>
  <c r="L10" i="30"/>
  <c r="J29" i="21"/>
  <c r="P64" i="19"/>
  <c r="T64" i="19"/>
  <c r="T108" i="19" s="1"/>
  <c r="T112" i="19" s="1"/>
  <c r="V12" i="21"/>
  <c r="X11" i="21"/>
  <c r="J14" i="30"/>
  <c r="R6" i="22"/>
  <c r="M11" i="22"/>
  <c r="T9" i="21"/>
  <c r="R10" i="21"/>
  <c r="P10" i="21"/>
  <c r="N11" i="21"/>
  <c r="F13" i="21" l="1"/>
  <c r="H12" i="21"/>
  <c r="N12" i="30"/>
  <c r="H10" i="30"/>
  <c r="F11" i="30"/>
  <c r="R10" i="30"/>
  <c r="S10" i="30" s="1"/>
  <c r="N10" i="22" s="1"/>
  <c r="P10" i="22" s="1"/>
  <c r="J30" i="21"/>
  <c r="O10" i="30"/>
  <c r="P9" i="30"/>
  <c r="B23" i="30"/>
  <c r="P9" i="22"/>
  <c r="M12" i="22"/>
  <c r="P11" i="21"/>
  <c r="N12" i="21"/>
  <c r="J15" i="30"/>
  <c r="L10" i="21"/>
  <c r="K11" i="21"/>
  <c r="K13" i="22"/>
  <c r="C14" i="22"/>
  <c r="V13" i="21"/>
  <c r="X12" i="21"/>
  <c r="K12" i="30"/>
  <c r="L11" i="30"/>
  <c r="H14" i="22"/>
  <c r="I13" i="22"/>
  <c r="T10" i="21"/>
  <c r="R11" i="21"/>
  <c r="Z10" i="21"/>
  <c r="O10" i="22" s="1"/>
  <c r="C16" i="30"/>
  <c r="D15" i="30"/>
  <c r="D12" i="21"/>
  <c r="B13" i="21"/>
  <c r="V10" i="22" l="1"/>
  <c r="T10" i="22"/>
  <c r="R10" i="22" s="1"/>
  <c r="C17" i="30"/>
  <c r="D16" i="30"/>
  <c r="V14" i="21"/>
  <c r="X13" i="21"/>
  <c r="B24" i="30"/>
  <c r="D13" i="21"/>
  <c r="B14" i="21"/>
  <c r="C15" i="22"/>
  <c r="K14" i="22"/>
  <c r="M13" i="22"/>
  <c r="O11" i="30"/>
  <c r="P10" i="30"/>
  <c r="H13" i="21"/>
  <c r="F14" i="21"/>
  <c r="J16" i="30"/>
  <c r="T11" i="21"/>
  <c r="R12" i="21"/>
  <c r="Z11" i="21"/>
  <c r="O11" i="22" s="1"/>
  <c r="P12" i="21"/>
  <c r="N13" i="21"/>
  <c r="N13" i="30"/>
  <c r="Z12" i="21"/>
  <c r="O12" i="22" s="1"/>
  <c r="I14" i="22"/>
  <c r="H15" i="22"/>
  <c r="K12" i="21"/>
  <c r="L11" i="21"/>
  <c r="V9" i="22"/>
  <c r="T9" i="22"/>
  <c r="J31" i="21"/>
  <c r="K13" i="30"/>
  <c r="L12" i="30"/>
  <c r="H11" i="30"/>
  <c r="F12" i="30"/>
  <c r="R11" i="30"/>
  <c r="S11" i="30" s="1"/>
  <c r="N11" i="22" s="1"/>
  <c r="P11" i="22" s="1"/>
  <c r="V11" i="22" l="1"/>
  <c r="T11" i="22"/>
  <c r="R11" i="22" s="1"/>
  <c r="M14" i="22"/>
  <c r="H12" i="30"/>
  <c r="F13" i="30"/>
  <c r="R12" i="30"/>
  <c r="S12" i="30" s="1"/>
  <c r="N12" i="22" s="1"/>
  <c r="P12" i="22" s="1"/>
  <c r="N14" i="30"/>
  <c r="K15" i="22"/>
  <c r="C16" i="22"/>
  <c r="V15" i="21"/>
  <c r="X14" i="21"/>
  <c r="B25" i="30"/>
  <c r="R9" i="22"/>
  <c r="J17" i="30"/>
  <c r="K14" i="30"/>
  <c r="L13" i="30"/>
  <c r="K13" i="21"/>
  <c r="L12" i="21"/>
  <c r="P13" i="21"/>
  <c r="N14" i="21"/>
  <c r="F15" i="21"/>
  <c r="H14" i="21"/>
  <c r="D14" i="21"/>
  <c r="B15" i="21"/>
  <c r="H16" i="22"/>
  <c r="I15" i="22"/>
  <c r="Z13" i="21"/>
  <c r="O13" i="22" s="1"/>
  <c r="D17" i="30"/>
  <c r="C18" i="30"/>
  <c r="J32" i="21"/>
  <c r="T12" i="21"/>
  <c r="R13" i="21"/>
  <c r="O12" i="30"/>
  <c r="P11" i="30"/>
  <c r="C19" i="30" l="1"/>
  <c r="D18" i="30"/>
  <c r="K15" i="30"/>
  <c r="L14" i="30"/>
  <c r="N15" i="21"/>
  <c r="P14" i="21"/>
  <c r="V16" i="21"/>
  <c r="X15" i="21"/>
  <c r="V12" i="22"/>
  <c r="T12" i="22"/>
  <c r="R12" i="22" s="1"/>
  <c r="H15" i="21"/>
  <c r="F16" i="21"/>
  <c r="I16" i="22"/>
  <c r="H17" i="22"/>
  <c r="M15" i="22"/>
  <c r="N15" i="30"/>
  <c r="J18" i="30"/>
  <c r="O13" i="30"/>
  <c r="P12" i="30"/>
  <c r="R13" i="30"/>
  <c r="S13" i="30" s="1"/>
  <c r="N13" i="22" s="1"/>
  <c r="P13" i="22" s="1"/>
  <c r="F14" i="30"/>
  <c r="H13" i="30"/>
  <c r="T13" i="21"/>
  <c r="R14" i="21"/>
  <c r="K16" i="22"/>
  <c r="C17" i="22"/>
  <c r="J33" i="21"/>
  <c r="D15" i="21"/>
  <c r="B16" i="21"/>
  <c r="K14" i="21"/>
  <c r="L13" i="21"/>
  <c r="Z14" i="21"/>
  <c r="O14" i="22" s="1"/>
  <c r="B26" i="30"/>
  <c r="J34" i="21" l="1"/>
  <c r="C20" i="30"/>
  <c r="D19" i="30"/>
  <c r="O14" i="30"/>
  <c r="P13" i="30"/>
  <c r="X16" i="21"/>
  <c r="V17" i="21"/>
  <c r="J19" i="30"/>
  <c r="F17" i="21"/>
  <c r="H16" i="21"/>
  <c r="M16" i="22"/>
  <c r="K17" i="22"/>
  <c r="C18" i="22"/>
  <c r="I17" i="22"/>
  <c r="H18" i="22"/>
  <c r="D16" i="21"/>
  <c r="B17" i="21"/>
  <c r="P15" i="21"/>
  <c r="N16" i="21"/>
  <c r="B27" i="30"/>
  <c r="N16" i="30"/>
  <c r="K16" i="30"/>
  <c r="L15" i="30"/>
  <c r="V13" i="22"/>
  <c r="T13" i="22"/>
  <c r="K15" i="21"/>
  <c r="L14" i="21"/>
  <c r="T14" i="21"/>
  <c r="R15" i="21"/>
  <c r="H14" i="30"/>
  <c r="F15" i="30"/>
  <c r="R14" i="30"/>
  <c r="S14" i="30" s="1"/>
  <c r="N14" i="22" s="1"/>
  <c r="P14" i="22" s="1"/>
  <c r="F16" i="30" l="1"/>
  <c r="H15" i="30"/>
  <c r="R15" i="30"/>
  <c r="S15" i="30" s="1"/>
  <c r="N15" i="22" s="1"/>
  <c r="K17" i="30"/>
  <c r="L16" i="30"/>
  <c r="D17" i="21"/>
  <c r="B18" i="21"/>
  <c r="M17" i="22"/>
  <c r="N17" i="30"/>
  <c r="H19" i="22"/>
  <c r="I18" i="22"/>
  <c r="H17" i="21"/>
  <c r="F18" i="21"/>
  <c r="O15" i="30"/>
  <c r="P14" i="30"/>
  <c r="K16" i="21"/>
  <c r="L15" i="21"/>
  <c r="J20" i="30"/>
  <c r="C21" i="30"/>
  <c r="D20" i="30"/>
  <c r="R13" i="22"/>
  <c r="B28" i="30"/>
  <c r="T15" i="21"/>
  <c r="R16" i="21"/>
  <c r="Z15" i="21"/>
  <c r="O15" i="22" s="1"/>
  <c r="V14" i="22"/>
  <c r="T14" i="22"/>
  <c r="R14" i="22" s="1"/>
  <c r="P16" i="21"/>
  <c r="N17" i="21"/>
  <c r="C19" i="22"/>
  <c r="K18" i="22"/>
  <c r="V18" i="21"/>
  <c r="X17" i="21"/>
  <c r="J35" i="21"/>
  <c r="F19" i="21" l="1"/>
  <c r="H18" i="21"/>
  <c r="C22" i="30"/>
  <c r="D21" i="30"/>
  <c r="J21" i="30"/>
  <c r="P17" i="21"/>
  <c r="N18" i="21"/>
  <c r="H20" i="22"/>
  <c r="I19" i="22"/>
  <c r="D18" i="21"/>
  <c r="B19" i="21"/>
  <c r="B29" i="30"/>
  <c r="K18" i="30"/>
  <c r="L17" i="30"/>
  <c r="T16" i="21"/>
  <c r="R17" i="21"/>
  <c r="Z16" i="21"/>
  <c r="O16" i="22" s="1"/>
  <c r="K19" i="22"/>
  <c r="C20" i="22"/>
  <c r="L16" i="21"/>
  <c r="K17" i="21"/>
  <c r="P15" i="22"/>
  <c r="X18" i="21"/>
  <c r="V19" i="21"/>
  <c r="N18" i="30"/>
  <c r="J36" i="21"/>
  <c r="M18" i="22"/>
  <c r="O16" i="30"/>
  <c r="P15" i="30"/>
  <c r="H16" i="30"/>
  <c r="R16" i="30"/>
  <c r="S16" i="30" s="1"/>
  <c r="N16" i="22" s="1"/>
  <c r="P16" i="22" s="1"/>
  <c r="F17" i="30"/>
  <c r="K19" i="30" l="1"/>
  <c r="L18" i="30"/>
  <c r="I20" i="22"/>
  <c r="H21" i="22"/>
  <c r="F20" i="21"/>
  <c r="H19" i="21"/>
  <c r="N19" i="30"/>
  <c r="C21" i="22"/>
  <c r="K20" i="22"/>
  <c r="B30" i="30"/>
  <c r="N19" i="21"/>
  <c r="P18" i="21"/>
  <c r="O17" i="30"/>
  <c r="P16" i="30"/>
  <c r="D19" i="21"/>
  <c r="B20" i="21"/>
  <c r="J22" i="30"/>
  <c r="V20" i="21"/>
  <c r="X19" i="21"/>
  <c r="M19" i="22"/>
  <c r="V15" i="22"/>
  <c r="T15" i="22"/>
  <c r="R15" i="22" s="1"/>
  <c r="T17" i="21"/>
  <c r="R18" i="21"/>
  <c r="Z17" i="21"/>
  <c r="O17" i="22" s="1"/>
  <c r="Z18" i="21"/>
  <c r="O18" i="22" s="1"/>
  <c r="F18" i="30"/>
  <c r="H17" i="30"/>
  <c r="R17" i="30"/>
  <c r="S17" i="30" s="1"/>
  <c r="N17" i="22" s="1"/>
  <c r="P17" i="22" s="1"/>
  <c r="K18" i="21"/>
  <c r="L17" i="21"/>
  <c r="C23" i="30"/>
  <c r="D22" i="30"/>
  <c r="V16" i="22"/>
  <c r="T16" i="22"/>
  <c r="R16" i="22" s="1"/>
  <c r="K20" i="30" l="1"/>
  <c r="L19" i="30"/>
  <c r="X20" i="21"/>
  <c r="V21" i="21"/>
  <c r="O18" i="30"/>
  <c r="P17" i="30"/>
  <c r="N20" i="30"/>
  <c r="J23" i="30"/>
  <c r="L18" i="21"/>
  <c r="K19" i="21"/>
  <c r="F21" i="21"/>
  <c r="H20" i="21"/>
  <c r="V17" i="22"/>
  <c r="T17" i="22"/>
  <c r="R17" i="22" s="1"/>
  <c r="D20" i="21"/>
  <c r="B21" i="21"/>
  <c r="B31" i="30"/>
  <c r="I21" i="22"/>
  <c r="H22" i="22"/>
  <c r="C24" i="30"/>
  <c r="D23" i="30"/>
  <c r="T18" i="21"/>
  <c r="R19" i="21"/>
  <c r="P19" i="21"/>
  <c r="N20" i="21"/>
  <c r="Z19" i="21"/>
  <c r="O19" i="22" s="1"/>
  <c r="H18" i="30"/>
  <c r="F19" i="30"/>
  <c r="R18" i="30"/>
  <c r="S18" i="30" s="1"/>
  <c r="N18" i="22" s="1"/>
  <c r="P18" i="22" s="1"/>
  <c r="M20" i="22"/>
  <c r="K21" i="22"/>
  <c r="C22" i="22"/>
  <c r="H23" i="22" l="1"/>
  <c r="I22" i="22"/>
  <c r="F22" i="21"/>
  <c r="H21" i="21"/>
  <c r="O19" i="30"/>
  <c r="P18" i="30"/>
  <c r="C23" i="22"/>
  <c r="K22" i="22"/>
  <c r="M21" i="22"/>
  <c r="T19" i="21"/>
  <c r="R20" i="21"/>
  <c r="B32" i="30"/>
  <c r="K20" i="21"/>
  <c r="L19" i="21"/>
  <c r="V22" i="21"/>
  <c r="X21" i="21"/>
  <c r="N21" i="30"/>
  <c r="D21" i="21"/>
  <c r="B22" i="21"/>
  <c r="V18" i="22"/>
  <c r="T18" i="22"/>
  <c r="R18" i="22" s="1"/>
  <c r="N21" i="21"/>
  <c r="P20" i="21"/>
  <c r="F20" i="30"/>
  <c r="H19" i="30"/>
  <c r="R19" i="30"/>
  <c r="S19" i="30" s="1"/>
  <c r="N19" i="22" s="1"/>
  <c r="P19" i="22" s="1"/>
  <c r="C25" i="30"/>
  <c r="D24" i="30"/>
  <c r="J24" i="30"/>
  <c r="K21" i="30"/>
  <c r="L20" i="30"/>
  <c r="K21" i="21" l="1"/>
  <c r="L20" i="21"/>
  <c r="N22" i="30"/>
  <c r="J25" i="30"/>
  <c r="P21" i="21"/>
  <c r="N22" i="21"/>
  <c r="F23" i="21"/>
  <c r="H22" i="21"/>
  <c r="B33" i="30"/>
  <c r="H20" i="30"/>
  <c r="F21" i="30"/>
  <c r="R20" i="30"/>
  <c r="S20" i="30" s="1"/>
  <c r="N20" i="22" s="1"/>
  <c r="O20" i="30"/>
  <c r="P19" i="30"/>
  <c r="V23" i="21"/>
  <c r="X22" i="21"/>
  <c r="C26" i="30"/>
  <c r="D25" i="30"/>
  <c r="D22" i="21"/>
  <c r="B23" i="21"/>
  <c r="H24" i="22"/>
  <c r="I23" i="22"/>
  <c r="K22" i="30"/>
  <c r="L21" i="30"/>
  <c r="T20" i="21"/>
  <c r="R21" i="21"/>
  <c r="Z21" i="21" s="1"/>
  <c r="O21" i="22" s="1"/>
  <c r="M22" i="22"/>
  <c r="V19" i="22"/>
  <c r="T19" i="22"/>
  <c r="R19" i="22" s="1"/>
  <c r="K23" i="22"/>
  <c r="C24" i="22"/>
  <c r="Z20" i="21"/>
  <c r="O20" i="22" s="1"/>
  <c r="K23" i="30" l="1"/>
  <c r="L22" i="30"/>
  <c r="K24" i="22"/>
  <c r="C25" i="22"/>
  <c r="V24" i="21"/>
  <c r="X23" i="21"/>
  <c r="N23" i="21"/>
  <c r="P22" i="21"/>
  <c r="J26" i="30"/>
  <c r="N23" i="30"/>
  <c r="H21" i="30"/>
  <c r="F22" i="30"/>
  <c r="R21" i="30"/>
  <c r="S21" i="30" s="1"/>
  <c r="N21" i="22" s="1"/>
  <c r="P21" i="22" s="1"/>
  <c r="C27" i="30"/>
  <c r="D26" i="30"/>
  <c r="H25" i="22"/>
  <c r="I24" i="22"/>
  <c r="B24" i="21"/>
  <c r="D23" i="21"/>
  <c r="O21" i="30"/>
  <c r="P20" i="30"/>
  <c r="T21" i="21"/>
  <c r="R22" i="21"/>
  <c r="M23" i="22"/>
  <c r="Z22" i="21"/>
  <c r="O22" i="22" s="1"/>
  <c r="P20" i="22"/>
  <c r="H23" i="21"/>
  <c r="F24" i="21"/>
  <c r="K22" i="21"/>
  <c r="L21" i="21"/>
  <c r="D24" i="21" l="1"/>
  <c r="B25" i="21"/>
  <c r="T22" i="21"/>
  <c r="R23" i="21"/>
  <c r="H26" i="22"/>
  <c r="I25" i="22"/>
  <c r="L22" i="21"/>
  <c r="K23" i="21"/>
  <c r="J27" i="30"/>
  <c r="K25" i="22"/>
  <c r="C26" i="22"/>
  <c r="N24" i="30"/>
  <c r="F25" i="21"/>
  <c r="H24" i="21"/>
  <c r="C28" i="30"/>
  <c r="D27" i="30"/>
  <c r="M24" i="22"/>
  <c r="V21" i="22"/>
  <c r="T21" i="22"/>
  <c r="R21" i="22" s="1"/>
  <c r="X24" i="21"/>
  <c r="V25" i="21"/>
  <c r="O22" i="30"/>
  <c r="P21" i="30"/>
  <c r="V20" i="22"/>
  <c r="T20" i="22"/>
  <c r="R20" i="22" s="1"/>
  <c r="F23" i="30"/>
  <c r="H22" i="30"/>
  <c r="R22" i="30"/>
  <c r="S22" i="30" s="1"/>
  <c r="N22" i="22" s="1"/>
  <c r="P22" i="22" s="1"/>
  <c r="P23" i="21"/>
  <c r="N24" i="21"/>
  <c r="K24" i="30"/>
  <c r="L23" i="30"/>
  <c r="F26" i="21" l="1"/>
  <c r="H25" i="21"/>
  <c r="H23" i="30"/>
  <c r="F24" i="30"/>
  <c r="R23" i="30"/>
  <c r="S23" i="30" s="1"/>
  <c r="N23" i="22" s="1"/>
  <c r="P23" i="22" s="1"/>
  <c r="M25" i="22"/>
  <c r="C27" i="22"/>
  <c r="K26" i="22"/>
  <c r="T23" i="21"/>
  <c r="R24" i="21"/>
  <c r="Z23" i="21"/>
  <c r="O23" i="22" s="1"/>
  <c r="V22" i="22"/>
  <c r="T22" i="22"/>
  <c r="R22" i="22" s="1"/>
  <c r="K24" i="21"/>
  <c r="L23" i="21"/>
  <c r="H27" i="22"/>
  <c r="I26" i="22"/>
  <c r="K25" i="30"/>
  <c r="L24" i="30"/>
  <c r="O23" i="30"/>
  <c r="P22" i="30"/>
  <c r="J28" i="30"/>
  <c r="B26" i="21"/>
  <c r="D25" i="21"/>
  <c r="N25" i="30"/>
  <c r="P24" i="21"/>
  <c r="N25" i="21"/>
  <c r="V26" i="21"/>
  <c r="X25" i="21"/>
  <c r="C29" i="30"/>
  <c r="D28" i="30"/>
  <c r="Z24" i="21"/>
  <c r="O24" i="22" s="1"/>
  <c r="P25" i="21" l="1"/>
  <c r="N26" i="21"/>
  <c r="K27" i="22"/>
  <c r="C28" i="22"/>
  <c r="V27" i="21"/>
  <c r="X26" i="21"/>
  <c r="K25" i="21"/>
  <c r="L24" i="21"/>
  <c r="V23" i="22"/>
  <c r="T23" i="22"/>
  <c r="R23" i="22" s="1"/>
  <c r="J29" i="30"/>
  <c r="F25" i="30"/>
  <c r="H24" i="30"/>
  <c r="R24" i="30"/>
  <c r="S24" i="30" s="1"/>
  <c r="N24" i="22" s="1"/>
  <c r="P24" i="22" s="1"/>
  <c r="M26" i="22"/>
  <c r="N26" i="30"/>
  <c r="O24" i="30"/>
  <c r="P23" i="30"/>
  <c r="C30" i="30"/>
  <c r="D29" i="30"/>
  <c r="K26" i="30"/>
  <c r="L25" i="30"/>
  <c r="R25" i="21"/>
  <c r="T24" i="21"/>
  <c r="D26" i="21"/>
  <c r="B27" i="21"/>
  <c r="H28" i="22"/>
  <c r="I27" i="22"/>
  <c r="F27" i="21"/>
  <c r="H26" i="21"/>
  <c r="V24" i="22" l="1"/>
  <c r="T24" i="22"/>
  <c r="R24" i="22" s="1"/>
  <c r="K26" i="21"/>
  <c r="L25" i="21"/>
  <c r="O25" i="30"/>
  <c r="P24" i="30"/>
  <c r="K28" i="22"/>
  <c r="C29" i="22"/>
  <c r="C31" i="30"/>
  <c r="D30" i="30"/>
  <c r="K27" i="30"/>
  <c r="L26" i="30"/>
  <c r="H29" i="22"/>
  <c r="I28" i="22"/>
  <c r="B28" i="21"/>
  <c r="D27" i="21"/>
  <c r="F26" i="30"/>
  <c r="H25" i="30"/>
  <c r="R25" i="30"/>
  <c r="S25" i="30" s="1"/>
  <c r="N25" i="22" s="1"/>
  <c r="P25" i="22" s="1"/>
  <c r="V28" i="21"/>
  <c r="X27" i="21"/>
  <c r="J30" i="30"/>
  <c r="T25" i="21"/>
  <c r="R26" i="21"/>
  <c r="Z25" i="21"/>
  <c r="O25" i="22" s="1"/>
  <c r="N27" i="30"/>
  <c r="N27" i="21"/>
  <c r="P26" i="21"/>
  <c r="F28" i="21"/>
  <c r="H27" i="21"/>
  <c r="M27" i="22"/>
  <c r="F29" i="21" l="1"/>
  <c r="H28" i="21"/>
  <c r="C32" i="30"/>
  <c r="D31" i="30"/>
  <c r="D28" i="21"/>
  <c r="B29" i="21"/>
  <c r="K29" i="22"/>
  <c r="C30" i="22"/>
  <c r="V25" i="22"/>
  <c r="T25" i="22"/>
  <c r="R25" i="22" s="1"/>
  <c r="O26" i="30"/>
  <c r="P25" i="30"/>
  <c r="P27" i="21"/>
  <c r="N28" i="21"/>
  <c r="N28" i="30"/>
  <c r="H30" i="22"/>
  <c r="I29" i="22"/>
  <c r="K28" i="30"/>
  <c r="L27" i="30"/>
  <c r="X28" i="21"/>
  <c r="V29" i="21"/>
  <c r="M28" i="22"/>
  <c r="R27" i="21"/>
  <c r="T26" i="21"/>
  <c r="Z26" i="21"/>
  <c r="O26" i="22" s="1"/>
  <c r="H26" i="30"/>
  <c r="F27" i="30"/>
  <c r="R26" i="30"/>
  <c r="S26" i="30" s="1"/>
  <c r="N26" i="22" s="1"/>
  <c r="P26" i="22" s="1"/>
  <c r="K27" i="21"/>
  <c r="L26" i="21"/>
  <c r="J31" i="30"/>
  <c r="Z28" i="21" l="1"/>
  <c r="O28" i="22" s="1"/>
  <c r="V26" i="22"/>
  <c r="T26" i="22"/>
  <c r="R26" i="22" s="1"/>
  <c r="V30" i="21"/>
  <c r="X29" i="21"/>
  <c r="K28" i="21"/>
  <c r="L27" i="21"/>
  <c r="N29" i="30"/>
  <c r="F28" i="30"/>
  <c r="H27" i="30"/>
  <c r="R27" i="30"/>
  <c r="S27" i="30" s="1"/>
  <c r="N27" i="22" s="1"/>
  <c r="C31" i="22"/>
  <c r="K30" i="22"/>
  <c r="J32" i="30"/>
  <c r="K29" i="30"/>
  <c r="L28" i="30"/>
  <c r="T27" i="21"/>
  <c r="R28" i="21"/>
  <c r="F30" i="21"/>
  <c r="H29" i="21"/>
  <c r="P28" i="21"/>
  <c r="N29" i="21"/>
  <c r="D29" i="21"/>
  <c r="B30" i="21"/>
  <c r="O27" i="30"/>
  <c r="P26" i="30"/>
  <c r="Z27" i="21"/>
  <c r="O27" i="22" s="1"/>
  <c r="C33" i="30"/>
  <c r="D33" i="30" s="1"/>
  <c r="D32" i="30"/>
  <c r="M29" i="22"/>
  <c r="H31" i="22"/>
  <c r="I30" i="22"/>
  <c r="J33" i="30" l="1"/>
  <c r="P27" i="22"/>
  <c r="O28" i="30"/>
  <c r="P27" i="30"/>
  <c r="D30" i="21"/>
  <c r="B31" i="21"/>
  <c r="H28" i="30"/>
  <c r="F29" i="30"/>
  <c r="R28" i="30"/>
  <c r="S28" i="30" s="1"/>
  <c r="N28" i="22" s="1"/>
  <c r="P28" i="22" s="1"/>
  <c r="P29" i="21"/>
  <c r="N30" i="21"/>
  <c r="K29" i="21"/>
  <c r="L28" i="21"/>
  <c r="F31" i="21"/>
  <c r="H30" i="21"/>
  <c r="C32" i="22"/>
  <c r="K31" i="22"/>
  <c r="R29" i="21"/>
  <c r="T28" i="21"/>
  <c r="I31" i="22"/>
  <c r="H32" i="22"/>
  <c r="V31" i="21"/>
  <c r="X30" i="21"/>
  <c r="Z29" i="21"/>
  <c r="O29" i="22" s="1"/>
  <c r="M30" i="22"/>
  <c r="K30" i="30"/>
  <c r="L29" i="30"/>
  <c r="N30" i="30"/>
  <c r="M31" i="22" l="1"/>
  <c r="T29" i="21"/>
  <c r="R30" i="21"/>
  <c r="N31" i="21"/>
  <c r="P30" i="21"/>
  <c r="I32" i="22"/>
  <c r="H33" i="22"/>
  <c r="I33" i="22" s="1"/>
  <c r="B32" i="21"/>
  <c r="D31" i="21"/>
  <c r="K30" i="21"/>
  <c r="L29" i="21"/>
  <c r="K31" i="30"/>
  <c r="L30" i="30"/>
  <c r="V28" i="22"/>
  <c r="T28" i="22"/>
  <c r="R28" i="22" s="1"/>
  <c r="V27" i="22"/>
  <c r="T27" i="22"/>
  <c r="R27" i="22" s="1"/>
  <c r="O29" i="30"/>
  <c r="P28" i="30"/>
  <c r="C33" i="22"/>
  <c r="K32" i="22"/>
  <c r="H29" i="30"/>
  <c r="F30" i="30"/>
  <c r="R29" i="30"/>
  <c r="S29" i="30" s="1"/>
  <c r="N29" i="22" s="1"/>
  <c r="P29" i="22" s="1"/>
  <c r="N31" i="30"/>
  <c r="V32" i="21"/>
  <c r="X31" i="21"/>
  <c r="H31" i="21"/>
  <c r="F32" i="21"/>
  <c r="X32" i="21" l="1"/>
  <c r="V33" i="21"/>
  <c r="O30" i="30"/>
  <c r="P29" i="30"/>
  <c r="K31" i="21"/>
  <c r="L30" i="21"/>
  <c r="P31" i="21"/>
  <c r="N32" i="21"/>
  <c r="T30" i="21"/>
  <c r="R31" i="21"/>
  <c r="Z30" i="21"/>
  <c r="O30" i="22" s="1"/>
  <c r="V29" i="22"/>
  <c r="T29" i="22"/>
  <c r="R29" i="22" s="1"/>
  <c r="D32" i="21"/>
  <c r="B33" i="21"/>
  <c r="K33" i="22"/>
  <c r="C38" i="22"/>
  <c r="N32" i="30"/>
  <c r="F33" i="21"/>
  <c r="H32" i="21"/>
  <c r="F31" i="30"/>
  <c r="H30" i="30"/>
  <c r="R30" i="30"/>
  <c r="S30" i="30" s="1"/>
  <c r="N30" i="22" s="1"/>
  <c r="P30" i="22" s="1"/>
  <c r="Z31" i="21"/>
  <c r="O31" i="22" s="1"/>
  <c r="K32" i="30"/>
  <c r="L31" i="30"/>
  <c r="M32" i="22"/>
  <c r="K32" i="21" l="1"/>
  <c r="L31" i="21"/>
  <c r="H31" i="30"/>
  <c r="F32" i="30"/>
  <c r="R31" i="30"/>
  <c r="S31" i="30" s="1"/>
  <c r="N31" i="22" s="1"/>
  <c r="P31" i="22" s="1"/>
  <c r="M33" i="22"/>
  <c r="F34" i="21"/>
  <c r="H33" i="21"/>
  <c r="N33" i="30"/>
  <c r="O31" i="30"/>
  <c r="P30" i="30"/>
  <c r="B34" i="21"/>
  <c r="D33" i="21"/>
  <c r="V30" i="22"/>
  <c r="T30" i="22"/>
  <c r="R30" i="22" s="1"/>
  <c r="K38" i="22"/>
  <c r="T31" i="21"/>
  <c r="R32" i="21"/>
  <c r="V34" i="21"/>
  <c r="X33" i="21"/>
  <c r="P32" i="21"/>
  <c r="N33" i="21"/>
  <c r="K33" i="30"/>
  <c r="L33" i="30" s="1"/>
  <c r="L32" i="30"/>
  <c r="M38" i="22" l="1"/>
  <c r="O32" i="30"/>
  <c r="P31" i="30"/>
  <c r="F33" i="30"/>
  <c r="H32" i="30"/>
  <c r="R32" i="30"/>
  <c r="S32" i="30" s="1"/>
  <c r="N32" i="22" s="1"/>
  <c r="P32" i="22" s="1"/>
  <c r="V31" i="22"/>
  <c r="T31" i="22"/>
  <c r="R31" i="22" s="1"/>
  <c r="V35" i="21"/>
  <c r="X34" i="21"/>
  <c r="D34" i="21"/>
  <c r="B35" i="21"/>
  <c r="P33" i="21"/>
  <c r="N34" i="21"/>
  <c r="K33" i="21"/>
  <c r="L32" i="21"/>
  <c r="R33" i="21"/>
  <c r="T32" i="21"/>
  <c r="Z33" i="21"/>
  <c r="O33" i="22" s="1"/>
  <c r="O38" i="22" s="1"/>
  <c r="F35" i="21"/>
  <c r="H34" i="21"/>
  <c r="Z32" i="21"/>
  <c r="O32" i="22" s="1"/>
  <c r="N35" i="21" l="1"/>
  <c r="P34" i="21"/>
  <c r="H33" i="30"/>
  <c r="R33" i="30"/>
  <c r="S33" i="30" s="1"/>
  <c r="N33" i="22" s="1"/>
  <c r="V32" i="22"/>
  <c r="T32" i="22"/>
  <c r="R32" i="22" s="1"/>
  <c r="B36" i="21"/>
  <c r="D35" i="21"/>
  <c r="T33" i="21"/>
  <c r="R34" i="21"/>
  <c r="O33" i="30"/>
  <c r="P33" i="30" s="1"/>
  <c r="P32" i="30"/>
  <c r="K34" i="21"/>
  <c r="L33" i="21"/>
  <c r="V36" i="21"/>
  <c r="X36" i="21" s="1"/>
  <c r="X35" i="21"/>
  <c r="F36" i="21"/>
  <c r="H36" i="21" s="1"/>
  <c r="H35" i="21"/>
  <c r="P35" i="21" l="1"/>
  <c r="N36" i="21"/>
  <c r="P36" i="21" s="1"/>
  <c r="D36" i="21"/>
  <c r="N38" i="22"/>
  <c r="P33" i="22"/>
  <c r="K35" i="21"/>
  <c r="L34" i="21"/>
  <c r="R35" i="21"/>
  <c r="T34" i="21"/>
  <c r="Z34" i="21"/>
  <c r="T35" i="21" l="1"/>
  <c r="R36" i="21"/>
  <c r="K36" i="21"/>
  <c r="L36" i="21" s="1"/>
  <c r="L35" i="21"/>
  <c r="V33" i="22"/>
  <c r="V38" i="22" s="1"/>
  <c r="P38" i="22"/>
  <c r="T33" i="22"/>
  <c r="Z35" i="21"/>
  <c r="R33" i="22" l="1"/>
  <c r="R38" i="22" s="1"/>
  <c r="T38" i="22"/>
  <c r="T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<sst xmlns="http://schemas.openxmlformats.org/spreadsheetml/2006/main" count="1297" uniqueCount="310">
  <si>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</si>
  <si>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</si>
  <si>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</si>
  <si>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</si>
  <si>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</si>
  <si>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</si>
  <si>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</si>
  <si>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</si>
  <si>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</si>
  <si>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</si>
  <si>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</si>
  <si>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</si>
  <si>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</si>
  <si>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</si>
  <si>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</si>
  <si>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</si>
  <si>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</si>
  <si>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</si>
  <si>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</si>
  <si>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</si>
  <si>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</si>
  <si>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</si>
  <si>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</si>
  <si>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</si>
  <si>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</si>
  <si>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</si>
  <si>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</si>
  <si>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</si>
  <si>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</si>
  <si>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</si>
  <si>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</si>
  <si>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</si>
  <si>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</si>
  <si>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</si>
  <si>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</si>
  <si>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</si>
  <si>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</si>
  <si>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</si>
  <si>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</si>
  <si>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</si>
  <si>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</si>
  <si>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</si>
  <si>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</si>
  <si>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</si>
  <si>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</si>
  <si>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</si>
  <si>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</si>
  <si>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</si>
  <si>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</si>
  <si>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</si>
  <si>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</si>
  <si>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</si>
  <si>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</si>
  <si>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</si>
  <si>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</si>
  <si>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</si>
  <si>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</si>
  <si>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</si>
  <si>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</si>
  <si>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</si>
  <si>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</si>
  <si>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</si>
  <si>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</si>
  <si>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</si>
  <si>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</si>
  <si>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</si>
  <si>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</si>
  <si>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</si>
  <si>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</si>
  <si>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</si>
  <si>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</si>
  <si>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</si>
  <si>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</si>
  <si>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</si>
  <si>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</si>
  <si>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</si>
  <si>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</si>
  <si>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</si>
  <si>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</si>
  <si>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</si>
  <si>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</si>
  <si>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</si>
  <si>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</si>
  <si>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</si>
  <si>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</si>
  <si>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</si>
  <si>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</si>
  <si>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</si>
  <si>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</si>
  <si>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</si>
  <si>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</si>
  <si>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</si>
  <si>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</si>
  <si>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</si>
  <si>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</si>
  <si>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</si>
  <si>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</si>
  <si>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</si>
  <si>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</si>
  <si>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</si>
  <si>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</si>
  <si>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</si>
  <si>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</si>
  <si>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</si>
  <si>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</si>
  <si>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</si>
  <si>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</si>
  <si>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</si>
  <si>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</si>
  <si>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</si>
  <si>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</si>
  <si>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</si>
  <si>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</si>
  <si>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</si>
  <si>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</si>
  <si>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</si>
  <si>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</si>
  <si>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</si>
  <si>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</si>
  <si>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</si>
  <si>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</si>
  <si>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</si>
  <si>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</si>
  <si>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</si>
  <si>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</si>
  <si>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</si>
  <si>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</si>
  <si>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</si>
  <si>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</si>
  <si>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Z2</t>
  </si>
  <si>
    <t>z3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</si>
  <si>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</si>
  <si>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</si>
  <si>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</si>
  <si>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</si>
  <si>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</si>
  <si>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</si>
  <si>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</si>
  <si>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</si>
  <si>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</si>
  <si>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</si>
  <si>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</si>
  <si>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</si>
  <si>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</si>
  <si>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</si>
  <si>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</si>
  <si>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</si>
  <si>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</si>
  <si>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</si>
  <si>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</si>
  <si>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</si>
  <si>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</si>
  <si>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</si>
  <si>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</si>
  <si>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</si>
  <si>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</si>
  <si>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</si>
  <si>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</si>
  <si>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</si>
  <si>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</si>
  <si>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</si>
  <si>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</si>
  <si>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</si>
  <si>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</si>
  <si>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</si>
  <si>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</si>
  <si>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</si>
  <si>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</si>
  <si>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</si>
  <si>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</si>
  <si>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</si>
  <si>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</si>
  <si>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</si>
  <si>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</si>
  <si>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</si>
  <si>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</si>
  <si>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</si>
  <si>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</si>
  <si>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</si>
  <si>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</si>
  <si>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</si>
  <si>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</si>
  <si>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</si>
  <si>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</si>
  <si>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</si>
  <si>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</si>
  <si>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</si>
  <si>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</si>
  <si>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</si>
  <si>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</si>
  <si>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</si>
  <si>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</si>
  <si>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</si>
  <si>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</si>
  <si>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</si>
  <si>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</si>
  <si>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</si>
  <si>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</si>
  <si>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</si>
  <si>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</si>
  <si>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</si>
  <si>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</si>
  <si>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</si>
  <si>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</si>
  <si>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</si>
  <si>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</si>
  <si>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Deal 523459</t>
  </si>
  <si>
    <t>ENA will buy the CGAS Pool gas back at the FOM price for CGAS.</t>
  </si>
  <si>
    <t>Pool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</si>
  <si>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</si>
  <si>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</si>
  <si>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</si>
  <si>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</si>
  <si>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</si>
  <si>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</si>
  <si>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</si>
  <si>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</si>
  <si>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</si>
  <si>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</si>
  <si>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</si>
  <si>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</si>
  <si>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</si>
  <si>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</si>
  <si>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</si>
  <si>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</si>
  <si>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</si>
  <si>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</si>
  <si>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</si>
  <si>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</si>
  <si>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</si>
  <si>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</si>
  <si>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</si>
  <si>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</si>
  <si>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</si>
  <si>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</si>
  <si>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</si>
  <si>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</si>
  <si>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</si>
  <si>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</si>
  <si>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</si>
  <si>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</si>
  <si>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</si>
  <si>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</si>
  <si>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</si>
  <si>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</si>
  <si>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</si>
  <si>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</si>
  <si>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</si>
  <si>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</si>
  <si>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</si>
  <si>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</si>
  <si>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</si>
  <si>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</si>
  <si>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</si>
  <si>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</si>
  <si>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</si>
  <si>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</si>
  <si>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</si>
  <si>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</si>
  <si>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New Power East Desk Transportation Capacity for January 2001</t>
  </si>
  <si>
    <t>563831 / 563837</t>
  </si>
  <si>
    <t>#022515</t>
  </si>
  <si>
    <t>#022516</t>
  </si>
  <si>
    <t>#022538</t>
  </si>
  <si>
    <t>#022526</t>
  </si>
  <si>
    <t>#022537</t>
  </si>
  <si>
    <t>#022525</t>
  </si>
  <si>
    <t>#022560</t>
  </si>
  <si>
    <t>#022557</t>
  </si>
  <si>
    <t>#022556</t>
  </si>
  <si>
    <t>#022607</t>
  </si>
  <si>
    <t>#022561</t>
  </si>
  <si>
    <t>#022614</t>
  </si>
  <si>
    <t>#022608</t>
  </si>
  <si>
    <t>#022616</t>
  </si>
  <si>
    <t>#022612</t>
  </si>
  <si>
    <t>#22617</t>
  </si>
  <si>
    <t>#022615</t>
  </si>
  <si>
    <t>#022559</t>
  </si>
  <si>
    <t>#022558</t>
  </si>
  <si>
    <t>#22562</t>
  </si>
  <si>
    <t>#022610</t>
  </si>
  <si>
    <t>#022609</t>
  </si>
  <si>
    <t>#22611</t>
  </si>
  <si>
    <t>#</t>
  </si>
  <si>
    <t>2001000117</t>
  </si>
  <si>
    <t>200100097</t>
  </si>
  <si>
    <t>2001000094</t>
  </si>
  <si>
    <t>2001000132</t>
  </si>
  <si>
    <t>2001000130</t>
  </si>
  <si>
    <t>2001000098</t>
  </si>
  <si>
    <t>z2</t>
  </si>
  <si>
    <t>2001000111</t>
  </si>
  <si>
    <t>2001000131</t>
  </si>
  <si>
    <t>2001000116</t>
  </si>
  <si>
    <t>2001000186</t>
  </si>
  <si>
    <t>2001000189</t>
  </si>
  <si>
    <t>2001000118</t>
  </si>
  <si>
    <t>2001000190</t>
  </si>
  <si>
    <t>200100185</t>
  </si>
  <si>
    <t>2001000187</t>
  </si>
  <si>
    <t>#31330</t>
  </si>
  <si>
    <t>#31331</t>
  </si>
  <si>
    <t>Dynegy</t>
  </si>
  <si>
    <t>F4 - Monclova</t>
  </si>
  <si>
    <t>Deal 597193 less Storage</t>
  </si>
  <si>
    <t>Storage Withdrawal:</t>
  </si>
  <si>
    <t>Withdrawal</t>
  </si>
  <si>
    <t>Less GRI &amp; ACA on SST</t>
  </si>
  <si>
    <t>Deal 597193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</si>
</sst>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40" fontId="2" fillId="3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1" fontId="4" fillId="0" borderId="0" xfId="0" applyNumberFormat="1" applyFont="1" applyFill="1" applyAlignment="1">
      <alignment horizontal="left"/>
    </xf>
    <xf numFmtId="1" fontId="2" fillId="4" borderId="0" xfId="1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43" fontId="2" fillId="4" borderId="0" xfId="1" quotePrefix="1" applyFont="1" applyFill="1" applyAlignment="1">
      <alignment horizontal="left"/>
    </xf>
    <xf numFmtId="0" fontId="2" fillId="4" borderId="0" xfId="1" quotePrefix="1" applyNumberFormat="1" applyFont="1" applyFill="1" applyAlignment="1">
      <alignment horizontal="left"/>
    </xf>
    <xf numFmtId="199" fontId="2" fillId="4" borderId="0" xfId="0" quotePrefix="1" applyNumberFormat="1" applyFont="1" applyFill="1" applyAlignment="1">
      <alignment horizontal="left"/>
    </xf>
    <xf numFmtId="38" fontId="0" fillId="3" borderId="0" xfId="0" applyNumberFormat="1" applyFill="1"/>
    <xf numFmtId="167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E36" sqref="E36"/>
    </sheetView>
  </sheetViews>
  <sheetFormatPr defaultRowHeight="12.75" x14ac:dyDescent="0.2"/>
  <sheetData>
    <row r="2" spans="1:8" ht="15.75" x14ac:dyDescent="0.25">
      <c r="A2" s="129" t="s">
        <v>226</v>
      </c>
    </row>
    <row r="6" spans="1:8" x14ac:dyDescent="0.2">
      <c r="D6" t="s">
        <v>227</v>
      </c>
      <c r="E6" t="s">
        <v>228</v>
      </c>
      <c r="F6" t="s">
        <v>229</v>
      </c>
      <c r="G6" t="s">
        <v>230</v>
      </c>
      <c r="H6" t="s">
        <v>231</v>
      </c>
    </row>
    <row r="7" spans="1:8" x14ac:dyDescent="0.2">
      <c r="B7" t="s">
        <v>232</v>
      </c>
      <c r="D7">
        <v>175</v>
      </c>
      <c r="E7">
        <v>84</v>
      </c>
      <c r="F7">
        <v>33</v>
      </c>
    </row>
    <row r="8" spans="1:8" x14ac:dyDescent="0.2">
      <c r="B8" t="s">
        <v>233</v>
      </c>
      <c r="D8">
        <v>3240</v>
      </c>
      <c r="E8">
        <v>3197</v>
      </c>
      <c r="F8">
        <v>2339</v>
      </c>
    </row>
    <row r="9" spans="1:8" x14ac:dyDescent="0.2">
      <c r="B9" t="s">
        <v>234</v>
      </c>
      <c r="D9">
        <v>1736</v>
      </c>
      <c r="E9">
        <v>797</v>
      </c>
      <c r="F9">
        <v>292</v>
      </c>
    </row>
    <row r="10" spans="1:8" x14ac:dyDescent="0.2">
      <c r="B10" t="s">
        <v>235</v>
      </c>
      <c r="D10">
        <v>762</v>
      </c>
      <c r="E10">
        <v>373</v>
      </c>
      <c r="F10">
        <v>150</v>
      </c>
    </row>
    <row r="11" spans="1:8" x14ac:dyDescent="0.2">
      <c r="B11" t="s">
        <v>236</v>
      </c>
      <c r="D11">
        <v>3740</v>
      </c>
      <c r="E11">
        <v>1818</v>
      </c>
      <c r="F11">
        <v>725</v>
      </c>
    </row>
    <row r="12" spans="1:8" x14ac:dyDescent="0.2">
      <c r="B12" t="s">
        <v>237</v>
      </c>
      <c r="D12">
        <v>569</v>
      </c>
      <c r="E12">
        <v>282</v>
      </c>
      <c r="F12">
        <v>115</v>
      </c>
    </row>
    <row r="13" spans="1:8" x14ac:dyDescent="0.2">
      <c r="B13" t="s">
        <v>238</v>
      </c>
      <c r="D13">
        <v>501</v>
      </c>
      <c r="E13">
        <v>260</v>
      </c>
      <c r="F13">
        <v>113</v>
      </c>
    </row>
    <row r="14" spans="1:8" x14ac:dyDescent="0.2">
      <c r="B14" t="s">
        <v>239</v>
      </c>
      <c r="D14">
        <v>2948</v>
      </c>
      <c r="E14">
        <v>1345</v>
      </c>
      <c r="F14">
        <v>488</v>
      </c>
    </row>
    <row r="15" spans="1:8" x14ac:dyDescent="0.2">
      <c r="B15" t="s">
        <v>240</v>
      </c>
      <c r="D15">
        <v>554</v>
      </c>
      <c r="E15">
        <v>258</v>
      </c>
      <c r="F15">
        <v>97</v>
      </c>
    </row>
    <row r="16" spans="1:8" x14ac:dyDescent="0.2">
      <c r="B16" t="s">
        <v>241</v>
      </c>
      <c r="D16">
        <v>671</v>
      </c>
      <c r="E16">
        <v>333</v>
      </c>
      <c r="F16">
        <v>136</v>
      </c>
    </row>
    <row r="17" spans="2:8" x14ac:dyDescent="0.2">
      <c r="B17" t="s">
        <v>242</v>
      </c>
      <c r="D17">
        <v>841</v>
      </c>
      <c r="E17">
        <v>431</v>
      </c>
      <c r="F17">
        <v>184</v>
      </c>
    </row>
    <row r="18" spans="2:8" x14ac:dyDescent="0.2">
      <c r="B18" t="s">
        <v>243</v>
      </c>
      <c r="D18">
        <v>27</v>
      </c>
      <c r="E18">
        <v>27</v>
      </c>
      <c r="F18">
        <v>19</v>
      </c>
    </row>
    <row r="19" spans="2:8" x14ac:dyDescent="0.2">
      <c r="B19" t="s">
        <v>244</v>
      </c>
      <c r="D19">
        <v>7202</v>
      </c>
      <c r="E19">
        <v>6936</v>
      </c>
      <c r="F19">
        <v>4912</v>
      </c>
    </row>
    <row r="20" spans="2:8" x14ac:dyDescent="0.2">
      <c r="B20" t="s">
        <v>245</v>
      </c>
      <c r="D20">
        <v>89</v>
      </c>
      <c r="E20">
        <v>88</v>
      </c>
      <c r="F20">
        <v>64</v>
      </c>
    </row>
    <row r="21" spans="2:8" x14ac:dyDescent="0.2">
      <c r="B21" t="s">
        <v>246</v>
      </c>
      <c r="D21">
        <v>110</v>
      </c>
      <c r="E21">
        <v>105</v>
      </c>
      <c r="F21">
        <v>74</v>
      </c>
    </row>
    <row r="22" spans="2:8" x14ac:dyDescent="0.2">
      <c r="B22" t="s">
        <v>247</v>
      </c>
      <c r="D22">
        <v>52</v>
      </c>
      <c r="E22">
        <v>49</v>
      </c>
      <c r="F22">
        <v>38</v>
      </c>
    </row>
    <row r="23" spans="2:8" x14ac:dyDescent="0.2">
      <c r="B23" t="s">
        <v>248</v>
      </c>
      <c r="D23">
        <v>1084</v>
      </c>
      <c r="E23">
        <v>877</v>
      </c>
      <c r="F23">
        <v>364</v>
      </c>
    </row>
    <row r="24" spans="2:8" ht="13.5" thickBot="1" x14ac:dyDescent="0.25">
      <c r="C24" t="s">
        <v>249</v>
      </c>
      <c r="D24" s="130">
        <f>SUM(D7:D23)</f>
        <v>24301</v>
      </c>
      <c r="E24" s="130">
        <f>SUM(E7:E23)</f>
        <v>17260</v>
      </c>
      <c r="F24" s="130">
        <f>SUM(F7:F23)</f>
        <v>10143</v>
      </c>
    </row>
    <row r="25" spans="2:8" ht="13.5" thickTop="1" x14ac:dyDescent="0.2"/>
    <row r="29" spans="2:8" x14ac:dyDescent="0.2">
      <c r="C29" s="131" t="s">
        <v>250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">
      <c r="C30" s="131" t="s">
        <v>251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">
      <c r="C31" s="131" t="s">
        <v>252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">
      <c r="C32" s="131" t="s">
        <v>253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">
      <c r="C33" s="131" t="s">
        <v>254</v>
      </c>
      <c r="D33">
        <f>ROUND(0.9718*41486/31,0)</f>
        <v>1301</v>
      </c>
      <c r="E33">
        <f>ROUND(0.9718*36508/28,0)</f>
        <v>1267</v>
      </c>
      <c r="F33" s="132">
        <f>ROUND(0.9718*26671/31,0)</f>
        <v>836</v>
      </c>
      <c r="G33" s="132">
        <f>ROUND(0.9718*13166/31,0)</f>
        <v>413</v>
      </c>
      <c r="H33">
        <v>0</v>
      </c>
    </row>
    <row r="34" spans="2:8" ht="13.5" thickBot="1" x14ac:dyDescent="0.25">
      <c r="D34" s="130">
        <f>SUM(D29:D33)</f>
        <v>7378</v>
      </c>
      <c r="E34" s="130">
        <f>SUM(E29:E33)</f>
        <v>7778</v>
      </c>
      <c r="F34" s="130">
        <f>SUM(F29:F33)</f>
        <v>5410</v>
      </c>
      <c r="G34" s="130">
        <f>SUM(G29:G33)</f>
        <v>5979</v>
      </c>
      <c r="H34" s="130">
        <f>SUM(H29:H33)</f>
        <v>2277</v>
      </c>
    </row>
    <row r="35" spans="2:8" ht="13.5" thickTop="1" x14ac:dyDescent="0.2"/>
    <row r="36" spans="2:8" x14ac:dyDescent="0.2">
      <c r="C36" s="131" t="s">
        <v>255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">
      <c r="F38">
        <v>27835</v>
      </c>
    </row>
    <row r="39" spans="2:8" x14ac:dyDescent="0.2">
      <c r="B39" t="s">
        <v>256</v>
      </c>
    </row>
    <row r="40" spans="2:8" x14ac:dyDescent="0.2">
      <c r="C40" t="s">
        <v>36</v>
      </c>
      <c r="D40">
        <v>488</v>
      </c>
    </row>
    <row r="41" spans="2:8" x14ac:dyDescent="0.2">
      <c r="C41" t="s">
        <v>257</v>
      </c>
      <c r="D41">
        <v>65380</v>
      </c>
    </row>
    <row r="42" spans="2:8" x14ac:dyDescent="0.2">
      <c r="C42" t="s">
        <v>35</v>
      </c>
      <c r="D42">
        <v>13157</v>
      </c>
    </row>
    <row r="43" spans="2:8" x14ac:dyDescent="0.2">
      <c r="C43" t="s">
        <v>56</v>
      </c>
      <c r="D43">
        <v>1220</v>
      </c>
    </row>
    <row r="44" spans="2:8" x14ac:dyDescent="0.2">
      <c r="C44" t="s">
        <v>258</v>
      </c>
      <c r="D44">
        <v>-39493</v>
      </c>
    </row>
    <row r="45" spans="2:8" x14ac:dyDescent="0.2">
      <c r="D45">
        <f>SUM(D40:D44)</f>
        <v>40752</v>
      </c>
    </row>
    <row r="47" spans="2:8" x14ac:dyDescent="0.2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5"/>
  <sheetViews>
    <sheetView topLeftCell="H1" workbookViewId="0">
      <selection activeCell="B17" sqref="B17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140625" style="25" customWidth="1"/>
    <col min="18" max="18" width="9.140625" style="25"/>
    <col min="19" max="19" width="9.140625" style="121"/>
    <col min="20" max="16384" width="9.140625" style="25"/>
  </cols>
  <sheetData>
    <row r="2" spans="1:19" x14ac:dyDescent="0.2">
      <c r="A2" s="92"/>
    </row>
    <row r="3" spans="1:19" x14ac:dyDescent="0.2">
      <c r="A3" s="92"/>
      <c r="B3" s="65" t="s">
        <v>187</v>
      </c>
      <c r="F3" s="65" t="s">
        <v>210</v>
      </c>
      <c r="J3" s="65" t="s">
        <v>187</v>
      </c>
      <c r="N3" s="65" t="s">
        <v>303</v>
      </c>
    </row>
    <row r="4" spans="1:19" x14ac:dyDescent="0.2">
      <c r="A4" s="92"/>
      <c r="B4" s="65" t="s">
        <v>209</v>
      </c>
      <c r="F4" s="65" t="s">
        <v>211</v>
      </c>
      <c r="J4" s="65" t="s">
        <v>212</v>
      </c>
      <c r="N4" s="65" t="s">
        <v>304</v>
      </c>
      <c r="R4" s="25" t="s">
        <v>91</v>
      </c>
      <c r="S4" s="121" t="s">
        <v>94</v>
      </c>
    </row>
    <row r="5" spans="1:19" x14ac:dyDescent="0.2">
      <c r="A5" s="92"/>
      <c r="B5" s="38">
        <v>597271</v>
      </c>
      <c r="C5" s="110" t="s">
        <v>103</v>
      </c>
      <c r="D5" s="110" t="s">
        <v>184</v>
      </c>
      <c r="F5" s="38">
        <v>597290</v>
      </c>
      <c r="G5" s="110" t="s">
        <v>103</v>
      </c>
      <c r="H5" s="110" t="s">
        <v>184</v>
      </c>
      <c r="J5" s="65">
        <v>597293</v>
      </c>
      <c r="K5" s="110" t="s">
        <v>103</v>
      </c>
      <c r="L5" s="110" t="s">
        <v>184</v>
      </c>
      <c r="N5" s="65">
        <v>597316</v>
      </c>
      <c r="O5" s="110" t="s">
        <v>103</v>
      </c>
      <c r="P5" s="110" t="s">
        <v>184</v>
      </c>
      <c r="R5" s="25" t="s">
        <v>191</v>
      </c>
      <c r="S5" s="121" t="s">
        <v>192</v>
      </c>
    </row>
    <row r="6" spans="1:19" x14ac:dyDescent="0.2">
      <c r="A6" s="92">
        <v>1</v>
      </c>
      <c r="B6" s="165">
        <v>3751</v>
      </c>
      <c r="C6" s="110">
        <f>6.44+0.0125</f>
        <v>6.4525000000000006</v>
      </c>
      <c r="D6" s="111">
        <f>+B6*C6</f>
        <v>24203.327500000003</v>
      </c>
      <c r="F6" s="165">
        <v>4100</v>
      </c>
      <c r="G6" s="110">
        <f>6.44+0.0125</f>
        <v>6.4525000000000006</v>
      </c>
      <c r="H6" s="111">
        <f>+F6*G6</f>
        <v>26455.250000000004</v>
      </c>
      <c r="J6" s="165">
        <v>3674</v>
      </c>
      <c r="K6" s="110">
        <f>6.44+0.0125</f>
        <v>6.4525000000000006</v>
      </c>
      <c r="L6" s="111">
        <f>+J6*K6</f>
        <v>23706.485000000001</v>
      </c>
      <c r="N6" s="65">
        <v>6160</v>
      </c>
      <c r="O6" s="110">
        <f>6.44+0.0125</f>
        <v>6.4525000000000006</v>
      </c>
      <c r="P6" s="111">
        <f>+N6*O6</f>
        <v>39747.4</v>
      </c>
      <c r="R6" s="65">
        <f>SUM(B6,F6,J6,N6)</f>
        <v>17685</v>
      </c>
      <c r="S6" s="121">
        <f>ROUND(+R6*(1-0.02184),0)-1</f>
        <v>17298</v>
      </c>
    </row>
    <row r="7" spans="1:19" x14ac:dyDescent="0.2">
      <c r="A7" s="92">
        <f>+A6+1</f>
        <v>2</v>
      </c>
      <c r="B7" s="65">
        <f>+B6</f>
        <v>3751</v>
      </c>
      <c r="C7" s="110">
        <f>+C6</f>
        <v>6.4525000000000006</v>
      </c>
      <c r="D7" s="111">
        <f t="shared" ref="D7:D33" si="0">+B7*C7</f>
        <v>24203.327500000003</v>
      </c>
      <c r="F7" s="65">
        <f>+F6</f>
        <v>4100</v>
      </c>
      <c r="G7" s="110">
        <f>+G6</f>
        <v>6.4525000000000006</v>
      </c>
      <c r="H7" s="111">
        <f t="shared" ref="H7:H33" si="1">+F7*G7</f>
        <v>26455.250000000004</v>
      </c>
      <c r="J7" s="65">
        <f>+J6</f>
        <v>3674</v>
      </c>
      <c r="K7" s="110">
        <f>+K6</f>
        <v>6.4525000000000006</v>
      </c>
      <c r="L7" s="111">
        <f t="shared" ref="L7:L33" si="2">+J7*K7</f>
        <v>23706.485000000001</v>
      </c>
      <c r="N7" s="65">
        <f>+N6</f>
        <v>6160</v>
      </c>
      <c r="O7" s="110">
        <f>+O6</f>
        <v>6.4525000000000006</v>
      </c>
      <c r="P7" s="111">
        <f t="shared" ref="P7:P33" si="3">+N7*O7</f>
        <v>39747.4</v>
      </c>
      <c r="R7" s="65">
        <f t="shared" ref="R7:R33" si="4">SUM(B7,F7,J7,N7)</f>
        <v>17685</v>
      </c>
      <c r="S7" s="121">
        <f t="shared" ref="S7:S33" si="5">ROUND(+R7*(1-0.02184),0)-1</f>
        <v>17298</v>
      </c>
    </row>
    <row r="8" spans="1:19" x14ac:dyDescent="0.2">
      <c r="A8" s="92">
        <f t="shared" ref="A8:A33" si="6">+A7+1</f>
        <v>3</v>
      </c>
      <c r="B8" s="65">
        <f t="shared" ref="B8:C33" si="7">+B7</f>
        <v>3751</v>
      </c>
      <c r="C8" s="110">
        <f t="shared" si="7"/>
        <v>6.4525000000000006</v>
      </c>
      <c r="D8" s="111">
        <f t="shared" si="0"/>
        <v>24203.327500000003</v>
      </c>
      <c r="F8" s="65">
        <f t="shared" ref="F8:F33" si="8">+F7</f>
        <v>4100</v>
      </c>
      <c r="G8" s="110">
        <f t="shared" ref="G8:G23" si="9">+G7</f>
        <v>6.4525000000000006</v>
      </c>
      <c r="H8" s="111">
        <f t="shared" si="1"/>
        <v>26455.250000000004</v>
      </c>
      <c r="J8" s="65">
        <f t="shared" ref="J8:J33" si="10">+J7</f>
        <v>3674</v>
      </c>
      <c r="K8" s="110">
        <f t="shared" ref="K8:K33" si="11">+K7</f>
        <v>6.4525000000000006</v>
      </c>
      <c r="L8" s="111">
        <f t="shared" si="2"/>
        <v>23706.485000000001</v>
      </c>
      <c r="N8" s="65">
        <f t="shared" ref="N8:N33" si="12">+N7</f>
        <v>6160</v>
      </c>
      <c r="O8" s="110">
        <f t="shared" ref="O8:O33" si="13">+O7</f>
        <v>6.4525000000000006</v>
      </c>
      <c r="P8" s="111">
        <f t="shared" si="3"/>
        <v>39747.4</v>
      </c>
      <c r="R8" s="65">
        <f t="shared" si="4"/>
        <v>17685</v>
      </c>
      <c r="S8" s="121">
        <f t="shared" si="5"/>
        <v>17298</v>
      </c>
    </row>
    <row r="9" spans="1:19" x14ac:dyDescent="0.2">
      <c r="A9" s="92">
        <f t="shared" si="6"/>
        <v>4</v>
      </c>
      <c r="B9" s="65">
        <f t="shared" si="7"/>
        <v>3751</v>
      </c>
      <c r="C9" s="110">
        <f t="shared" si="7"/>
        <v>6.4525000000000006</v>
      </c>
      <c r="D9" s="111">
        <f t="shared" si="0"/>
        <v>24203.327500000003</v>
      </c>
      <c r="F9" s="65">
        <f t="shared" si="8"/>
        <v>4100</v>
      </c>
      <c r="G9" s="110">
        <f t="shared" si="9"/>
        <v>6.4525000000000006</v>
      </c>
      <c r="H9" s="111">
        <f t="shared" si="1"/>
        <v>26455.250000000004</v>
      </c>
      <c r="J9" s="65">
        <f t="shared" si="10"/>
        <v>3674</v>
      </c>
      <c r="K9" s="110">
        <f t="shared" si="11"/>
        <v>6.4525000000000006</v>
      </c>
      <c r="L9" s="111">
        <f t="shared" si="2"/>
        <v>23706.485000000001</v>
      </c>
      <c r="N9" s="65">
        <f t="shared" si="12"/>
        <v>6160</v>
      </c>
      <c r="O9" s="110">
        <f t="shared" si="13"/>
        <v>6.4525000000000006</v>
      </c>
      <c r="P9" s="111">
        <f t="shared" si="3"/>
        <v>39747.4</v>
      </c>
      <c r="R9" s="65">
        <f t="shared" si="4"/>
        <v>17685</v>
      </c>
      <c r="S9" s="121">
        <f t="shared" si="5"/>
        <v>17298</v>
      </c>
    </row>
    <row r="10" spans="1:19" x14ac:dyDescent="0.2">
      <c r="A10" s="92">
        <f t="shared" si="6"/>
        <v>5</v>
      </c>
      <c r="B10" s="65">
        <f t="shared" si="7"/>
        <v>3751</v>
      </c>
      <c r="C10" s="110">
        <f t="shared" si="7"/>
        <v>6.4525000000000006</v>
      </c>
      <c r="D10" s="111">
        <f t="shared" si="0"/>
        <v>24203.327500000003</v>
      </c>
      <c r="F10" s="65">
        <f t="shared" si="8"/>
        <v>4100</v>
      </c>
      <c r="G10" s="110">
        <f t="shared" si="9"/>
        <v>6.4525000000000006</v>
      </c>
      <c r="H10" s="111">
        <f t="shared" si="1"/>
        <v>26455.250000000004</v>
      </c>
      <c r="J10" s="65">
        <f t="shared" si="10"/>
        <v>3674</v>
      </c>
      <c r="K10" s="110">
        <f t="shared" si="11"/>
        <v>6.4525000000000006</v>
      </c>
      <c r="L10" s="111">
        <f t="shared" si="2"/>
        <v>23706.485000000001</v>
      </c>
      <c r="N10" s="65">
        <f t="shared" si="12"/>
        <v>6160</v>
      </c>
      <c r="O10" s="110">
        <f t="shared" si="13"/>
        <v>6.4525000000000006</v>
      </c>
      <c r="P10" s="111">
        <f t="shared" si="3"/>
        <v>39747.4</v>
      </c>
      <c r="R10" s="65">
        <f t="shared" si="4"/>
        <v>17685</v>
      </c>
      <c r="S10" s="121">
        <f t="shared" si="5"/>
        <v>17298</v>
      </c>
    </row>
    <row r="11" spans="1:19" x14ac:dyDescent="0.2">
      <c r="A11" s="92">
        <f t="shared" si="6"/>
        <v>6</v>
      </c>
      <c r="B11" s="65">
        <f t="shared" si="7"/>
        <v>3751</v>
      </c>
      <c r="C11" s="110">
        <f t="shared" si="7"/>
        <v>6.4525000000000006</v>
      </c>
      <c r="D11" s="111">
        <f t="shared" si="0"/>
        <v>24203.327500000003</v>
      </c>
      <c r="F11" s="65">
        <f t="shared" si="8"/>
        <v>4100</v>
      </c>
      <c r="G11" s="110">
        <f t="shared" si="9"/>
        <v>6.4525000000000006</v>
      </c>
      <c r="H11" s="111">
        <f t="shared" si="1"/>
        <v>26455.250000000004</v>
      </c>
      <c r="J11" s="65">
        <f t="shared" si="10"/>
        <v>3674</v>
      </c>
      <c r="K11" s="110">
        <f t="shared" si="11"/>
        <v>6.4525000000000006</v>
      </c>
      <c r="L11" s="111">
        <f t="shared" si="2"/>
        <v>23706.485000000001</v>
      </c>
      <c r="N11" s="65">
        <f t="shared" si="12"/>
        <v>6160</v>
      </c>
      <c r="O11" s="110">
        <f t="shared" si="13"/>
        <v>6.4525000000000006</v>
      </c>
      <c r="P11" s="111">
        <f t="shared" si="3"/>
        <v>39747.4</v>
      </c>
      <c r="R11" s="65">
        <f t="shared" si="4"/>
        <v>17685</v>
      </c>
      <c r="S11" s="121">
        <f t="shared" si="5"/>
        <v>17298</v>
      </c>
    </row>
    <row r="12" spans="1:19" x14ac:dyDescent="0.2">
      <c r="A12" s="92">
        <f t="shared" si="6"/>
        <v>7</v>
      </c>
      <c r="B12" s="65">
        <f t="shared" si="7"/>
        <v>3751</v>
      </c>
      <c r="C12" s="110">
        <f t="shared" si="7"/>
        <v>6.4525000000000006</v>
      </c>
      <c r="D12" s="111">
        <f t="shared" si="0"/>
        <v>24203.327500000003</v>
      </c>
      <c r="F12" s="65">
        <f t="shared" si="8"/>
        <v>4100</v>
      </c>
      <c r="G12" s="110">
        <f t="shared" si="9"/>
        <v>6.4525000000000006</v>
      </c>
      <c r="H12" s="111">
        <f t="shared" si="1"/>
        <v>26455.250000000004</v>
      </c>
      <c r="J12" s="65">
        <f t="shared" si="10"/>
        <v>3674</v>
      </c>
      <c r="K12" s="110">
        <f t="shared" si="11"/>
        <v>6.4525000000000006</v>
      </c>
      <c r="L12" s="111">
        <f t="shared" si="2"/>
        <v>23706.485000000001</v>
      </c>
      <c r="N12" s="65">
        <f t="shared" si="12"/>
        <v>6160</v>
      </c>
      <c r="O12" s="110">
        <f t="shared" si="13"/>
        <v>6.4525000000000006</v>
      </c>
      <c r="P12" s="111">
        <f t="shared" si="3"/>
        <v>39747.4</v>
      </c>
      <c r="R12" s="65">
        <f t="shared" si="4"/>
        <v>17685</v>
      </c>
      <c r="S12" s="121">
        <f t="shared" si="5"/>
        <v>17298</v>
      </c>
    </row>
    <row r="13" spans="1:19" x14ac:dyDescent="0.2">
      <c r="A13" s="92">
        <f t="shared" si="6"/>
        <v>8</v>
      </c>
      <c r="B13" s="65">
        <v>3500</v>
      </c>
      <c r="C13" s="110">
        <f t="shared" si="7"/>
        <v>6.4525000000000006</v>
      </c>
      <c r="D13" s="111">
        <f t="shared" si="0"/>
        <v>22583.750000000004</v>
      </c>
      <c r="F13" s="65">
        <f t="shared" si="8"/>
        <v>4100</v>
      </c>
      <c r="G13" s="110">
        <f t="shared" si="9"/>
        <v>6.4525000000000006</v>
      </c>
      <c r="H13" s="111">
        <f t="shared" si="1"/>
        <v>26455.250000000004</v>
      </c>
      <c r="J13" s="65">
        <f t="shared" si="10"/>
        <v>3674</v>
      </c>
      <c r="K13" s="110">
        <f t="shared" si="11"/>
        <v>6.4525000000000006</v>
      </c>
      <c r="L13" s="111">
        <f t="shared" si="2"/>
        <v>23706.485000000001</v>
      </c>
      <c r="N13" s="65">
        <f t="shared" si="12"/>
        <v>6160</v>
      </c>
      <c r="O13" s="110">
        <f t="shared" si="13"/>
        <v>6.4525000000000006</v>
      </c>
      <c r="P13" s="111">
        <f t="shared" si="3"/>
        <v>39747.4</v>
      </c>
      <c r="R13" s="65">
        <f t="shared" si="4"/>
        <v>17434</v>
      </c>
      <c r="S13" s="121">
        <f t="shared" si="5"/>
        <v>17052</v>
      </c>
    </row>
    <row r="14" spans="1:19" x14ac:dyDescent="0.2">
      <c r="A14" s="92">
        <f t="shared" si="6"/>
        <v>9</v>
      </c>
      <c r="B14" s="65">
        <f t="shared" si="7"/>
        <v>3500</v>
      </c>
      <c r="C14" s="110">
        <f t="shared" si="7"/>
        <v>6.4525000000000006</v>
      </c>
      <c r="D14" s="111">
        <f t="shared" si="0"/>
        <v>22583.750000000004</v>
      </c>
      <c r="F14" s="65">
        <f t="shared" si="8"/>
        <v>4100</v>
      </c>
      <c r="G14" s="110">
        <f t="shared" si="9"/>
        <v>6.4525000000000006</v>
      </c>
      <c r="H14" s="111">
        <f t="shared" si="1"/>
        <v>26455.250000000004</v>
      </c>
      <c r="J14" s="65">
        <f t="shared" si="10"/>
        <v>3674</v>
      </c>
      <c r="K14" s="110">
        <f t="shared" si="11"/>
        <v>6.4525000000000006</v>
      </c>
      <c r="L14" s="111">
        <f t="shared" si="2"/>
        <v>23706.485000000001</v>
      </c>
      <c r="N14" s="65">
        <f t="shared" si="12"/>
        <v>6160</v>
      </c>
      <c r="O14" s="110">
        <f t="shared" si="13"/>
        <v>6.4525000000000006</v>
      </c>
      <c r="P14" s="111">
        <f t="shared" si="3"/>
        <v>39747.4</v>
      </c>
      <c r="R14" s="65">
        <f t="shared" si="4"/>
        <v>17434</v>
      </c>
      <c r="S14" s="121">
        <f t="shared" si="5"/>
        <v>17052</v>
      </c>
    </row>
    <row r="15" spans="1:19" x14ac:dyDescent="0.2">
      <c r="A15" s="92">
        <f t="shared" si="6"/>
        <v>10</v>
      </c>
      <c r="B15" s="65">
        <v>4001</v>
      </c>
      <c r="C15" s="110">
        <f t="shared" si="7"/>
        <v>6.4525000000000006</v>
      </c>
      <c r="D15" s="111">
        <f t="shared" si="0"/>
        <v>25816.452500000003</v>
      </c>
      <c r="F15" s="65">
        <f t="shared" si="8"/>
        <v>4100</v>
      </c>
      <c r="G15" s="110">
        <f t="shared" si="9"/>
        <v>6.4525000000000006</v>
      </c>
      <c r="H15" s="111">
        <f t="shared" si="1"/>
        <v>26455.250000000004</v>
      </c>
      <c r="J15" s="65">
        <f t="shared" si="10"/>
        <v>3674</v>
      </c>
      <c r="K15" s="110">
        <f t="shared" si="11"/>
        <v>6.4525000000000006</v>
      </c>
      <c r="L15" s="111">
        <f t="shared" si="2"/>
        <v>23706.485000000001</v>
      </c>
      <c r="N15" s="65">
        <f t="shared" si="12"/>
        <v>6160</v>
      </c>
      <c r="O15" s="110">
        <f t="shared" si="13"/>
        <v>6.4525000000000006</v>
      </c>
      <c r="P15" s="111">
        <f t="shared" si="3"/>
        <v>39747.4</v>
      </c>
      <c r="R15" s="65">
        <f t="shared" si="4"/>
        <v>17935</v>
      </c>
      <c r="S15" s="121">
        <f t="shared" si="5"/>
        <v>17542</v>
      </c>
    </row>
    <row r="16" spans="1:19" x14ac:dyDescent="0.2">
      <c r="A16" s="92">
        <f t="shared" si="6"/>
        <v>11</v>
      </c>
      <c r="B16" s="65">
        <f t="shared" si="7"/>
        <v>4001</v>
      </c>
      <c r="C16" s="110">
        <f t="shared" si="7"/>
        <v>6.4525000000000006</v>
      </c>
      <c r="D16" s="111">
        <f t="shared" si="0"/>
        <v>25816.452500000003</v>
      </c>
      <c r="F16" s="65">
        <f t="shared" si="8"/>
        <v>4100</v>
      </c>
      <c r="G16" s="110">
        <f t="shared" si="9"/>
        <v>6.4525000000000006</v>
      </c>
      <c r="H16" s="111">
        <f t="shared" si="1"/>
        <v>26455.250000000004</v>
      </c>
      <c r="J16" s="65">
        <f t="shared" si="10"/>
        <v>3674</v>
      </c>
      <c r="K16" s="110">
        <f t="shared" si="11"/>
        <v>6.4525000000000006</v>
      </c>
      <c r="L16" s="111">
        <f t="shared" si="2"/>
        <v>23706.485000000001</v>
      </c>
      <c r="N16" s="65">
        <f t="shared" si="12"/>
        <v>6160</v>
      </c>
      <c r="O16" s="110">
        <f t="shared" si="13"/>
        <v>6.4525000000000006</v>
      </c>
      <c r="P16" s="111">
        <f t="shared" si="3"/>
        <v>39747.4</v>
      </c>
      <c r="R16" s="65">
        <f t="shared" si="4"/>
        <v>17935</v>
      </c>
      <c r="S16" s="121">
        <f t="shared" si="5"/>
        <v>17542</v>
      </c>
    </row>
    <row r="17" spans="1:19" x14ac:dyDescent="0.2">
      <c r="A17" s="92">
        <f t="shared" si="6"/>
        <v>12</v>
      </c>
      <c r="B17" s="65">
        <v>3751</v>
      </c>
      <c r="C17" s="110">
        <f t="shared" si="7"/>
        <v>6.4525000000000006</v>
      </c>
      <c r="D17" s="111">
        <f t="shared" si="0"/>
        <v>24203.327500000003</v>
      </c>
      <c r="F17" s="65">
        <f t="shared" si="8"/>
        <v>4100</v>
      </c>
      <c r="G17" s="110">
        <f t="shared" si="9"/>
        <v>6.4525000000000006</v>
      </c>
      <c r="H17" s="111">
        <f t="shared" si="1"/>
        <v>26455.250000000004</v>
      </c>
      <c r="J17" s="65">
        <f t="shared" si="10"/>
        <v>3674</v>
      </c>
      <c r="K17" s="110">
        <f t="shared" si="11"/>
        <v>6.4525000000000006</v>
      </c>
      <c r="L17" s="111">
        <f t="shared" si="2"/>
        <v>23706.485000000001</v>
      </c>
      <c r="N17" s="65">
        <f t="shared" si="12"/>
        <v>6160</v>
      </c>
      <c r="O17" s="110">
        <f t="shared" si="13"/>
        <v>6.4525000000000006</v>
      </c>
      <c r="P17" s="111">
        <f t="shared" si="3"/>
        <v>39747.4</v>
      </c>
      <c r="R17" s="65">
        <f t="shared" si="4"/>
        <v>17685</v>
      </c>
      <c r="S17" s="121">
        <f t="shared" si="5"/>
        <v>17298</v>
      </c>
    </row>
    <row r="18" spans="1:19" x14ac:dyDescent="0.2">
      <c r="A18" s="92">
        <f t="shared" si="6"/>
        <v>13</v>
      </c>
      <c r="B18" s="65">
        <f t="shared" si="7"/>
        <v>3751</v>
      </c>
      <c r="C18" s="110">
        <f t="shared" si="7"/>
        <v>6.4525000000000006</v>
      </c>
      <c r="D18" s="111">
        <f t="shared" si="0"/>
        <v>24203.327500000003</v>
      </c>
      <c r="F18" s="65">
        <f t="shared" si="8"/>
        <v>4100</v>
      </c>
      <c r="G18" s="110">
        <f t="shared" si="9"/>
        <v>6.4525000000000006</v>
      </c>
      <c r="H18" s="111">
        <f t="shared" si="1"/>
        <v>26455.250000000004</v>
      </c>
      <c r="J18" s="65">
        <f t="shared" si="10"/>
        <v>3674</v>
      </c>
      <c r="K18" s="110">
        <f t="shared" si="11"/>
        <v>6.4525000000000006</v>
      </c>
      <c r="L18" s="111">
        <f t="shared" si="2"/>
        <v>23706.485000000001</v>
      </c>
      <c r="N18" s="65">
        <f t="shared" si="12"/>
        <v>6160</v>
      </c>
      <c r="O18" s="110">
        <f t="shared" si="13"/>
        <v>6.4525000000000006</v>
      </c>
      <c r="P18" s="111">
        <f t="shared" si="3"/>
        <v>39747.4</v>
      </c>
      <c r="R18" s="65">
        <f t="shared" si="4"/>
        <v>17685</v>
      </c>
      <c r="S18" s="121">
        <f t="shared" si="5"/>
        <v>17298</v>
      </c>
    </row>
    <row r="19" spans="1:19" x14ac:dyDescent="0.2">
      <c r="A19" s="92">
        <f t="shared" si="6"/>
        <v>14</v>
      </c>
      <c r="B19" s="65">
        <f t="shared" si="7"/>
        <v>3751</v>
      </c>
      <c r="C19" s="110">
        <f t="shared" si="7"/>
        <v>6.4525000000000006</v>
      </c>
      <c r="D19" s="111">
        <f t="shared" si="0"/>
        <v>24203.327500000003</v>
      </c>
      <c r="F19" s="65">
        <f t="shared" si="8"/>
        <v>4100</v>
      </c>
      <c r="G19" s="110">
        <f t="shared" si="9"/>
        <v>6.4525000000000006</v>
      </c>
      <c r="H19" s="111">
        <f t="shared" si="1"/>
        <v>26455.250000000004</v>
      </c>
      <c r="J19" s="65">
        <f t="shared" si="10"/>
        <v>3674</v>
      </c>
      <c r="K19" s="110">
        <f t="shared" si="11"/>
        <v>6.4525000000000006</v>
      </c>
      <c r="L19" s="111">
        <f t="shared" si="2"/>
        <v>23706.485000000001</v>
      </c>
      <c r="N19" s="65">
        <f t="shared" si="12"/>
        <v>6160</v>
      </c>
      <c r="O19" s="110">
        <f t="shared" si="13"/>
        <v>6.4525000000000006</v>
      </c>
      <c r="P19" s="111">
        <f t="shared" si="3"/>
        <v>39747.4</v>
      </c>
      <c r="R19" s="65">
        <f t="shared" si="4"/>
        <v>17685</v>
      </c>
      <c r="S19" s="121">
        <f t="shared" si="5"/>
        <v>17298</v>
      </c>
    </row>
    <row r="20" spans="1:19" x14ac:dyDescent="0.2">
      <c r="A20" s="92">
        <f t="shared" si="6"/>
        <v>15</v>
      </c>
      <c r="B20" s="65">
        <f t="shared" si="7"/>
        <v>3751</v>
      </c>
      <c r="C20" s="110">
        <f t="shared" si="7"/>
        <v>6.4525000000000006</v>
      </c>
      <c r="D20" s="111">
        <f t="shared" si="0"/>
        <v>24203.327500000003</v>
      </c>
      <c r="F20" s="65">
        <f t="shared" si="8"/>
        <v>4100</v>
      </c>
      <c r="G20" s="110">
        <f t="shared" si="9"/>
        <v>6.4525000000000006</v>
      </c>
      <c r="H20" s="111">
        <f t="shared" si="1"/>
        <v>26455.250000000004</v>
      </c>
      <c r="J20" s="65">
        <f t="shared" si="10"/>
        <v>3674</v>
      </c>
      <c r="K20" s="110">
        <f t="shared" si="11"/>
        <v>6.4525000000000006</v>
      </c>
      <c r="L20" s="111">
        <f t="shared" si="2"/>
        <v>23706.485000000001</v>
      </c>
      <c r="N20" s="65">
        <f t="shared" si="12"/>
        <v>6160</v>
      </c>
      <c r="O20" s="110">
        <f t="shared" si="13"/>
        <v>6.4525000000000006</v>
      </c>
      <c r="P20" s="111">
        <f t="shared" si="3"/>
        <v>39747.4</v>
      </c>
      <c r="R20" s="65">
        <f t="shared" si="4"/>
        <v>17685</v>
      </c>
      <c r="S20" s="121">
        <f t="shared" si="5"/>
        <v>17298</v>
      </c>
    </row>
    <row r="21" spans="1:19" x14ac:dyDescent="0.2">
      <c r="A21" s="92">
        <f t="shared" si="6"/>
        <v>16</v>
      </c>
      <c r="B21" s="65">
        <f t="shared" si="7"/>
        <v>3751</v>
      </c>
      <c r="C21" s="110">
        <f t="shared" si="7"/>
        <v>6.4525000000000006</v>
      </c>
      <c r="D21" s="111">
        <f t="shared" si="0"/>
        <v>24203.327500000003</v>
      </c>
      <c r="F21" s="65">
        <f t="shared" si="8"/>
        <v>4100</v>
      </c>
      <c r="G21" s="110">
        <f t="shared" si="9"/>
        <v>6.4525000000000006</v>
      </c>
      <c r="H21" s="111">
        <f t="shared" si="1"/>
        <v>26455.250000000004</v>
      </c>
      <c r="J21" s="65">
        <f t="shared" si="10"/>
        <v>3674</v>
      </c>
      <c r="K21" s="110">
        <f t="shared" si="11"/>
        <v>6.4525000000000006</v>
      </c>
      <c r="L21" s="111">
        <f t="shared" si="2"/>
        <v>23706.485000000001</v>
      </c>
      <c r="N21" s="65">
        <f t="shared" si="12"/>
        <v>6160</v>
      </c>
      <c r="O21" s="110">
        <f t="shared" si="13"/>
        <v>6.4525000000000006</v>
      </c>
      <c r="P21" s="111">
        <f t="shared" si="3"/>
        <v>39747.4</v>
      </c>
      <c r="R21" s="65">
        <f t="shared" si="4"/>
        <v>17685</v>
      </c>
      <c r="S21" s="121">
        <f t="shared" si="5"/>
        <v>17298</v>
      </c>
    </row>
    <row r="22" spans="1:19" x14ac:dyDescent="0.2">
      <c r="A22" s="92">
        <f t="shared" si="6"/>
        <v>17</v>
      </c>
      <c r="B22" s="65">
        <f t="shared" si="7"/>
        <v>3751</v>
      </c>
      <c r="C22" s="110">
        <f t="shared" si="7"/>
        <v>6.4525000000000006</v>
      </c>
      <c r="D22" s="111">
        <f t="shared" si="0"/>
        <v>24203.327500000003</v>
      </c>
      <c r="F22" s="65">
        <f t="shared" si="8"/>
        <v>4100</v>
      </c>
      <c r="G22" s="110">
        <f t="shared" si="9"/>
        <v>6.4525000000000006</v>
      </c>
      <c r="H22" s="111">
        <f t="shared" si="1"/>
        <v>26455.250000000004</v>
      </c>
      <c r="J22" s="65">
        <f t="shared" si="10"/>
        <v>3674</v>
      </c>
      <c r="K22" s="110">
        <f t="shared" si="11"/>
        <v>6.4525000000000006</v>
      </c>
      <c r="L22" s="111">
        <f t="shared" si="2"/>
        <v>23706.485000000001</v>
      </c>
      <c r="N22" s="65">
        <f t="shared" si="12"/>
        <v>6160</v>
      </c>
      <c r="O22" s="110">
        <f t="shared" si="13"/>
        <v>6.4525000000000006</v>
      </c>
      <c r="P22" s="111">
        <f t="shared" si="3"/>
        <v>39747.4</v>
      </c>
      <c r="R22" s="65">
        <f t="shared" si="4"/>
        <v>17685</v>
      </c>
      <c r="S22" s="121">
        <f t="shared" si="5"/>
        <v>17298</v>
      </c>
    </row>
    <row r="23" spans="1:19" x14ac:dyDescent="0.2">
      <c r="A23" s="92">
        <f t="shared" si="6"/>
        <v>18</v>
      </c>
      <c r="B23" s="65">
        <f t="shared" si="7"/>
        <v>3751</v>
      </c>
      <c r="C23" s="110">
        <f t="shared" si="7"/>
        <v>6.4525000000000006</v>
      </c>
      <c r="D23" s="111">
        <f t="shared" si="0"/>
        <v>24203.327500000003</v>
      </c>
      <c r="F23" s="65">
        <f t="shared" si="8"/>
        <v>4100</v>
      </c>
      <c r="G23" s="110">
        <f t="shared" si="9"/>
        <v>6.4525000000000006</v>
      </c>
      <c r="H23" s="111">
        <f t="shared" si="1"/>
        <v>26455.250000000004</v>
      </c>
      <c r="J23" s="65">
        <f t="shared" si="10"/>
        <v>3674</v>
      </c>
      <c r="K23" s="110">
        <f t="shared" si="11"/>
        <v>6.4525000000000006</v>
      </c>
      <c r="L23" s="111">
        <f t="shared" si="2"/>
        <v>23706.485000000001</v>
      </c>
      <c r="N23" s="65">
        <f t="shared" si="12"/>
        <v>6160</v>
      </c>
      <c r="O23" s="110">
        <f t="shared" si="13"/>
        <v>6.4525000000000006</v>
      </c>
      <c r="P23" s="111">
        <f t="shared" si="3"/>
        <v>39747.4</v>
      </c>
      <c r="R23" s="65">
        <f t="shared" si="4"/>
        <v>17685</v>
      </c>
      <c r="S23" s="121">
        <f t="shared" si="5"/>
        <v>17298</v>
      </c>
    </row>
    <row r="24" spans="1:19" x14ac:dyDescent="0.2">
      <c r="A24" s="92">
        <f t="shared" si="6"/>
        <v>19</v>
      </c>
      <c r="B24" s="65">
        <f t="shared" si="7"/>
        <v>3751</v>
      </c>
      <c r="C24" s="110">
        <f t="shared" si="7"/>
        <v>6.4525000000000006</v>
      </c>
      <c r="D24" s="111">
        <f t="shared" si="0"/>
        <v>24203.327500000003</v>
      </c>
      <c r="F24" s="65">
        <f t="shared" si="8"/>
        <v>4100</v>
      </c>
      <c r="G24" s="110">
        <f t="shared" ref="G24:G33" si="14">+G23</f>
        <v>6.4525000000000006</v>
      </c>
      <c r="H24" s="111">
        <f t="shared" si="1"/>
        <v>26455.250000000004</v>
      </c>
      <c r="J24" s="65">
        <f t="shared" si="10"/>
        <v>3674</v>
      </c>
      <c r="K24" s="110">
        <f t="shared" si="11"/>
        <v>6.4525000000000006</v>
      </c>
      <c r="L24" s="111">
        <f t="shared" si="2"/>
        <v>23706.485000000001</v>
      </c>
      <c r="N24" s="65">
        <f t="shared" si="12"/>
        <v>6160</v>
      </c>
      <c r="O24" s="110">
        <f t="shared" si="13"/>
        <v>6.4525000000000006</v>
      </c>
      <c r="P24" s="111">
        <f t="shared" si="3"/>
        <v>39747.4</v>
      </c>
      <c r="R24" s="65">
        <f t="shared" si="4"/>
        <v>17685</v>
      </c>
      <c r="S24" s="121">
        <f t="shared" si="5"/>
        <v>17298</v>
      </c>
    </row>
    <row r="25" spans="1:19" x14ac:dyDescent="0.2">
      <c r="A25" s="92">
        <f t="shared" si="6"/>
        <v>20</v>
      </c>
      <c r="B25" s="65">
        <f t="shared" si="7"/>
        <v>3751</v>
      </c>
      <c r="C25" s="110">
        <f t="shared" si="7"/>
        <v>6.4525000000000006</v>
      </c>
      <c r="D25" s="111">
        <f t="shared" si="0"/>
        <v>24203.327500000003</v>
      </c>
      <c r="F25" s="65">
        <f t="shared" si="8"/>
        <v>4100</v>
      </c>
      <c r="G25" s="110">
        <f t="shared" si="14"/>
        <v>6.4525000000000006</v>
      </c>
      <c r="H25" s="111">
        <f t="shared" si="1"/>
        <v>26455.250000000004</v>
      </c>
      <c r="J25" s="65">
        <f t="shared" si="10"/>
        <v>3674</v>
      </c>
      <c r="K25" s="110">
        <f t="shared" si="11"/>
        <v>6.4525000000000006</v>
      </c>
      <c r="L25" s="111">
        <f t="shared" si="2"/>
        <v>23706.485000000001</v>
      </c>
      <c r="N25" s="65">
        <f t="shared" si="12"/>
        <v>6160</v>
      </c>
      <c r="O25" s="110">
        <f t="shared" si="13"/>
        <v>6.4525000000000006</v>
      </c>
      <c r="P25" s="111">
        <f t="shared" si="3"/>
        <v>39747.4</v>
      </c>
      <c r="R25" s="65">
        <f t="shared" si="4"/>
        <v>17685</v>
      </c>
      <c r="S25" s="121">
        <f t="shared" si="5"/>
        <v>17298</v>
      </c>
    </row>
    <row r="26" spans="1:19" x14ac:dyDescent="0.2">
      <c r="A26" s="92">
        <f t="shared" si="6"/>
        <v>21</v>
      </c>
      <c r="B26" s="65">
        <f t="shared" si="7"/>
        <v>3751</v>
      </c>
      <c r="C26" s="110">
        <f t="shared" si="7"/>
        <v>6.4525000000000006</v>
      </c>
      <c r="D26" s="111">
        <f t="shared" si="0"/>
        <v>24203.327500000003</v>
      </c>
      <c r="F26" s="65">
        <f t="shared" si="8"/>
        <v>4100</v>
      </c>
      <c r="G26" s="110">
        <f t="shared" si="14"/>
        <v>6.4525000000000006</v>
      </c>
      <c r="H26" s="111">
        <f t="shared" si="1"/>
        <v>26455.250000000004</v>
      </c>
      <c r="J26" s="65">
        <f t="shared" si="10"/>
        <v>3674</v>
      </c>
      <c r="K26" s="110">
        <f t="shared" si="11"/>
        <v>6.4525000000000006</v>
      </c>
      <c r="L26" s="111">
        <f t="shared" si="2"/>
        <v>23706.485000000001</v>
      </c>
      <c r="N26" s="65">
        <f t="shared" si="12"/>
        <v>6160</v>
      </c>
      <c r="O26" s="110">
        <f t="shared" si="13"/>
        <v>6.4525000000000006</v>
      </c>
      <c r="P26" s="111">
        <f t="shared" si="3"/>
        <v>39747.4</v>
      </c>
      <c r="R26" s="65">
        <f t="shared" si="4"/>
        <v>17685</v>
      </c>
      <c r="S26" s="121">
        <f t="shared" si="5"/>
        <v>17298</v>
      </c>
    </row>
    <row r="27" spans="1:19" x14ac:dyDescent="0.2">
      <c r="A27" s="92">
        <f t="shared" si="6"/>
        <v>22</v>
      </c>
      <c r="B27" s="65">
        <f t="shared" si="7"/>
        <v>3751</v>
      </c>
      <c r="C27" s="110">
        <f t="shared" si="7"/>
        <v>6.4525000000000006</v>
      </c>
      <c r="D27" s="111">
        <f t="shared" si="0"/>
        <v>24203.327500000003</v>
      </c>
      <c r="F27" s="65">
        <f t="shared" si="8"/>
        <v>4100</v>
      </c>
      <c r="G27" s="110">
        <f t="shared" si="14"/>
        <v>6.4525000000000006</v>
      </c>
      <c r="H27" s="111">
        <f t="shared" si="1"/>
        <v>26455.250000000004</v>
      </c>
      <c r="J27" s="65">
        <f t="shared" si="10"/>
        <v>3674</v>
      </c>
      <c r="K27" s="110">
        <f t="shared" si="11"/>
        <v>6.4525000000000006</v>
      </c>
      <c r="L27" s="111">
        <f t="shared" si="2"/>
        <v>23706.485000000001</v>
      </c>
      <c r="N27" s="65">
        <f t="shared" si="12"/>
        <v>6160</v>
      </c>
      <c r="O27" s="110">
        <f t="shared" si="13"/>
        <v>6.4525000000000006</v>
      </c>
      <c r="P27" s="111">
        <f t="shared" si="3"/>
        <v>39747.4</v>
      </c>
      <c r="R27" s="65">
        <f t="shared" si="4"/>
        <v>17685</v>
      </c>
      <c r="S27" s="121">
        <f t="shared" si="5"/>
        <v>17298</v>
      </c>
    </row>
    <row r="28" spans="1:19" x14ac:dyDescent="0.2">
      <c r="A28" s="92">
        <f t="shared" si="6"/>
        <v>23</v>
      </c>
      <c r="B28" s="65">
        <f t="shared" si="7"/>
        <v>3751</v>
      </c>
      <c r="C28" s="110">
        <f t="shared" si="7"/>
        <v>6.4525000000000006</v>
      </c>
      <c r="D28" s="111">
        <f t="shared" si="0"/>
        <v>24203.327500000003</v>
      </c>
      <c r="F28" s="65">
        <f t="shared" si="8"/>
        <v>4100</v>
      </c>
      <c r="G28" s="110">
        <f t="shared" si="14"/>
        <v>6.4525000000000006</v>
      </c>
      <c r="H28" s="111">
        <f t="shared" si="1"/>
        <v>26455.250000000004</v>
      </c>
      <c r="J28" s="65">
        <f t="shared" si="10"/>
        <v>3674</v>
      </c>
      <c r="K28" s="110">
        <f t="shared" si="11"/>
        <v>6.4525000000000006</v>
      </c>
      <c r="L28" s="111">
        <f t="shared" si="2"/>
        <v>23706.485000000001</v>
      </c>
      <c r="N28" s="65">
        <f t="shared" si="12"/>
        <v>6160</v>
      </c>
      <c r="O28" s="110">
        <f t="shared" si="13"/>
        <v>6.4525000000000006</v>
      </c>
      <c r="P28" s="111">
        <f t="shared" si="3"/>
        <v>39747.4</v>
      </c>
      <c r="R28" s="65">
        <f t="shared" si="4"/>
        <v>17685</v>
      </c>
      <c r="S28" s="121">
        <f t="shared" si="5"/>
        <v>17298</v>
      </c>
    </row>
    <row r="29" spans="1:19" x14ac:dyDescent="0.2">
      <c r="A29" s="92">
        <f t="shared" si="6"/>
        <v>24</v>
      </c>
      <c r="B29" s="65">
        <f t="shared" si="7"/>
        <v>3751</v>
      </c>
      <c r="C29" s="110">
        <f t="shared" si="7"/>
        <v>6.4525000000000006</v>
      </c>
      <c r="D29" s="111">
        <f t="shared" si="0"/>
        <v>24203.327500000003</v>
      </c>
      <c r="F29" s="65">
        <f t="shared" si="8"/>
        <v>4100</v>
      </c>
      <c r="G29" s="110">
        <f t="shared" si="14"/>
        <v>6.4525000000000006</v>
      </c>
      <c r="H29" s="111">
        <f t="shared" si="1"/>
        <v>26455.250000000004</v>
      </c>
      <c r="J29" s="65">
        <f t="shared" si="10"/>
        <v>3674</v>
      </c>
      <c r="K29" s="110">
        <f t="shared" si="11"/>
        <v>6.4525000000000006</v>
      </c>
      <c r="L29" s="111">
        <f t="shared" si="2"/>
        <v>23706.485000000001</v>
      </c>
      <c r="N29" s="65">
        <f t="shared" si="12"/>
        <v>6160</v>
      </c>
      <c r="O29" s="110">
        <f t="shared" si="13"/>
        <v>6.4525000000000006</v>
      </c>
      <c r="P29" s="111">
        <f t="shared" si="3"/>
        <v>39747.4</v>
      </c>
      <c r="R29" s="65">
        <f t="shared" si="4"/>
        <v>17685</v>
      </c>
      <c r="S29" s="121">
        <f t="shared" si="5"/>
        <v>17298</v>
      </c>
    </row>
    <row r="30" spans="1:19" x14ac:dyDescent="0.2">
      <c r="A30" s="92">
        <f t="shared" si="6"/>
        <v>25</v>
      </c>
      <c r="B30" s="65">
        <f t="shared" si="7"/>
        <v>3751</v>
      </c>
      <c r="C30" s="110">
        <f t="shared" si="7"/>
        <v>6.4525000000000006</v>
      </c>
      <c r="D30" s="111">
        <f t="shared" si="0"/>
        <v>24203.327500000003</v>
      </c>
      <c r="F30" s="65">
        <f t="shared" si="8"/>
        <v>4100</v>
      </c>
      <c r="G30" s="110">
        <f t="shared" si="14"/>
        <v>6.4525000000000006</v>
      </c>
      <c r="H30" s="111">
        <f t="shared" si="1"/>
        <v>26455.250000000004</v>
      </c>
      <c r="J30" s="65">
        <f t="shared" si="10"/>
        <v>3674</v>
      </c>
      <c r="K30" s="110">
        <f t="shared" si="11"/>
        <v>6.4525000000000006</v>
      </c>
      <c r="L30" s="111">
        <f t="shared" si="2"/>
        <v>23706.485000000001</v>
      </c>
      <c r="N30" s="65">
        <f t="shared" si="12"/>
        <v>6160</v>
      </c>
      <c r="O30" s="110">
        <f t="shared" si="13"/>
        <v>6.4525000000000006</v>
      </c>
      <c r="P30" s="111">
        <f t="shared" si="3"/>
        <v>39747.4</v>
      </c>
      <c r="R30" s="65">
        <f t="shared" si="4"/>
        <v>17685</v>
      </c>
      <c r="S30" s="121">
        <f t="shared" si="5"/>
        <v>17298</v>
      </c>
    </row>
    <row r="31" spans="1:19" x14ac:dyDescent="0.2">
      <c r="A31" s="92">
        <f t="shared" si="6"/>
        <v>26</v>
      </c>
      <c r="B31" s="65">
        <f t="shared" si="7"/>
        <v>3751</v>
      </c>
      <c r="C31" s="110">
        <f t="shared" si="7"/>
        <v>6.4525000000000006</v>
      </c>
      <c r="D31" s="111">
        <f t="shared" si="0"/>
        <v>24203.327500000003</v>
      </c>
      <c r="F31" s="65">
        <f t="shared" si="8"/>
        <v>4100</v>
      </c>
      <c r="G31" s="110">
        <f t="shared" si="14"/>
        <v>6.4525000000000006</v>
      </c>
      <c r="H31" s="111">
        <f t="shared" si="1"/>
        <v>26455.250000000004</v>
      </c>
      <c r="J31" s="65">
        <f t="shared" si="10"/>
        <v>3674</v>
      </c>
      <c r="K31" s="110">
        <f t="shared" si="11"/>
        <v>6.4525000000000006</v>
      </c>
      <c r="L31" s="111">
        <f t="shared" si="2"/>
        <v>23706.485000000001</v>
      </c>
      <c r="N31" s="65">
        <f t="shared" si="12"/>
        <v>6160</v>
      </c>
      <c r="O31" s="110">
        <f t="shared" si="13"/>
        <v>6.4525000000000006</v>
      </c>
      <c r="P31" s="111">
        <f t="shared" si="3"/>
        <v>39747.4</v>
      </c>
      <c r="R31" s="65">
        <f t="shared" si="4"/>
        <v>17685</v>
      </c>
      <c r="S31" s="121">
        <f t="shared" si="5"/>
        <v>17298</v>
      </c>
    </row>
    <row r="32" spans="1:19" x14ac:dyDescent="0.2">
      <c r="A32" s="92">
        <f t="shared" si="6"/>
        <v>27</v>
      </c>
      <c r="B32" s="65">
        <f t="shared" si="7"/>
        <v>3751</v>
      </c>
      <c r="C32" s="110">
        <f t="shared" si="7"/>
        <v>6.4525000000000006</v>
      </c>
      <c r="D32" s="111">
        <f t="shared" si="0"/>
        <v>24203.327500000003</v>
      </c>
      <c r="F32" s="65">
        <f t="shared" si="8"/>
        <v>4100</v>
      </c>
      <c r="G32" s="110">
        <f t="shared" si="14"/>
        <v>6.4525000000000006</v>
      </c>
      <c r="H32" s="111">
        <f t="shared" si="1"/>
        <v>26455.250000000004</v>
      </c>
      <c r="J32" s="65">
        <f t="shared" si="10"/>
        <v>3674</v>
      </c>
      <c r="K32" s="110">
        <f t="shared" si="11"/>
        <v>6.4525000000000006</v>
      </c>
      <c r="L32" s="111">
        <f t="shared" si="2"/>
        <v>23706.485000000001</v>
      </c>
      <c r="N32" s="65">
        <f t="shared" si="12"/>
        <v>6160</v>
      </c>
      <c r="O32" s="110">
        <f t="shared" si="13"/>
        <v>6.4525000000000006</v>
      </c>
      <c r="P32" s="111">
        <f t="shared" si="3"/>
        <v>39747.4</v>
      </c>
      <c r="R32" s="65">
        <f t="shared" si="4"/>
        <v>17685</v>
      </c>
      <c r="S32" s="121">
        <f t="shared" si="5"/>
        <v>17298</v>
      </c>
    </row>
    <row r="33" spans="1:19" x14ac:dyDescent="0.2">
      <c r="A33" s="92">
        <f t="shared" si="6"/>
        <v>28</v>
      </c>
      <c r="B33" s="65">
        <f t="shared" si="7"/>
        <v>3751</v>
      </c>
      <c r="C33" s="110">
        <f t="shared" si="7"/>
        <v>6.4525000000000006</v>
      </c>
      <c r="D33" s="111">
        <f t="shared" si="0"/>
        <v>24203.327500000003</v>
      </c>
      <c r="F33" s="65">
        <f t="shared" si="8"/>
        <v>4100</v>
      </c>
      <c r="G33" s="110">
        <f t="shared" si="14"/>
        <v>6.4525000000000006</v>
      </c>
      <c r="H33" s="111">
        <f t="shared" si="1"/>
        <v>26455.250000000004</v>
      </c>
      <c r="J33" s="65">
        <f t="shared" si="10"/>
        <v>3674</v>
      </c>
      <c r="K33" s="110">
        <f t="shared" si="11"/>
        <v>6.4525000000000006</v>
      </c>
      <c r="L33" s="111">
        <f t="shared" si="2"/>
        <v>23706.485000000001</v>
      </c>
      <c r="N33" s="65">
        <f t="shared" si="12"/>
        <v>6160</v>
      </c>
      <c r="O33" s="110">
        <f t="shared" si="13"/>
        <v>6.4525000000000006</v>
      </c>
      <c r="P33" s="111">
        <f t="shared" si="3"/>
        <v>39747.4</v>
      </c>
      <c r="R33" s="65">
        <f t="shared" si="4"/>
        <v>17685</v>
      </c>
      <c r="S33" s="121">
        <f t="shared" si="5"/>
        <v>17298</v>
      </c>
    </row>
    <row r="34" spans="1:19" x14ac:dyDescent="0.2">
      <c r="A34" s="92"/>
    </row>
    <row r="35" spans="1:19" x14ac:dyDescent="0.2">
      <c r="A35" s="9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RowHeight="12.75" x14ac:dyDescent="0.2"/>
  <cols>
    <col min="1" max="1" width="5.7109375" style="94" customWidth="1"/>
    <col min="2" max="2" width="13" style="65" customWidth="1"/>
    <col min="3" max="4" width="13" style="110" customWidth="1"/>
    <col min="5" max="5" width="4.28515625" style="65" customWidth="1"/>
    <col min="6" max="6" width="13" style="65" customWidth="1"/>
    <col min="7" max="8" width="13" style="110" customWidth="1"/>
    <col min="9" max="9" width="4.28515625" style="65" customWidth="1"/>
    <col min="10" max="10" width="13" style="65" customWidth="1"/>
    <col min="11" max="12" width="13" style="110" customWidth="1"/>
    <col min="13" max="13" width="4.28515625" style="65" customWidth="1"/>
    <col min="14" max="14" width="13" style="65" customWidth="1"/>
    <col min="15" max="16" width="13" style="110" customWidth="1"/>
    <col min="17" max="17" width="4.28515625" style="65" customWidth="1"/>
    <col min="18" max="18" width="13" style="65" customWidth="1"/>
    <col min="19" max="20" width="13" style="110" customWidth="1"/>
    <col min="21" max="21" width="4.28515625" style="65" customWidth="1"/>
    <col min="22" max="22" width="13" style="65" customWidth="1"/>
    <col min="23" max="24" width="13" style="110" customWidth="1"/>
    <col min="25" max="25" width="4.140625" style="25" customWidth="1"/>
    <col min="26" max="16384" width="9.140625" style="25"/>
  </cols>
  <sheetData>
    <row r="2" spans="1:26" x14ac:dyDescent="0.2">
      <c r="A2" s="92"/>
    </row>
    <row r="3" spans="1:26" x14ac:dyDescent="0.2">
      <c r="A3" s="92"/>
    </row>
    <row r="4" spans="1:26" x14ac:dyDescent="0.2">
      <c r="A4" s="92"/>
      <c r="Z4" s="25" t="s">
        <v>188</v>
      </c>
    </row>
    <row r="5" spans="1:26" x14ac:dyDescent="0.2">
      <c r="A5" s="92"/>
      <c r="B5" s="65" t="s">
        <v>176</v>
      </c>
      <c r="C5" s="110" t="s">
        <v>103</v>
      </c>
      <c r="D5" s="110" t="s">
        <v>184</v>
      </c>
      <c r="F5" s="65" t="s">
        <v>176</v>
      </c>
      <c r="G5" s="110" t="s">
        <v>103</v>
      </c>
      <c r="H5" s="110" t="s">
        <v>184</v>
      </c>
      <c r="J5" s="65" t="s">
        <v>176</v>
      </c>
      <c r="K5" s="110" t="s">
        <v>103</v>
      </c>
      <c r="L5" s="110" t="s">
        <v>184</v>
      </c>
      <c r="O5" s="110" t="s">
        <v>103</v>
      </c>
      <c r="P5" s="110" t="s">
        <v>184</v>
      </c>
      <c r="S5" s="110" t="s">
        <v>103</v>
      </c>
      <c r="T5" s="110" t="s">
        <v>184</v>
      </c>
      <c r="W5" s="110" t="s">
        <v>103</v>
      </c>
      <c r="X5" s="110" t="s">
        <v>184</v>
      </c>
      <c r="Z5" s="25" t="s">
        <v>189</v>
      </c>
    </row>
    <row r="6" spans="1:26" x14ac:dyDescent="0.2">
      <c r="A6" s="92">
        <v>1</v>
      </c>
      <c r="B6" s="65">
        <v>0</v>
      </c>
      <c r="C6" s="110">
        <v>0</v>
      </c>
      <c r="D6" s="111">
        <f>+B6*C6</f>
        <v>0</v>
      </c>
      <c r="F6" s="65">
        <v>0</v>
      </c>
      <c r="G6" s="110">
        <v>0</v>
      </c>
      <c r="H6" s="111">
        <f>+F6*G6</f>
        <v>0</v>
      </c>
      <c r="J6" s="65">
        <v>0</v>
      </c>
      <c r="K6" s="110">
        <v>0</v>
      </c>
      <c r="L6" s="111">
        <f>+J6*K6</f>
        <v>0</v>
      </c>
      <c r="N6" s="65">
        <v>0</v>
      </c>
      <c r="O6" s="110">
        <v>0</v>
      </c>
      <c r="P6" s="111">
        <f>+N6*O6</f>
        <v>0</v>
      </c>
      <c r="R6" s="65">
        <v>0</v>
      </c>
      <c r="S6" s="110">
        <v>0</v>
      </c>
      <c r="T6" s="111">
        <f>+R6*S6</f>
        <v>0</v>
      </c>
      <c r="V6" s="65">
        <v>0</v>
      </c>
      <c r="W6" s="110">
        <v>0</v>
      </c>
      <c r="X6" s="111">
        <f>+V6*W6</f>
        <v>0</v>
      </c>
      <c r="Z6" s="65">
        <f>SUM(B6,F6,J6,N6,R6,V6)</f>
        <v>0</v>
      </c>
    </row>
    <row r="7" spans="1:26" x14ac:dyDescent="0.2">
      <c r="A7" s="92">
        <f>+A6+1</f>
        <v>2</v>
      </c>
      <c r="B7" s="65">
        <f>+B6</f>
        <v>0</v>
      </c>
      <c r="C7" s="110">
        <f>+C6</f>
        <v>0</v>
      </c>
      <c r="D7" s="111">
        <f t="shared" ref="D7:D36" si="0">+B7*C7</f>
        <v>0</v>
      </c>
      <c r="F7" s="65">
        <f>+F6</f>
        <v>0</v>
      </c>
      <c r="G7" s="110">
        <f>+G6</f>
        <v>0</v>
      </c>
      <c r="H7" s="111">
        <f t="shared" ref="H7:H36" si="1">+F7*G7</f>
        <v>0</v>
      </c>
      <c r="J7" s="65">
        <f>+J6</f>
        <v>0</v>
      </c>
      <c r="K7" s="110">
        <f>+K6</f>
        <v>0</v>
      </c>
      <c r="L7" s="111">
        <f t="shared" ref="L7:L35" si="2">+J7*K7</f>
        <v>0</v>
      </c>
      <c r="N7" s="65">
        <f>+N6</f>
        <v>0</v>
      </c>
      <c r="O7" s="110">
        <f>+O6</f>
        <v>0</v>
      </c>
      <c r="P7" s="111">
        <f t="shared" ref="P7:P35" si="3">+N7*O7</f>
        <v>0</v>
      </c>
      <c r="R7" s="65">
        <f>+R6</f>
        <v>0</v>
      </c>
      <c r="S7" s="110">
        <f>+S6</f>
        <v>0</v>
      </c>
      <c r="T7" s="111">
        <f t="shared" ref="T7:T35" si="4">+R7*S7</f>
        <v>0</v>
      </c>
      <c r="V7" s="65">
        <f>+V6</f>
        <v>0</v>
      </c>
      <c r="W7" s="110">
        <f>+W6</f>
        <v>0</v>
      </c>
      <c r="X7" s="111">
        <f t="shared" ref="X7:X35" si="5">+V7*W7</f>
        <v>0</v>
      </c>
      <c r="Z7" s="65">
        <f t="shared" ref="Z7:Z36" si="6">SUM(B7,F7,J7,N7,R7,V7)</f>
        <v>0</v>
      </c>
    </row>
    <row r="8" spans="1:26" x14ac:dyDescent="0.2">
      <c r="A8" s="92">
        <f t="shared" ref="A8:A34" si="7">+A7+1</f>
        <v>3</v>
      </c>
      <c r="B8" s="65">
        <f t="shared" ref="B8:B36" si="8">+B7</f>
        <v>0</v>
      </c>
      <c r="C8" s="110">
        <f t="shared" ref="C8:C36" si="9">+C7</f>
        <v>0</v>
      </c>
      <c r="D8" s="111">
        <f t="shared" si="0"/>
        <v>0</v>
      </c>
      <c r="F8" s="65">
        <f t="shared" ref="F8:F36" si="10">+F7</f>
        <v>0</v>
      </c>
      <c r="G8" s="110">
        <f t="shared" ref="G8:G36" si="11">+G7</f>
        <v>0</v>
      </c>
      <c r="H8" s="111">
        <f t="shared" si="1"/>
        <v>0</v>
      </c>
      <c r="J8" s="65">
        <f t="shared" ref="J8:J36" si="12">+J7</f>
        <v>0</v>
      </c>
      <c r="K8" s="110">
        <f t="shared" ref="K8:K36" si="13">+K7</f>
        <v>0</v>
      </c>
      <c r="L8" s="111">
        <f t="shared" si="2"/>
        <v>0</v>
      </c>
      <c r="N8" s="65">
        <f t="shared" ref="N8:N36" si="14">+N7</f>
        <v>0</v>
      </c>
      <c r="O8" s="110">
        <f t="shared" ref="O8:O36" si="15">+O7</f>
        <v>0</v>
      </c>
      <c r="P8" s="111">
        <f t="shared" si="3"/>
        <v>0</v>
      </c>
      <c r="R8" s="65">
        <f t="shared" ref="R8:R36" si="16">+R7</f>
        <v>0</v>
      </c>
      <c r="S8" s="110">
        <f t="shared" ref="S8:S36" si="17">+S7</f>
        <v>0</v>
      </c>
      <c r="T8" s="111">
        <f t="shared" si="4"/>
        <v>0</v>
      </c>
      <c r="V8" s="65">
        <f t="shared" ref="V8:V36" si="18">+V7</f>
        <v>0</v>
      </c>
      <c r="W8" s="110">
        <f t="shared" ref="W8:W36" si="19">+W7</f>
        <v>0</v>
      </c>
      <c r="X8" s="111">
        <f t="shared" si="5"/>
        <v>0</v>
      </c>
      <c r="Z8" s="65">
        <f t="shared" si="6"/>
        <v>0</v>
      </c>
    </row>
    <row r="9" spans="1:26" x14ac:dyDescent="0.2">
      <c r="A9" s="92">
        <f t="shared" si="7"/>
        <v>4</v>
      </c>
      <c r="B9" s="65">
        <f t="shared" si="8"/>
        <v>0</v>
      </c>
      <c r="C9" s="110">
        <f t="shared" si="9"/>
        <v>0</v>
      </c>
      <c r="D9" s="111">
        <f t="shared" si="0"/>
        <v>0</v>
      </c>
      <c r="F9" s="65">
        <f t="shared" si="10"/>
        <v>0</v>
      </c>
      <c r="G9" s="110">
        <f t="shared" si="11"/>
        <v>0</v>
      </c>
      <c r="H9" s="111">
        <f t="shared" si="1"/>
        <v>0</v>
      </c>
      <c r="J9" s="65">
        <f t="shared" si="12"/>
        <v>0</v>
      </c>
      <c r="K9" s="110">
        <f t="shared" si="13"/>
        <v>0</v>
      </c>
      <c r="L9" s="111">
        <f t="shared" si="2"/>
        <v>0</v>
      </c>
      <c r="N9" s="65">
        <f t="shared" si="14"/>
        <v>0</v>
      </c>
      <c r="O9" s="110">
        <f t="shared" si="15"/>
        <v>0</v>
      </c>
      <c r="P9" s="111">
        <f t="shared" si="3"/>
        <v>0</v>
      </c>
      <c r="R9" s="65">
        <f t="shared" si="16"/>
        <v>0</v>
      </c>
      <c r="S9" s="110">
        <f t="shared" si="17"/>
        <v>0</v>
      </c>
      <c r="T9" s="111">
        <f t="shared" si="4"/>
        <v>0</v>
      </c>
      <c r="V9" s="65">
        <f t="shared" si="18"/>
        <v>0</v>
      </c>
      <c r="W9" s="110">
        <f t="shared" si="19"/>
        <v>0</v>
      </c>
      <c r="X9" s="111">
        <f t="shared" si="5"/>
        <v>0</v>
      </c>
      <c r="Z9" s="65">
        <f t="shared" si="6"/>
        <v>0</v>
      </c>
    </row>
    <row r="10" spans="1:26" x14ac:dyDescent="0.2">
      <c r="A10" s="92">
        <f t="shared" si="7"/>
        <v>5</v>
      </c>
      <c r="B10" s="65">
        <f t="shared" si="8"/>
        <v>0</v>
      </c>
      <c r="C10" s="110">
        <f t="shared" si="9"/>
        <v>0</v>
      </c>
      <c r="D10" s="111">
        <f t="shared" si="0"/>
        <v>0</v>
      </c>
      <c r="F10" s="65">
        <f t="shared" si="10"/>
        <v>0</v>
      </c>
      <c r="G10" s="110">
        <f t="shared" si="11"/>
        <v>0</v>
      </c>
      <c r="H10" s="111">
        <f t="shared" si="1"/>
        <v>0</v>
      </c>
      <c r="J10" s="65">
        <f>+J9</f>
        <v>0</v>
      </c>
      <c r="K10" s="110">
        <f>+K9</f>
        <v>0</v>
      </c>
      <c r="L10" s="111">
        <f t="shared" si="2"/>
        <v>0</v>
      </c>
      <c r="N10" s="65">
        <f t="shared" si="14"/>
        <v>0</v>
      </c>
      <c r="O10" s="110">
        <f t="shared" si="15"/>
        <v>0</v>
      </c>
      <c r="P10" s="111">
        <f t="shared" si="3"/>
        <v>0</v>
      </c>
      <c r="R10" s="65">
        <f t="shared" si="16"/>
        <v>0</v>
      </c>
      <c r="S10" s="110">
        <f t="shared" si="17"/>
        <v>0</v>
      </c>
      <c r="T10" s="111">
        <f t="shared" si="4"/>
        <v>0</v>
      </c>
      <c r="V10" s="65">
        <f t="shared" si="18"/>
        <v>0</v>
      </c>
      <c r="W10" s="110">
        <f t="shared" si="19"/>
        <v>0</v>
      </c>
      <c r="X10" s="111">
        <f t="shared" si="5"/>
        <v>0</v>
      </c>
      <c r="Z10" s="65">
        <f t="shared" si="6"/>
        <v>0</v>
      </c>
    </row>
    <row r="11" spans="1:26" x14ac:dyDescent="0.2">
      <c r="A11" s="92">
        <f t="shared" si="7"/>
        <v>6</v>
      </c>
      <c r="B11" s="65">
        <f t="shared" si="8"/>
        <v>0</v>
      </c>
      <c r="C11" s="110">
        <f t="shared" si="9"/>
        <v>0</v>
      </c>
      <c r="D11" s="111">
        <f t="shared" si="0"/>
        <v>0</v>
      </c>
      <c r="F11" s="65">
        <f t="shared" si="10"/>
        <v>0</v>
      </c>
      <c r="G11" s="110">
        <f t="shared" si="11"/>
        <v>0</v>
      </c>
      <c r="H11" s="111">
        <f t="shared" si="1"/>
        <v>0</v>
      </c>
      <c r="J11" s="65">
        <f t="shared" si="12"/>
        <v>0</v>
      </c>
      <c r="K11" s="110">
        <f t="shared" si="13"/>
        <v>0</v>
      </c>
      <c r="L11" s="111">
        <f t="shared" si="2"/>
        <v>0</v>
      </c>
      <c r="N11" s="65">
        <f t="shared" si="14"/>
        <v>0</v>
      </c>
      <c r="O11" s="110">
        <f t="shared" si="15"/>
        <v>0</v>
      </c>
      <c r="P11" s="111">
        <f t="shared" si="3"/>
        <v>0</v>
      </c>
      <c r="R11" s="65">
        <f t="shared" si="16"/>
        <v>0</v>
      </c>
      <c r="S11" s="110">
        <f t="shared" si="17"/>
        <v>0</v>
      </c>
      <c r="T11" s="111">
        <f t="shared" si="4"/>
        <v>0</v>
      </c>
      <c r="V11" s="65">
        <f t="shared" si="18"/>
        <v>0</v>
      </c>
      <c r="W11" s="110">
        <f t="shared" si="19"/>
        <v>0</v>
      </c>
      <c r="X11" s="111">
        <f t="shared" si="5"/>
        <v>0</v>
      </c>
      <c r="Z11" s="65">
        <f t="shared" si="6"/>
        <v>0</v>
      </c>
    </row>
    <row r="12" spans="1:26" x14ac:dyDescent="0.2">
      <c r="A12" s="92">
        <f t="shared" si="7"/>
        <v>7</v>
      </c>
      <c r="B12" s="65">
        <f t="shared" si="8"/>
        <v>0</v>
      </c>
      <c r="C12" s="110">
        <f t="shared" si="9"/>
        <v>0</v>
      </c>
      <c r="D12" s="111">
        <f t="shared" si="0"/>
        <v>0</v>
      </c>
      <c r="F12" s="65">
        <f t="shared" si="10"/>
        <v>0</v>
      </c>
      <c r="G12" s="110">
        <f t="shared" si="11"/>
        <v>0</v>
      </c>
      <c r="H12" s="111">
        <f t="shared" si="1"/>
        <v>0</v>
      </c>
      <c r="J12" s="65">
        <f t="shared" si="12"/>
        <v>0</v>
      </c>
      <c r="K12" s="110">
        <f t="shared" si="13"/>
        <v>0</v>
      </c>
      <c r="L12" s="111">
        <f t="shared" si="2"/>
        <v>0</v>
      </c>
      <c r="N12" s="65">
        <f t="shared" si="14"/>
        <v>0</v>
      </c>
      <c r="O12" s="110">
        <f t="shared" si="15"/>
        <v>0</v>
      </c>
      <c r="P12" s="111">
        <f t="shared" si="3"/>
        <v>0</v>
      </c>
      <c r="R12" s="65">
        <f t="shared" si="16"/>
        <v>0</v>
      </c>
      <c r="S12" s="110">
        <f t="shared" si="17"/>
        <v>0</v>
      </c>
      <c r="T12" s="111">
        <f t="shared" si="4"/>
        <v>0</v>
      </c>
      <c r="V12" s="65">
        <f t="shared" si="18"/>
        <v>0</v>
      </c>
      <c r="W12" s="110">
        <f t="shared" si="19"/>
        <v>0</v>
      </c>
      <c r="X12" s="111">
        <f t="shared" si="5"/>
        <v>0</v>
      </c>
      <c r="Z12" s="65">
        <f t="shared" si="6"/>
        <v>0</v>
      </c>
    </row>
    <row r="13" spans="1:26" x14ac:dyDescent="0.2">
      <c r="A13" s="92">
        <f t="shared" si="7"/>
        <v>8</v>
      </c>
      <c r="B13" s="65">
        <f t="shared" si="8"/>
        <v>0</v>
      </c>
      <c r="C13" s="110">
        <f t="shared" si="9"/>
        <v>0</v>
      </c>
      <c r="D13" s="111">
        <f t="shared" si="0"/>
        <v>0</v>
      </c>
      <c r="F13" s="65">
        <f t="shared" si="10"/>
        <v>0</v>
      </c>
      <c r="G13" s="110">
        <f t="shared" si="11"/>
        <v>0</v>
      </c>
      <c r="H13" s="111">
        <f t="shared" si="1"/>
        <v>0</v>
      </c>
      <c r="J13" s="65">
        <f t="shared" si="12"/>
        <v>0</v>
      </c>
      <c r="K13" s="110">
        <f t="shared" si="13"/>
        <v>0</v>
      </c>
      <c r="L13" s="111">
        <f t="shared" si="2"/>
        <v>0</v>
      </c>
      <c r="N13" s="65">
        <f t="shared" si="14"/>
        <v>0</v>
      </c>
      <c r="O13" s="110">
        <f t="shared" si="15"/>
        <v>0</v>
      </c>
      <c r="P13" s="111">
        <f t="shared" si="3"/>
        <v>0</v>
      </c>
      <c r="R13" s="65">
        <f t="shared" si="16"/>
        <v>0</v>
      </c>
      <c r="S13" s="110">
        <f t="shared" si="17"/>
        <v>0</v>
      </c>
      <c r="T13" s="111">
        <f t="shared" si="4"/>
        <v>0</v>
      </c>
      <c r="V13" s="65">
        <f t="shared" si="18"/>
        <v>0</v>
      </c>
      <c r="W13" s="110">
        <f t="shared" si="19"/>
        <v>0</v>
      </c>
      <c r="X13" s="111">
        <f t="shared" si="5"/>
        <v>0</v>
      </c>
      <c r="Z13" s="65">
        <f t="shared" si="6"/>
        <v>0</v>
      </c>
    </row>
    <row r="14" spans="1:26" x14ac:dyDescent="0.2">
      <c r="A14" s="92">
        <f t="shared" si="7"/>
        <v>9</v>
      </c>
      <c r="B14" s="65">
        <f t="shared" si="8"/>
        <v>0</v>
      </c>
      <c r="C14" s="110">
        <f t="shared" si="9"/>
        <v>0</v>
      </c>
      <c r="D14" s="111">
        <f t="shared" si="0"/>
        <v>0</v>
      </c>
      <c r="F14" s="65">
        <f t="shared" si="10"/>
        <v>0</v>
      </c>
      <c r="G14" s="110">
        <f t="shared" si="11"/>
        <v>0</v>
      </c>
      <c r="H14" s="111">
        <f t="shared" si="1"/>
        <v>0</v>
      </c>
      <c r="J14" s="65">
        <f t="shared" si="12"/>
        <v>0</v>
      </c>
      <c r="K14" s="110">
        <f t="shared" si="13"/>
        <v>0</v>
      </c>
      <c r="L14" s="111">
        <f t="shared" si="2"/>
        <v>0</v>
      </c>
      <c r="N14" s="65">
        <f>+N13</f>
        <v>0</v>
      </c>
      <c r="O14" s="110">
        <f>+O13</f>
        <v>0</v>
      </c>
      <c r="P14" s="111">
        <f t="shared" si="3"/>
        <v>0</v>
      </c>
      <c r="R14" s="65">
        <f t="shared" si="16"/>
        <v>0</v>
      </c>
      <c r="S14" s="110">
        <f t="shared" si="17"/>
        <v>0</v>
      </c>
      <c r="T14" s="111">
        <f t="shared" si="4"/>
        <v>0</v>
      </c>
      <c r="V14" s="65">
        <f t="shared" si="18"/>
        <v>0</v>
      </c>
      <c r="W14" s="110">
        <f t="shared" si="19"/>
        <v>0</v>
      </c>
      <c r="X14" s="111">
        <f t="shared" si="5"/>
        <v>0</v>
      </c>
      <c r="Z14" s="65">
        <f t="shared" si="6"/>
        <v>0</v>
      </c>
    </row>
    <row r="15" spans="1:26" x14ac:dyDescent="0.2">
      <c r="A15" s="92">
        <f t="shared" si="7"/>
        <v>10</v>
      </c>
      <c r="B15" s="65">
        <f t="shared" si="8"/>
        <v>0</v>
      </c>
      <c r="C15" s="110">
        <f t="shared" si="9"/>
        <v>0</v>
      </c>
      <c r="D15" s="111">
        <f t="shared" si="0"/>
        <v>0</v>
      </c>
      <c r="F15" s="65">
        <f t="shared" si="10"/>
        <v>0</v>
      </c>
      <c r="G15" s="110">
        <f t="shared" si="11"/>
        <v>0</v>
      </c>
      <c r="H15" s="111">
        <f t="shared" si="1"/>
        <v>0</v>
      </c>
      <c r="J15" s="65">
        <f t="shared" si="12"/>
        <v>0</v>
      </c>
      <c r="K15" s="110">
        <f t="shared" si="13"/>
        <v>0</v>
      </c>
      <c r="L15" s="111">
        <f t="shared" si="2"/>
        <v>0</v>
      </c>
      <c r="N15" s="65">
        <f t="shared" si="14"/>
        <v>0</v>
      </c>
      <c r="O15" s="110">
        <f t="shared" si="15"/>
        <v>0</v>
      </c>
      <c r="P15" s="111">
        <f t="shared" si="3"/>
        <v>0</v>
      </c>
      <c r="R15" s="65">
        <f t="shared" si="16"/>
        <v>0</v>
      </c>
      <c r="S15" s="110">
        <f t="shared" si="17"/>
        <v>0</v>
      </c>
      <c r="T15" s="111">
        <f t="shared" si="4"/>
        <v>0</v>
      </c>
      <c r="V15" s="65">
        <f t="shared" si="18"/>
        <v>0</v>
      </c>
      <c r="W15" s="110">
        <f t="shared" si="19"/>
        <v>0</v>
      </c>
      <c r="X15" s="111">
        <f t="shared" si="5"/>
        <v>0</v>
      </c>
      <c r="Z15" s="65">
        <f t="shared" si="6"/>
        <v>0</v>
      </c>
    </row>
    <row r="16" spans="1:26" x14ac:dyDescent="0.2">
      <c r="A16" s="92">
        <f t="shared" si="7"/>
        <v>11</v>
      </c>
      <c r="B16" s="65">
        <f t="shared" si="8"/>
        <v>0</v>
      </c>
      <c r="C16" s="110">
        <f t="shared" si="9"/>
        <v>0</v>
      </c>
      <c r="D16" s="111">
        <f t="shared" si="0"/>
        <v>0</v>
      </c>
      <c r="F16" s="65">
        <f t="shared" si="10"/>
        <v>0</v>
      </c>
      <c r="G16" s="110">
        <f t="shared" si="11"/>
        <v>0</v>
      </c>
      <c r="H16" s="111">
        <f t="shared" si="1"/>
        <v>0</v>
      </c>
      <c r="J16" s="65">
        <f t="shared" si="12"/>
        <v>0</v>
      </c>
      <c r="K16" s="110">
        <f t="shared" si="13"/>
        <v>0</v>
      </c>
      <c r="L16" s="111">
        <f t="shared" si="2"/>
        <v>0</v>
      </c>
      <c r="N16" s="65">
        <f t="shared" si="14"/>
        <v>0</v>
      </c>
      <c r="O16" s="110">
        <f t="shared" si="15"/>
        <v>0</v>
      </c>
      <c r="P16" s="111">
        <f t="shared" si="3"/>
        <v>0</v>
      </c>
      <c r="R16" s="65">
        <f t="shared" si="16"/>
        <v>0</v>
      </c>
      <c r="S16" s="110">
        <f t="shared" si="17"/>
        <v>0</v>
      </c>
      <c r="T16" s="111">
        <f t="shared" si="4"/>
        <v>0</v>
      </c>
      <c r="V16" s="65">
        <f t="shared" si="18"/>
        <v>0</v>
      </c>
      <c r="W16" s="110">
        <f t="shared" si="19"/>
        <v>0</v>
      </c>
      <c r="X16" s="111">
        <f t="shared" si="5"/>
        <v>0</v>
      </c>
      <c r="Z16" s="65">
        <f t="shared" si="6"/>
        <v>0</v>
      </c>
    </row>
    <row r="17" spans="1:26" x14ac:dyDescent="0.2">
      <c r="A17" s="92">
        <f t="shared" si="7"/>
        <v>12</v>
      </c>
      <c r="B17" s="65">
        <f t="shared" si="8"/>
        <v>0</v>
      </c>
      <c r="C17" s="110">
        <f t="shared" si="9"/>
        <v>0</v>
      </c>
      <c r="D17" s="111">
        <f t="shared" si="0"/>
        <v>0</v>
      </c>
      <c r="F17" s="65">
        <f t="shared" si="10"/>
        <v>0</v>
      </c>
      <c r="G17" s="110">
        <f t="shared" si="11"/>
        <v>0</v>
      </c>
      <c r="H17" s="111">
        <f t="shared" si="1"/>
        <v>0</v>
      </c>
      <c r="J17" s="65">
        <f t="shared" si="12"/>
        <v>0</v>
      </c>
      <c r="K17" s="110">
        <f t="shared" si="13"/>
        <v>0</v>
      </c>
      <c r="L17" s="111">
        <f t="shared" si="2"/>
        <v>0</v>
      </c>
      <c r="N17" s="65">
        <f>+N16</f>
        <v>0</v>
      </c>
      <c r="O17" s="110">
        <f>+O16</f>
        <v>0</v>
      </c>
      <c r="P17" s="111">
        <f t="shared" si="3"/>
        <v>0</v>
      </c>
      <c r="R17" s="65">
        <f t="shared" si="16"/>
        <v>0</v>
      </c>
      <c r="S17" s="110">
        <f t="shared" si="17"/>
        <v>0</v>
      </c>
      <c r="T17" s="111">
        <f t="shared" si="4"/>
        <v>0</v>
      </c>
      <c r="V17" s="65">
        <f t="shared" si="18"/>
        <v>0</v>
      </c>
      <c r="W17" s="110">
        <f t="shared" si="19"/>
        <v>0</v>
      </c>
      <c r="X17" s="111">
        <f t="shared" si="5"/>
        <v>0</v>
      </c>
      <c r="Z17" s="65">
        <f t="shared" si="6"/>
        <v>0</v>
      </c>
    </row>
    <row r="18" spans="1:26" x14ac:dyDescent="0.2">
      <c r="A18" s="92">
        <f t="shared" si="7"/>
        <v>13</v>
      </c>
      <c r="B18" s="65">
        <f t="shared" si="8"/>
        <v>0</v>
      </c>
      <c r="C18" s="110">
        <f t="shared" si="9"/>
        <v>0</v>
      </c>
      <c r="D18" s="111">
        <f t="shared" si="0"/>
        <v>0</v>
      </c>
      <c r="F18" s="65">
        <f t="shared" si="10"/>
        <v>0</v>
      </c>
      <c r="G18" s="110">
        <f t="shared" si="11"/>
        <v>0</v>
      </c>
      <c r="H18" s="111">
        <f t="shared" si="1"/>
        <v>0</v>
      </c>
      <c r="J18" s="65">
        <f t="shared" si="12"/>
        <v>0</v>
      </c>
      <c r="K18" s="110">
        <f t="shared" si="13"/>
        <v>0</v>
      </c>
      <c r="L18" s="111">
        <f t="shared" si="2"/>
        <v>0</v>
      </c>
      <c r="N18" s="65">
        <f t="shared" si="14"/>
        <v>0</v>
      </c>
      <c r="O18" s="110">
        <f t="shared" si="15"/>
        <v>0</v>
      </c>
      <c r="P18" s="111">
        <f t="shared" si="3"/>
        <v>0</v>
      </c>
      <c r="R18" s="65">
        <f t="shared" si="16"/>
        <v>0</v>
      </c>
      <c r="S18" s="110">
        <f t="shared" si="17"/>
        <v>0</v>
      </c>
      <c r="T18" s="111">
        <f t="shared" si="4"/>
        <v>0</v>
      </c>
      <c r="V18" s="65">
        <f t="shared" si="18"/>
        <v>0</v>
      </c>
      <c r="W18" s="110">
        <f t="shared" si="19"/>
        <v>0</v>
      </c>
      <c r="X18" s="111">
        <f t="shared" si="5"/>
        <v>0</v>
      </c>
      <c r="Z18" s="65">
        <f t="shared" si="6"/>
        <v>0</v>
      </c>
    </row>
    <row r="19" spans="1:26" x14ac:dyDescent="0.2">
      <c r="A19" s="92">
        <f t="shared" si="7"/>
        <v>14</v>
      </c>
      <c r="B19" s="65">
        <f t="shared" si="8"/>
        <v>0</v>
      </c>
      <c r="C19" s="110">
        <f t="shared" si="9"/>
        <v>0</v>
      </c>
      <c r="D19" s="111">
        <f t="shared" si="0"/>
        <v>0</v>
      </c>
      <c r="F19" s="65">
        <f t="shared" si="10"/>
        <v>0</v>
      </c>
      <c r="G19" s="110">
        <f t="shared" si="11"/>
        <v>0</v>
      </c>
      <c r="H19" s="111">
        <f t="shared" si="1"/>
        <v>0</v>
      </c>
      <c r="J19" s="65">
        <f t="shared" si="12"/>
        <v>0</v>
      </c>
      <c r="K19" s="110">
        <f t="shared" si="13"/>
        <v>0</v>
      </c>
      <c r="L19" s="111">
        <f t="shared" si="2"/>
        <v>0</v>
      </c>
      <c r="N19" s="65">
        <f t="shared" si="14"/>
        <v>0</v>
      </c>
      <c r="O19" s="110">
        <f t="shared" si="15"/>
        <v>0</v>
      </c>
      <c r="P19" s="111">
        <f t="shared" si="3"/>
        <v>0</v>
      </c>
      <c r="R19" s="65">
        <f t="shared" si="16"/>
        <v>0</v>
      </c>
      <c r="S19" s="110">
        <f t="shared" si="17"/>
        <v>0</v>
      </c>
      <c r="T19" s="111">
        <f t="shared" si="4"/>
        <v>0</v>
      </c>
      <c r="V19" s="65">
        <f t="shared" si="18"/>
        <v>0</v>
      </c>
      <c r="W19" s="110">
        <f t="shared" si="19"/>
        <v>0</v>
      </c>
      <c r="X19" s="111">
        <f t="shared" si="5"/>
        <v>0</v>
      </c>
      <c r="Z19" s="65">
        <f t="shared" si="6"/>
        <v>0</v>
      </c>
    </row>
    <row r="20" spans="1:26" x14ac:dyDescent="0.2">
      <c r="A20" s="92">
        <f t="shared" si="7"/>
        <v>15</v>
      </c>
      <c r="B20" s="65">
        <f t="shared" si="8"/>
        <v>0</v>
      </c>
      <c r="C20" s="110">
        <f t="shared" si="9"/>
        <v>0</v>
      </c>
      <c r="D20" s="111">
        <f t="shared" si="0"/>
        <v>0</v>
      </c>
      <c r="F20" s="65">
        <f t="shared" si="10"/>
        <v>0</v>
      </c>
      <c r="G20" s="110">
        <f t="shared" si="11"/>
        <v>0</v>
      </c>
      <c r="H20" s="111">
        <f t="shared" si="1"/>
        <v>0</v>
      </c>
      <c r="J20" s="65">
        <f t="shared" si="12"/>
        <v>0</v>
      </c>
      <c r="K20" s="110">
        <f t="shared" si="13"/>
        <v>0</v>
      </c>
      <c r="L20" s="111">
        <f t="shared" si="2"/>
        <v>0</v>
      </c>
      <c r="N20" s="65">
        <f t="shared" si="14"/>
        <v>0</v>
      </c>
      <c r="O20" s="110">
        <f t="shared" si="15"/>
        <v>0</v>
      </c>
      <c r="P20" s="111">
        <f t="shared" si="3"/>
        <v>0</v>
      </c>
      <c r="R20" s="65">
        <f t="shared" si="16"/>
        <v>0</v>
      </c>
      <c r="S20" s="110">
        <f t="shared" si="17"/>
        <v>0</v>
      </c>
      <c r="T20" s="111">
        <f t="shared" si="4"/>
        <v>0</v>
      </c>
      <c r="V20" s="65">
        <f t="shared" si="18"/>
        <v>0</v>
      </c>
      <c r="W20" s="110">
        <f t="shared" si="19"/>
        <v>0</v>
      </c>
      <c r="X20" s="111">
        <f t="shared" si="5"/>
        <v>0</v>
      </c>
      <c r="Z20" s="65">
        <f t="shared" si="6"/>
        <v>0</v>
      </c>
    </row>
    <row r="21" spans="1:26" x14ac:dyDescent="0.2">
      <c r="A21" s="92">
        <f t="shared" si="7"/>
        <v>16</v>
      </c>
      <c r="B21" s="65">
        <f t="shared" si="8"/>
        <v>0</v>
      </c>
      <c r="C21" s="110">
        <f t="shared" si="9"/>
        <v>0</v>
      </c>
      <c r="D21" s="111">
        <f t="shared" si="0"/>
        <v>0</v>
      </c>
      <c r="F21" s="65">
        <f t="shared" si="10"/>
        <v>0</v>
      </c>
      <c r="G21" s="110">
        <f t="shared" si="11"/>
        <v>0</v>
      </c>
      <c r="H21" s="111">
        <f t="shared" si="1"/>
        <v>0</v>
      </c>
      <c r="J21" s="65">
        <f t="shared" si="12"/>
        <v>0</v>
      </c>
      <c r="K21" s="110">
        <f t="shared" si="13"/>
        <v>0</v>
      </c>
      <c r="L21" s="111">
        <f t="shared" si="2"/>
        <v>0</v>
      </c>
      <c r="N21" s="65">
        <f t="shared" si="14"/>
        <v>0</v>
      </c>
      <c r="O21" s="110">
        <f t="shared" si="15"/>
        <v>0</v>
      </c>
      <c r="P21" s="111">
        <f t="shared" si="3"/>
        <v>0</v>
      </c>
      <c r="R21" s="65">
        <f t="shared" si="16"/>
        <v>0</v>
      </c>
      <c r="S21" s="110">
        <f t="shared" si="17"/>
        <v>0</v>
      </c>
      <c r="T21" s="111">
        <f t="shared" si="4"/>
        <v>0</v>
      </c>
      <c r="V21" s="65">
        <f t="shared" si="18"/>
        <v>0</v>
      </c>
      <c r="W21" s="110">
        <f t="shared" si="19"/>
        <v>0</v>
      </c>
      <c r="X21" s="111">
        <f t="shared" si="5"/>
        <v>0</v>
      </c>
      <c r="Z21" s="65">
        <f t="shared" si="6"/>
        <v>0</v>
      </c>
    </row>
    <row r="22" spans="1:26" x14ac:dyDescent="0.2">
      <c r="A22" s="92">
        <f t="shared" si="7"/>
        <v>17</v>
      </c>
      <c r="B22" s="65">
        <f t="shared" si="8"/>
        <v>0</v>
      </c>
      <c r="C22" s="110">
        <f t="shared" si="9"/>
        <v>0</v>
      </c>
      <c r="D22" s="111">
        <f t="shared" si="0"/>
        <v>0</v>
      </c>
      <c r="F22" s="65">
        <f t="shared" si="10"/>
        <v>0</v>
      </c>
      <c r="G22" s="110">
        <f t="shared" si="11"/>
        <v>0</v>
      </c>
      <c r="H22" s="111">
        <f t="shared" si="1"/>
        <v>0</v>
      </c>
      <c r="J22" s="65">
        <f t="shared" si="12"/>
        <v>0</v>
      </c>
      <c r="K22" s="110">
        <f t="shared" si="13"/>
        <v>0</v>
      </c>
      <c r="L22" s="111">
        <f t="shared" si="2"/>
        <v>0</v>
      </c>
      <c r="N22" s="65">
        <f t="shared" si="14"/>
        <v>0</v>
      </c>
      <c r="O22" s="110">
        <f t="shared" si="15"/>
        <v>0</v>
      </c>
      <c r="P22" s="111">
        <f t="shared" si="3"/>
        <v>0</v>
      </c>
      <c r="R22" s="65">
        <f t="shared" si="16"/>
        <v>0</v>
      </c>
      <c r="S22" s="110">
        <f t="shared" si="17"/>
        <v>0</v>
      </c>
      <c r="T22" s="111">
        <f t="shared" si="4"/>
        <v>0</v>
      </c>
      <c r="V22" s="65">
        <f t="shared" si="18"/>
        <v>0</v>
      </c>
      <c r="W22" s="110">
        <f t="shared" si="19"/>
        <v>0</v>
      </c>
      <c r="X22" s="111">
        <f t="shared" si="5"/>
        <v>0</v>
      </c>
      <c r="Z22" s="65">
        <f t="shared" si="6"/>
        <v>0</v>
      </c>
    </row>
    <row r="23" spans="1:26" x14ac:dyDescent="0.2">
      <c r="A23" s="92">
        <f t="shared" si="7"/>
        <v>18</v>
      </c>
      <c r="B23" s="65">
        <f t="shared" si="8"/>
        <v>0</v>
      </c>
      <c r="C23" s="110">
        <f t="shared" si="9"/>
        <v>0</v>
      </c>
      <c r="D23" s="111">
        <f t="shared" si="0"/>
        <v>0</v>
      </c>
      <c r="F23" s="65">
        <f t="shared" si="10"/>
        <v>0</v>
      </c>
      <c r="G23" s="110">
        <f t="shared" si="11"/>
        <v>0</v>
      </c>
      <c r="H23" s="111">
        <f t="shared" si="1"/>
        <v>0</v>
      </c>
      <c r="J23" s="65">
        <f t="shared" si="12"/>
        <v>0</v>
      </c>
      <c r="K23" s="110">
        <f t="shared" si="13"/>
        <v>0</v>
      </c>
      <c r="L23" s="111">
        <f t="shared" si="2"/>
        <v>0</v>
      </c>
      <c r="N23" s="65">
        <f t="shared" si="14"/>
        <v>0</v>
      </c>
      <c r="O23" s="110">
        <f t="shared" si="15"/>
        <v>0</v>
      </c>
      <c r="P23" s="111">
        <f t="shared" si="3"/>
        <v>0</v>
      </c>
      <c r="R23" s="65">
        <f t="shared" si="16"/>
        <v>0</v>
      </c>
      <c r="S23" s="110">
        <f t="shared" si="17"/>
        <v>0</v>
      </c>
      <c r="T23" s="111">
        <f t="shared" si="4"/>
        <v>0</v>
      </c>
      <c r="V23" s="65">
        <f t="shared" si="18"/>
        <v>0</v>
      </c>
      <c r="W23" s="110">
        <f t="shared" si="19"/>
        <v>0</v>
      </c>
      <c r="X23" s="111">
        <f t="shared" si="5"/>
        <v>0</v>
      </c>
      <c r="Z23" s="65">
        <f t="shared" si="6"/>
        <v>0</v>
      </c>
    </row>
    <row r="24" spans="1:26" x14ac:dyDescent="0.2">
      <c r="A24" s="92">
        <f t="shared" si="7"/>
        <v>19</v>
      </c>
      <c r="B24" s="65">
        <f t="shared" si="8"/>
        <v>0</v>
      </c>
      <c r="C24" s="110">
        <f t="shared" si="9"/>
        <v>0</v>
      </c>
      <c r="D24" s="111">
        <f t="shared" si="0"/>
        <v>0</v>
      </c>
      <c r="F24" s="65">
        <f t="shared" si="10"/>
        <v>0</v>
      </c>
      <c r="G24" s="110">
        <f t="shared" si="11"/>
        <v>0</v>
      </c>
      <c r="H24" s="111">
        <f t="shared" si="1"/>
        <v>0</v>
      </c>
      <c r="J24" s="65">
        <f t="shared" si="12"/>
        <v>0</v>
      </c>
      <c r="K24" s="110">
        <f t="shared" si="13"/>
        <v>0</v>
      </c>
      <c r="L24" s="111">
        <f t="shared" si="2"/>
        <v>0</v>
      </c>
      <c r="N24" s="65">
        <f t="shared" si="14"/>
        <v>0</v>
      </c>
      <c r="O24" s="110">
        <f t="shared" si="15"/>
        <v>0</v>
      </c>
      <c r="P24" s="111">
        <f t="shared" si="3"/>
        <v>0</v>
      </c>
      <c r="R24" s="65">
        <f t="shared" si="16"/>
        <v>0</v>
      </c>
      <c r="S24" s="110">
        <f t="shared" si="17"/>
        <v>0</v>
      </c>
      <c r="T24" s="111">
        <f t="shared" si="4"/>
        <v>0</v>
      </c>
      <c r="V24" s="65">
        <f t="shared" si="18"/>
        <v>0</v>
      </c>
      <c r="W24" s="110">
        <f t="shared" si="19"/>
        <v>0</v>
      </c>
      <c r="X24" s="111">
        <f t="shared" si="5"/>
        <v>0</v>
      </c>
      <c r="Z24" s="65">
        <f t="shared" si="6"/>
        <v>0</v>
      </c>
    </row>
    <row r="25" spans="1:26" x14ac:dyDescent="0.2">
      <c r="A25" s="92">
        <f t="shared" si="7"/>
        <v>20</v>
      </c>
      <c r="B25" s="65">
        <f t="shared" si="8"/>
        <v>0</v>
      </c>
      <c r="C25" s="110">
        <f t="shared" si="9"/>
        <v>0</v>
      </c>
      <c r="D25" s="111">
        <f t="shared" si="0"/>
        <v>0</v>
      </c>
      <c r="F25" s="65">
        <f t="shared" si="10"/>
        <v>0</v>
      </c>
      <c r="G25" s="110">
        <f t="shared" si="11"/>
        <v>0</v>
      </c>
      <c r="H25" s="111">
        <f t="shared" si="1"/>
        <v>0</v>
      </c>
      <c r="J25" s="65">
        <f t="shared" si="12"/>
        <v>0</v>
      </c>
      <c r="K25" s="110">
        <f t="shared" si="13"/>
        <v>0</v>
      </c>
      <c r="L25" s="111">
        <f t="shared" si="2"/>
        <v>0</v>
      </c>
      <c r="N25" s="65">
        <f t="shared" si="14"/>
        <v>0</v>
      </c>
      <c r="O25" s="110">
        <f t="shared" si="15"/>
        <v>0</v>
      </c>
      <c r="P25" s="111">
        <f t="shared" si="3"/>
        <v>0</v>
      </c>
      <c r="R25" s="65">
        <f>+R24</f>
        <v>0</v>
      </c>
      <c r="S25" s="110">
        <f>+S24</f>
        <v>0</v>
      </c>
      <c r="T25" s="111">
        <f t="shared" si="4"/>
        <v>0</v>
      </c>
      <c r="V25" s="65">
        <f t="shared" si="18"/>
        <v>0</v>
      </c>
      <c r="W25" s="110">
        <f t="shared" si="19"/>
        <v>0</v>
      </c>
      <c r="X25" s="111">
        <f t="shared" si="5"/>
        <v>0</v>
      </c>
      <c r="Z25" s="65">
        <f t="shared" si="6"/>
        <v>0</v>
      </c>
    </row>
    <row r="26" spans="1:26" x14ac:dyDescent="0.2">
      <c r="A26" s="92">
        <f t="shared" si="7"/>
        <v>21</v>
      </c>
      <c r="B26" s="65">
        <f t="shared" si="8"/>
        <v>0</v>
      </c>
      <c r="C26" s="110">
        <f t="shared" si="9"/>
        <v>0</v>
      </c>
      <c r="D26" s="111">
        <f t="shared" si="0"/>
        <v>0</v>
      </c>
      <c r="F26" s="65">
        <f t="shared" si="10"/>
        <v>0</v>
      </c>
      <c r="G26" s="110">
        <f t="shared" si="11"/>
        <v>0</v>
      </c>
      <c r="H26" s="111">
        <f t="shared" si="1"/>
        <v>0</v>
      </c>
      <c r="J26" s="65">
        <f t="shared" si="12"/>
        <v>0</v>
      </c>
      <c r="K26" s="110">
        <f t="shared" si="13"/>
        <v>0</v>
      </c>
      <c r="L26" s="111">
        <f t="shared" si="2"/>
        <v>0</v>
      </c>
      <c r="N26" s="65">
        <f t="shared" si="14"/>
        <v>0</v>
      </c>
      <c r="O26" s="110">
        <f t="shared" si="15"/>
        <v>0</v>
      </c>
      <c r="P26" s="111">
        <f t="shared" si="3"/>
        <v>0</v>
      </c>
      <c r="R26" s="65">
        <f t="shared" si="16"/>
        <v>0</v>
      </c>
      <c r="S26" s="110">
        <f t="shared" si="17"/>
        <v>0</v>
      </c>
      <c r="T26" s="111">
        <f t="shared" si="4"/>
        <v>0</v>
      </c>
      <c r="V26" s="65">
        <f t="shared" si="18"/>
        <v>0</v>
      </c>
      <c r="W26" s="110">
        <f t="shared" si="19"/>
        <v>0</v>
      </c>
      <c r="X26" s="111">
        <f t="shared" si="5"/>
        <v>0</v>
      </c>
      <c r="Z26" s="65">
        <f t="shared" si="6"/>
        <v>0</v>
      </c>
    </row>
    <row r="27" spans="1:26" x14ac:dyDescent="0.2">
      <c r="A27" s="92">
        <f t="shared" si="7"/>
        <v>22</v>
      </c>
      <c r="B27" s="65">
        <f t="shared" si="8"/>
        <v>0</v>
      </c>
      <c r="C27" s="110">
        <f t="shared" si="9"/>
        <v>0</v>
      </c>
      <c r="D27" s="111">
        <f t="shared" si="0"/>
        <v>0</v>
      </c>
      <c r="F27" s="65">
        <f t="shared" si="10"/>
        <v>0</v>
      </c>
      <c r="G27" s="110">
        <f t="shared" si="11"/>
        <v>0</v>
      </c>
      <c r="H27" s="111">
        <f t="shared" si="1"/>
        <v>0</v>
      </c>
      <c r="J27" s="65">
        <f t="shared" si="12"/>
        <v>0</v>
      </c>
      <c r="K27" s="110">
        <f t="shared" si="13"/>
        <v>0</v>
      </c>
      <c r="L27" s="111">
        <f t="shared" si="2"/>
        <v>0</v>
      </c>
      <c r="N27" s="65">
        <f t="shared" si="14"/>
        <v>0</v>
      </c>
      <c r="O27" s="110">
        <f t="shared" si="15"/>
        <v>0</v>
      </c>
      <c r="P27" s="111">
        <f t="shared" si="3"/>
        <v>0</v>
      </c>
      <c r="R27" s="65">
        <f t="shared" si="16"/>
        <v>0</v>
      </c>
      <c r="S27" s="110">
        <f t="shared" si="17"/>
        <v>0</v>
      </c>
      <c r="T27" s="111">
        <f t="shared" si="4"/>
        <v>0</v>
      </c>
      <c r="V27" s="65">
        <f t="shared" si="18"/>
        <v>0</v>
      </c>
      <c r="W27" s="110">
        <f t="shared" si="19"/>
        <v>0</v>
      </c>
      <c r="X27" s="111">
        <f t="shared" si="5"/>
        <v>0</v>
      </c>
      <c r="Z27" s="65">
        <f t="shared" si="6"/>
        <v>0</v>
      </c>
    </row>
    <row r="28" spans="1:26" x14ac:dyDescent="0.2">
      <c r="A28" s="92">
        <f t="shared" si="7"/>
        <v>23</v>
      </c>
      <c r="B28" s="65">
        <f t="shared" si="8"/>
        <v>0</v>
      </c>
      <c r="C28" s="110">
        <f t="shared" si="9"/>
        <v>0</v>
      </c>
      <c r="D28" s="111">
        <f t="shared" si="0"/>
        <v>0</v>
      </c>
      <c r="F28" s="65">
        <f t="shared" si="10"/>
        <v>0</v>
      </c>
      <c r="G28" s="110">
        <f t="shared" si="11"/>
        <v>0</v>
      </c>
      <c r="H28" s="111">
        <f t="shared" si="1"/>
        <v>0</v>
      </c>
      <c r="J28" s="65">
        <f t="shared" si="12"/>
        <v>0</v>
      </c>
      <c r="K28" s="110">
        <f t="shared" si="13"/>
        <v>0</v>
      </c>
      <c r="L28" s="111">
        <f t="shared" si="2"/>
        <v>0</v>
      </c>
      <c r="N28" s="65">
        <f t="shared" si="14"/>
        <v>0</v>
      </c>
      <c r="O28" s="110">
        <f t="shared" si="15"/>
        <v>0</v>
      </c>
      <c r="P28" s="111">
        <f t="shared" si="3"/>
        <v>0</v>
      </c>
      <c r="R28" s="65">
        <f t="shared" si="16"/>
        <v>0</v>
      </c>
      <c r="S28" s="110">
        <f t="shared" si="17"/>
        <v>0</v>
      </c>
      <c r="T28" s="111">
        <f t="shared" si="4"/>
        <v>0</v>
      </c>
      <c r="V28" s="65">
        <f>+V27</f>
        <v>0</v>
      </c>
      <c r="W28" s="110">
        <f>+W27</f>
        <v>0</v>
      </c>
      <c r="X28" s="111">
        <f t="shared" si="5"/>
        <v>0</v>
      </c>
      <c r="Z28" s="65">
        <f t="shared" si="6"/>
        <v>0</v>
      </c>
    </row>
    <row r="29" spans="1:26" x14ac:dyDescent="0.2">
      <c r="A29" s="92">
        <f t="shared" si="7"/>
        <v>24</v>
      </c>
      <c r="B29" s="65">
        <f t="shared" si="8"/>
        <v>0</v>
      </c>
      <c r="C29" s="110">
        <f t="shared" si="9"/>
        <v>0</v>
      </c>
      <c r="D29" s="111">
        <f t="shared" si="0"/>
        <v>0</v>
      </c>
      <c r="F29" s="65">
        <f t="shared" si="10"/>
        <v>0</v>
      </c>
      <c r="G29" s="110">
        <f t="shared" si="11"/>
        <v>0</v>
      </c>
      <c r="H29" s="111">
        <f t="shared" si="1"/>
        <v>0</v>
      </c>
      <c r="J29" s="65">
        <f t="shared" si="12"/>
        <v>0</v>
      </c>
      <c r="K29" s="110">
        <f t="shared" si="13"/>
        <v>0</v>
      </c>
      <c r="L29" s="111">
        <f t="shared" si="2"/>
        <v>0</v>
      </c>
      <c r="N29" s="65">
        <f t="shared" si="14"/>
        <v>0</v>
      </c>
      <c r="O29" s="110">
        <f t="shared" si="15"/>
        <v>0</v>
      </c>
      <c r="P29" s="111">
        <f t="shared" si="3"/>
        <v>0</v>
      </c>
      <c r="R29" s="65">
        <f t="shared" si="16"/>
        <v>0</v>
      </c>
      <c r="S29" s="110">
        <f t="shared" si="17"/>
        <v>0</v>
      </c>
      <c r="T29" s="111">
        <f t="shared" si="4"/>
        <v>0</v>
      </c>
      <c r="V29" s="65">
        <f t="shared" si="18"/>
        <v>0</v>
      </c>
      <c r="W29" s="110">
        <f t="shared" si="19"/>
        <v>0</v>
      </c>
      <c r="X29" s="111">
        <f t="shared" si="5"/>
        <v>0</v>
      </c>
      <c r="Z29" s="65">
        <f t="shared" si="6"/>
        <v>0</v>
      </c>
    </row>
    <row r="30" spans="1:26" x14ac:dyDescent="0.2">
      <c r="A30" s="92">
        <f t="shared" si="7"/>
        <v>25</v>
      </c>
      <c r="B30" s="65">
        <f t="shared" si="8"/>
        <v>0</v>
      </c>
      <c r="C30" s="110">
        <f t="shared" si="9"/>
        <v>0</v>
      </c>
      <c r="D30" s="111">
        <f t="shared" si="0"/>
        <v>0</v>
      </c>
      <c r="F30" s="65">
        <f t="shared" si="10"/>
        <v>0</v>
      </c>
      <c r="G30" s="110">
        <f t="shared" si="11"/>
        <v>0</v>
      </c>
      <c r="H30" s="111">
        <f t="shared" si="1"/>
        <v>0</v>
      </c>
      <c r="J30" s="65">
        <f t="shared" si="12"/>
        <v>0</v>
      </c>
      <c r="K30" s="110">
        <f t="shared" si="13"/>
        <v>0</v>
      </c>
      <c r="L30" s="111">
        <f t="shared" si="2"/>
        <v>0</v>
      </c>
      <c r="N30" s="65">
        <f t="shared" si="14"/>
        <v>0</v>
      </c>
      <c r="O30" s="110">
        <f t="shared" si="15"/>
        <v>0</v>
      </c>
      <c r="P30" s="111">
        <f t="shared" si="3"/>
        <v>0</v>
      </c>
      <c r="R30" s="65">
        <f t="shared" si="16"/>
        <v>0</v>
      </c>
      <c r="S30" s="110">
        <f t="shared" si="17"/>
        <v>0</v>
      </c>
      <c r="T30" s="111">
        <f t="shared" si="4"/>
        <v>0</v>
      </c>
      <c r="V30" s="65">
        <f t="shared" si="18"/>
        <v>0</v>
      </c>
      <c r="W30" s="110">
        <f t="shared" si="19"/>
        <v>0</v>
      </c>
      <c r="X30" s="111">
        <f t="shared" si="5"/>
        <v>0</v>
      </c>
      <c r="Z30" s="65">
        <f t="shared" si="6"/>
        <v>0</v>
      </c>
    </row>
    <row r="31" spans="1:26" x14ac:dyDescent="0.2">
      <c r="A31" s="92">
        <f t="shared" si="7"/>
        <v>26</v>
      </c>
      <c r="B31" s="65">
        <f t="shared" si="8"/>
        <v>0</v>
      </c>
      <c r="C31" s="110">
        <f t="shared" si="9"/>
        <v>0</v>
      </c>
      <c r="D31" s="111">
        <f t="shared" si="0"/>
        <v>0</v>
      </c>
      <c r="F31" s="65">
        <f t="shared" si="10"/>
        <v>0</v>
      </c>
      <c r="G31" s="110">
        <f t="shared" si="11"/>
        <v>0</v>
      </c>
      <c r="H31" s="111">
        <f t="shared" si="1"/>
        <v>0</v>
      </c>
      <c r="J31" s="65">
        <f t="shared" si="12"/>
        <v>0</v>
      </c>
      <c r="K31" s="110">
        <f t="shared" si="13"/>
        <v>0</v>
      </c>
      <c r="L31" s="111">
        <f t="shared" si="2"/>
        <v>0</v>
      </c>
      <c r="N31" s="65">
        <f t="shared" si="14"/>
        <v>0</v>
      </c>
      <c r="O31" s="110">
        <f t="shared" si="15"/>
        <v>0</v>
      </c>
      <c r="P31" s="111">
        <f t="shared" si="3"/>
        <v>0</v>
      </c>
      <c r="R31" s="65">
        <f t="shared" si="16"/>
        <v>0</v>
      </c>
      <c r="S31" s="110">
        <f t="shared" si="17"/>
        <v>0</v>
      </c>
      <c r="T31" s="111">
        <f t="shared" si="4"/>
        <v>0</v>
      </c>
      <c r="V31" s="65">
        <f t="shared" si="18"/>
        <v>0</v>
      </c>
      <c r="W31" s="110">
        <f t="shared" si="19"/>
        <v>0</v>
      </c>
      <c r="X31" s="111">
        <f t="shared" si="5"/>
        <v>0</v>
      </c>
      <c r="Z31" s="65">
        <f t="shared" si="6"/>
        <v>0</v>
      </c>
    </row>
    <row r="32" spans="1:26" x14ac:dyDescent="0.2">
      <c r="A32" s="92">
        <f t="shared" si="7"/>
        <v>27</v>
      </c>
      <c r="B32" s="65">
        <f t="shared" si="8"/>
        <v>0</v>
      </c>
      <c r="C32" s="110">
        <f t="shared" si="9"/>
        <v>0</v>
      </c>
      <c r="D32" s="111">
        <f t="shared" si="0"/>
        <v>0</v>
      </c>
      <c r="F32" s="65">
        <f t="shared" si="10"/>
        <v>0</v>
      </c>
      <c r="G32" s="110">
        <f t="shared" si="11"/>
        <v>0</v>
      </c>
      <c r="H32" s="111">
        <f t="shared" si="1"/>
        <v>0</v>
      </c>
      <c r="J32" s="65">
        <f t="shared" si="12"/>
        <v>0</v>
      </c>
      <c r="K32" s="110">
        <f t="shared" si="13"/>
        <v>0</v>
      </c>
      <c r="L32" s="111">
        <f t="shared" si="2"/>
        <v>0</v>
      </c>
      <c r="N32" s="65">
        <f t="shared" si="14"/>
        <v>0</v>
      </c>
      <c r="O32" s="110">
        <f t="shared" si="15"/>
        <v>0</v>
      </c>
      <c r="P32" s="111">
        <f t="shared" si="3"/>
        <v>0</v>
      </c>
      <c r="R32" s="65">
        <f t="shared" si="16"/>
        <v>0</v>
      </c>
      <c r="S32" s="110">
        <f t="shared" si="17"/>
        <v>0</v>
      </c>
      <c r="T32" s="111">
        <f t="shared" si="4"/>
        <v>0</v>
      </c>
      <c r="V32" s="65">
        <f t="shared" si="18"/>
        <v>0</v>
      </c>
      <c r="W32" s="110">
        <f t="shared" si="19"/>
        <v>0</v>
      </c>
      <c r="X32" s="111">
        <f t="shared" si="5"/>
        <v>0</v>
      </c>
      <c r="Z32" s="65">
        <f t="shared" si="6"/>
        <v>0</v>
      </c>
    </row>
    <row r="33" spans="1:26" x14ac:dyDescent="0.2">
      <c r="A33" s="92">
        <f t="shared" si="7"/>
        <v>28</v>
      </c>
      <c r="B33" s="65">
        <f t="shared" si="8"/>
        <v>0</v>
      </c>
      <c r="C33" s="110">
        <f t="shared" si="9"/>
        <v>0</v>
      </c>
      <c r="D33" s="111">
        <f t="shared" si="0"/>
        <v>0</v>
      </c>
      <c r="F33" s="65">
        <f t="shared" si="10"/>
        <v>0</v>
      </c>
      <c r="G33" s="110">
        <f t="shared" si="11"/>
        <v>0</v>
      </c>
      <c r="H33" s="111">
        <f t="shared" si="1"/>
        <v>0</v>
      </c>
      <c r="J33" s="65">
        <f t="shared" si="12"/>
        <v>0</v>
      </c>
      <c r="K33" s="110">
        <f t="shared" si="13"/>
        <v>0</v>
      </c>
      <c r="L33" s="111">
        <f t="shared" si="2"/>
        <v>0</v>
      </c>
      <c r="N33" s="65">
        <f t="shared" si="14"/>
        <v>0</v>
      </c>
      <c r="O33" s="110">
        <f t="shared" si="15"/>
        <v>0</v>
      </c>
      <c r="P33" s="111">
        <f t="shared" si="3"/>
        <v>0</v>
      </c>
      <c r="R33" s="65">
        <f t="shared" si="16"/>
        <v>0</v>
      </c>
      <c r="S33" s="110">
        <f t="shared" si="17"/>
        <v>0</v>
      </c>
      <c r="T33" s="111">
        <f t="shared" si="4"/>
        <v>0</v>
      </c>
      <c r="V33" s="65">
        <f t="shared" si="18"/>
        <v>0</v>
      </c>
      <c r="W33" s="110">
        <f t="shared" si="19"/>
        <v>0</v>
      </c>
      <c r="X33" s="111">
        <f t="shared" si="5"/>
        <v>0</v>
      </c>
      <c r="Z33" s="65">
        <f t="shared" si="6"/>
        <v>0</v>
      </c>
    </row>
    <row r="34" spans="1:26" x14ac:dyDescent="0.2">
      <c r="A34" s="92">
        <f t="shared" si="7"/>
        <v>29</v>
      </c>
      <c r="B34" s="65">
        <f t="shared" si="8"/>
        <v>0</v>
      </c>
      <c r="C34" s="110">
        <f t="shared" si="9"/>
        <v>0</v>
      </c>
      <c r="D34" s="111">
        <f t="shared" si="0"/>
        <v>0</v>
      </c>
      <c r="F34" s="65">
        <f t="shared" si="10"/>
        <v>0</v>
      </c>
      <c r="G34" s="110">
        <f t="shared" si="11"/>
        <v>0</v>
      </c>
      <c r="H34" s="111">
        <f t="shared" si="1"/>
        <v>0</v>
      </c>
      <c r="J34" s="65">
        <f t="shared" si="12"/>
        <v>0</v>
      </c>
      <c r="K34" s="110">
        <f t="shared" si="13"/>
        <v>0</v>
      </c>
      <c r="L34" s="111">
        <f t="shared" si="2"/>
        <v>0</v>
      </c>
      <c r="N34" s="65">
        <f t="shared" si="14"/>
        <v>0</v>
      </c>
      <c r="O34" s="110">
        <f t="shared" si="15"/>
        <v>0</v>
      </c>
      <c r="P34" s="111">
        <f t="shared" si="3"/>
        <v>0</v>
      </c>
      <c r="R34" s="65">
        <f t="shared" si="16"/>
        <v>0</v>
      </c>
      <c r="S34" s="110">
        <f t="shared" si="17"/>
        <v>0</v>
      </c>
      <c r="T34" s="111">
        <f t="shared" si="4"/>
        <v>0</v>
      </c>
      <c r="V34" s="65">
        <f t="shared" si="18"/>
        <v>0</v>
      </c>
      <c r="W34" s="110">
        <f t="shared" si="19"/>
        <v>0</v>
      </c>
      <c r="X34" s="111">
        <f t="shared" si="5"/>
        <v>0</v>
      </c>
      <c r="Z34" s="65">
        <f t="shared" si="6"/>
        <v>0</v>
      </c>
    </row>
    <row r="35" spans="1:26" x14ac:dyDescent="0.2">
      <c r="A35" s="92">
        <f>+A34+1</f>
        <v>30</v>
      </c>
      <c r="B35" s="65">
        <f t="shared" si="8"/>
        <v>0</v>
      </c>
      <c r="C35" s="110">
        <f t="shared" si="9"/>
        <v>0</v>
      </c>
      <c r="D35" s="111">
        <f t="shared" si="0"/>
        <v>0</v>
      </c>
      <c r="F35" s="65">
        <f t="shared" si="10"/>
        <v>0</v>
      </c>
      <c r="G35" s="110">
        <f t="shared" si="11"/>
        <v>0</v>
      </c>
      <c r="H35" s="111">
        <f t="shared" si="1"/>
        <v>0</v>
      </c>
      <c r="J35" s="65">
        <f t="shared" si="12"/>
        <v>0</v>
      </c>
      <c r="K35" s="110">
        <f t="shared" si="13"/>
        <v>0</v>
      </c>
      <c r="L35" s="111">
        <f t="shared" si="2"/>
        <v>0</v>
      </c>
      <c r="N35" s="65">
        <f t="shared" si="14"/>
        <v>0</v>
      </c>
      <c r="O35" s="110">
        <f t="shared" si="15"/>
        <v>0</v>
      </c>
      <c r="P35" s="111">
        <f t="shared" si="3"/>
        <v>0</v>
      </c>
      <c r="R35" s="65">
        <f t="shared" si="16"/>
        <v>0</v>
      </c>
      <c r="S35" s="110">
        <f t="shared" si="17"/>
        <v>0</v>
      </c>
      <c r="T35" s="111">
        <f t="shared" si="4"/>
        <v>0</v>
      </c>
      <c r="V35" s="65">
        <f t="shared" si="18"/>
        <v>0</v>
      </c>
      <c r="W35" s="110">
        <f t="shared" si="19"/>
        <v>0</v>
      </c>
      <c r="X35" s="111">
        <f t="shared" si="5"/>
        <v>0</v>
      </c>
      <c r="Z35" s="65">
        <f t="shared" si="6"/>
        <v>0</v>
      </c>
    </row>
    <row r="36" spans="1:26" x14ac:dyDescent="0.2">
      <c r="A36" s="92">
        <v>31</v>
      </c>
      <c r="B36" s="65">
        <f t="shared" si="8"/>
        <v>0</v>
      </c>
      <c r="C36" s="110">
        <f t="shared" si="9"/>
        <v>0</v>
      </c>
      <c r="D36" s="111">
        <f t="shared" si="0"/>
        <v>0</v>
      </c>
      <c r="F36" s="65">
        <f t="shared" si="10"/>
        <v>0</v>
      </c>
      <c r="G36" s="110">
        <f t="shared" si="11"/>
        <v>0</v>
      </c>
      <c r="H36" s="111">
        <f t="shared" si="1"/>
        <v>0</v>
      </c>
      <c r="J36" s="65">
        <f t="shared" si="12"/>
        <v>0</v>
      </c>
      <c r="K36" s="110">
        <f t="shared" si="13"/>
        <v>0</v>
      </c>
      <c r="L36" s="111">
        <f>+J36*K36</f>
        <v>0</v>
      </c>
      <c r="N36" s="65">
        <f t="shared" si="14"/>
        <v>0</v>
      </c>
      <c r="O36" s="110">
        <f t="shared" si="15"/>
        <v>0</v>
      </c>
      <c r="P36" s="111">
        <f>+N36*O36</f>
        <v>0</v>
      </c>
      <c r="R36" s="65">
        <f t="shared" si="16"/>
        <v>0</v>
      </c>
      <c r="S36" s="110">
        <f t="shared" si="17"/>
        <v>0</v>
      </c>
      <c r="T36" s="111">
        <f>+R36*S36</f>
        <v>0</v>
      </c>
      <c r="V36" s="65">
        <f t="shared" si="18"/>
        <v>0</v>
      </c>
      <c r="W36" s="110">
        <f t="shared" si="19"/>
        <v>0</v>
      </c>
      <c r="X36" s="111">
        <f>+V36*W36</f>
        <v>0</v>
      </c>
      <c r="Z36" s="65">
        <f t="shared" si="6"/>
        <v>0</v>
      </c>
    </row>
    <row r="37" spans="1:26" x14ac:dyDescent="0.2">
      <c r="A37" s="92"/>
    </row>
    <row r="38" spans="1:26" x14ac:dyDescent="0.2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abSelected="1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X27" sqref="X27"/>
    </sheetView>
  </sheetViews>
  <sheetFormatPr defaultRowHeight="12.75" x14ac:dyDescent="0.2"/>
  <cols>
    <col min="1" max="1" width="5.7109375" style="94" customWidth="1"/>
    <col min="2" max="3" width="11" style="94" customWidth="1"/>
    <col min="4" max="4" width="4.7109375" style="94" customWidth="1"/>
    <col min="5" max="5" width="12.85546875" style="94" customWidth="1"/>
    <col min="6" max="9" width="10.42578125" style="94" customWidth="1"/>
    <col min="10" max="10" width="3.28515625" style="94" customWidth="1"/>
    <col min="11" max="11" width="12.85546875" style="94" customWidth="1"/>
    <col min="12" max="12" width="9.140625" style="94"/>
    <col min="13" max="13" width="11" style="94" customWidth="1"/>
    <col min="14" max="15" width="12.85546875" style="94" customWidth="1"/>
    <col min="16" max="16" width="10.28515625" style="94" customWidth="1"/>
    <col min="17" max="17" width="3.5703125" style="94" customWidth="1"/>
    <col min="18" max="18" width="10.28515625" style="94" customWidth="1"/>
    <col min="19" max="19" width="3.5703125" style="94" customWidth="1"/>
    <col min="20" max="20" width="13" style="94" customWidth="1"/>
    <col min="21" max="21" width="3.5703125" style="94" customWidth="1"/>
    <col min="22" max="22" width="14.42578125" style="94" customWidth="1"/>
    <col min="23" max="23" width="3.5703125" style="94" customWidth="1"/>
    <col min="24" max="24" width="13.85546875" style="119" customWidth="1"/>
    <col min="25" max="16384" width="9.140625" style="94"/>
  </cols>
  <sheetData>
    <row r="2" spans="1:25" s="92" customFormat="1" x14ac:dyDescent="0.2">
      <c r="C2" s="92">
        <v>20500</v>
      </c>
      <c r="X2" s="112"/>
    </row>
    <row r="3" spans="1:25" x14ac:dyDescent="0.2">
      <c r="A3" s="92"/>
      <c r="B3" s="92" t="s">
        <v>192</v>
      </c>
      <c r="C3" s="92" t="s">
        <v>208</v>
      </c>
      <c r="D3" s="92"/>
      <c r="E3" s="113">
        <v>456379</v>
      </c>
      <c r="F3" s="92"/>
      <c r="G3" s="92"/>
      <c r="H3" s="92"/>
      <c r="I3" s="92"/>
      <c r="J3" s="92"/>
      <c r="K3" s="92" t="s">
        <v>305</v>
      </c>
      <c r="L3" s="92"/>
      <c r="M3" s="92"/>
      <c r="N3" s="92"/>
      <c r="O3" s="92"/>
      <c r="P3" s="92"/>
      <c r="Q3" s="92"/>
      <c r="R3" s="92" t="s">
        <v>195</v>
      </c>
      <c r="S3" s="92"/>
      <c r="T3" s="92"/>
      <c r="V3" s="92" t="s">
        <v>260</v>
      </c>
      <c r="X3" s="112"/>
      <c r="Y3" s="94" t="s">
        <v>224</v>
      </c>
    </row>
    <row r="4" spans="1:25" x14ac:dyDescent="0.2">
      <c r="A4" s="92"/>
      <c r="B4" s="92" t="s">
        <v>178</v>
      </c>
      <c r="C4" s="92" t="s">
        <v>178</v>
      </c>
      <c r="D4" s="92"/>
      <c r="E4" s="114" t="s">
        <v>90</v>
      </c>
      <c r="F4" s="115" t="s">
        <v>90</v>
      </c>
      <c r="G4" s="93"/>
      <c r="H4" s="93" t="s">
        <v>28</v>
      </c>
      <c r="I4" s="93" t="s">
        <v>80</v>
      </c>
      <c r="J4" s="93"/>
      <c r="K4" s="92" t="s">
        <v>179</v>
      </c>
      <c r="L4" s="92"/>
      <c r="M4" s="92"/>
      <c r="N4" s="92"/>
      <c r="O4" s="92"/>
      <c r="P4" s="92" t="s">
        <v>193</v>
      </c>
      <c r="Q4" s="92"/>
      <c r="R4" s="92" t="s">
        <v>194</v>
      </c>
      <c r="S4" s="92"/>
      <c r="T4" s="92" t="s">
        <v>102</v>
      </c>
      <c r="V4" s="92" t="s">
        <v>101</v>
      </c>
      <c r="X4" s="112"/>
      <c r="Y4" s="94" t="s">
        <v>192</v>
      </c>
    </row>
    <row r="5" spans="1:25" x14ac:dyDescent="0.2">
      <c r="A5" s="92"/>
      <c r="B5" s="133">
        <v>597193</v>
      </c>
      <c r="C5" s="133">
        <v>597332</v>
      </c>
      <c r="D5" s="92"/>
      <c r="E5" s="116" t="s">
        <v>93</v>
      </c>
      <c r="F5" s="117" t="s">
        <v>94</v>
      </c>
      <c r="G5" s="93"/>
      <c r="H5" s="93" t="s">
        <v>75</v>
      </c>
      <c r="I5" s="93" t="s">
        <v>75</v>
      </c>
      <c r="J5" s="93"/>
      <c r="K5" s="92" t="s">
        <v>180</v>
      </c>
      <c r="L5" s="92"/>
      <c r="M5" s="92" t="s">
        <v>177</v>
      </c>
      <c r="N5" s="92" t="s">
        <v>190</v>
      </c>
      <c r="O5" s="92" t="s">
        <v>175</v>
      </c>
      <c r="P5" s="118" t="s">
        <v>177</v>
      </c>
      <c r="Q5" s="92"/>
      <c r="R5" s="145">
        <f>+B5</f>
        <v>597193</v>
      </c>
      <c r="S5" s="92"/>
      <c r="T5" s="92" t="s">
        <v>185</v>
      </c>
      <c r="V5" s="92" t="s">
        <v>186</v>
      </c>
      <c r="X5" s="112" t="s">
        <v>92</v>
      </c>
      <c r="Y5" s="94" t="s">
        <v>103</v>
      </c>
    </row>
    <row r="6" spans="1:25" x14ac:dyDescent="0.2">
      <c r="A6" s="92">
        <v>1</v>
      </c>
      <c r="B6" s="92">
        <v>72496</v>
      </c>
      <c r="C6" s="92">
        <v>21066</v>
      </c>
      <c r="D6" s="92"/>
      <c r="E6" s="92">
        <v>51899</v>
      </c>
      <c r="F6" s="92">
        <f t="shared" ref="F6:F12" si="0">ROUND(+E6*(1-0.02184),0)</f>
        <v>50766</v>
      </c>
      <c r="G6" s="92"/>
      <c r="H6" s="92">
        <v>140099</v>
      </c>
      <c r="I6" s="92">
        <f>IF(B6-H6&gt;0,+B6-H6,0)</f>
        <v>0</v>
      </c>
      <c r="J6" s="92"/>
      <c r="K6" s="92">
        <f>+B6+C6-F6</f>
        <v>42796</v>
      </c>
      <c r="L6" s="92"/>
      <c r="M6" s="92">
        <v>25038</v>
      </c>
      <c r="N6" s="92">
        <f>SUM('3rd Party Deals'!S6)</f>
        <v>17298</v>
      </c>
      <c r="O6" s="92">
        <f>SUM('Spot wENA'!Z6)</f>
        <v>0</v>
      </c>
      <c r="P6" s="93">
        <f>SUM(M6:O6)</f>
        <v>42336</v>
      </c>
      <c r="Q6" s="92"/>
      <c r="R6" s="93">
        <f>IF(T6&gt;0,+B6-T6,0)</f>
        <v>72036</v>
      </c>
      <c r="S6" s="92"/>
      <c r="T6" s="92">
        <f>IF(K6-P6&gt;0,K6-P6,0)</f>
        <v>460</v>
      </c>
      <c r="V6" s="92">
        <f>IF(P6-K6&gt;0,P6-K6,0)</f>
        <v>0</v>
      </c>
      <c r="X6" s="166">
        <v>6.0949999999999998</v>
      </c>
      <c r="Y6" s="105">
        <f>ROUND((+X6+0.01)/(1-0.02184)+0.0227,2)</f>
        <v>6.26</v>
      </c>
    </row>
    <row r="7" spans="1:25" x14ac:dyDescent="0.2">
      <c r="A7" s="92">
        <f>+A6+1</f>
        <v>2</v>
      </c>
      <c r="B7" s="92">
        <v>104663</v>
      </c>
      <c r="C7" s="92">
        <f>+C6</f>
        <v>21066</v>
      </c>
      <c r="D7" s="92"/>
      <c r="E7" s="92">
        <v>84751</v>
      </c>
      <c r="F7" s="92">
        <f t="shared" si="0"/>
        <v>82900</v>
      </c>
      <c r="G7" s="92"/>
      <c r="H7" s="92">
        <f>+H6</f>
        <v>140099</v>
      </c>
      <c r="I7" s="92">
        <f t="shared" ref="I7:I33" si="1">IF(B7-H7&gt;0,+B7-H7,0)</f>
        <v>0</v>
      </c>
      <c r="J7" s="92"/>
      <c r="K7" s="92">
        <f t="shared" ref="K7:K33" si="2">+B7+C7-F7</f>
        <v>42829</v>
      </c>
      <c r="L7" s="92"/>
      <c r="M7" s="92">
        <f>+M6</f>
        <v>25038</v>
      </c>
      <c r="N7" s="92">
        <f>SUM('3rd Party Deals'!S7)</f>
        <v>17298</v>
      </c>
      <c r="O7" s="92">
        <f>SUM('Spot wENA'!Z7)</f>
        <v>0</v>
      </c>
      <c r="P7" s="93">
        <f>SUM(M7:O7)</f>
        <v>42336</v>
      </c>
      <c r="Q7" s="92"/>
      <c r="R7" s="93">
        <f t="shared" ref="R7:R33" si="3">IF(T7&gt;0,+B7-T7,0)</f>
        <v>104170</v>
      </c>
      <c r="S7" s="92"/>
      <c r="T7" s="92">
        <f t="shared" ref="T7:T33" si="4">IF(K7-P7&gt;0,K7-P7,0)</f>
        <v>493</v>
      </c>
      <c r="V7" s="92">
        <f t="shared" ref="V7:V33" si="5">IF(P7-K7&gt;0,P7-K7,0)</f>
        <v>0</v>
      </c>
      <c r="X7" s="166">
        <v>6.13</v>
      </c>
      <c r="Y7" s="105">
        <f t="shared" ref="Y7:Y33" si="6">ROUND((+X7+0.01)/(1-0.02184)+0.0227,2)</f>
        <v>6.3</v>
      </c>
    </row>
    <row r="8" spans="1:25" x14ac:dyDescent="0.2">
      <c r="A8" s="92">
        <f t="shared" ref="A8:A33" si="7">+A7+1</f>
        <v>3</v>
      </c>
      <c r="B8" s="92">
        <v>83817</v>
      </c>
      <c r="C8" s="92">
        <f t="shared" ref="C8:C33" si="8">+C7</f>
        <v>21066</v>
      </c>
      <c r="D8" s="92"/>
      <c r="E8" s="92">
        <v>63472</v>
      </c>
      <c r="F8" s="92">
        <f t="shared" si="0"/>
        <v>62086</v>
      </c>
      <c r="G8" s="92"/>
      <c r="H8" s="92">
        <f t="shared" ref="H8:H33" si="9">+H7</f>
        <v>140099</v>
      </c>
      <c r="I8" s="92">
        <f t="shared" si="1"/>
        <v>0</v>
      </c>
      <c r="J8" s="92"/>
      <c r="K8" s="92">
        <f t="shared" si="2"/>
        <v>42797</v>
      </c>
      <c r="L8" s="92"/>
      <c r="M8" s="92">
        <f t="shared" ref="M8:M33" si="10">+M7</f>
        <v>25038</v>
      </c>
      <c r="N8" s="92">
        <f>SUM('3rd Party Deals'!S8)</f>
        <v>17298</v>
      </c>
      <c r="O8" s="92">
        <f>SUM('Spot wENA'!Z8)</f>
        <v>0</v>
      </c>
      <c r="P8" s="93">
        <f t="shared" ref="P8:P33" si="11">SUM(M8:O8)</f>
        <v>42336</v>
      </c>
      <c r="Q8" s="92"/>
      <c r="R8" s="93">
        <f t="shared" si="3"/>
        <v>83356</v>
      </c>
      <c r="S8" s="92"/>
      <c r="T8" s="92">
        <f t="shared" si="4"/>
        <v>461</v>
      </c>
      <c r="V8" s="92">
        <f t="shared" si="5"/>
        <v>0</v>
      </c>
      <c r="X8" s="166">
        <v>6.8849999999999998</v>
      </c>
      <c r="Y8" s="105">
        <f t="shared" si="6"/>
        <v>7.07</v>
      </c>
    </row>
    <row r="9" spans="1:25" x14ac:dyDescent="0.2">
      <c r="A9" s="92">
        <f t="shared" si="7"/>
        <v>4</v>
      </c>
      <c r="B9" s="92">
        <v>59870</v>
      </c>
      <c r="C9" s="92">
        <f t="shared" si="8"/>
        <v>21066</v>
      </c>
      <c r="D9" s="92"/>
      <c r="E9" s="92">
        <v>38991</v>
      </c>
      <c r="F9" s="92">
        <f t="shared" si="0"/>
        <v>38139</v>
      </c>
      <c r="G9" s="92"/>
      <c r="H9" s="92">
        <f t="shared" si="9"/>
        <v>140099</v>
      </c>
      <c r="I9" s="92">
        <f t="shared" si="1"/>
        <v>0</v>
      </c>
      <c r="J9" s="92"/>
      <c r="K9" s="92">
        <f t="shared" si="2"/>
        <v>42797</v>
      </c>
      <c r="L9" s="92"/>
      <c r="M9" s="92">
        <f t="shared" si="10"/>
        <v>25038</v>
      </c>
      <c r="N9" s="92">
        <f>SUM('3rd Party Deals'!S9)</f>
        <v>17298</v>
      </c>
      <c r="O9" s="92">
        <f>SUM('Spot wENA'!Z9)</f>
        <v>0</v>
      </c>
      <c r="P9" s="93">
        <f t="shared" si="11"/>
        <v>42336</v>
      </c>
      <c r="Q9" s="92"/>
      <c r="R9" s="93">
        <f t="shared" si="3"/>
        <v>59409</v>
      </c>
      <c r="S9" s="92"/>
      <c r="T9" s="92">
        <f t="shared" si="4"/>
        <v>461</v>
      </c>
      <c r="V9" s="92">
        <f t="shared" si="5"/>
        <v>0</v>
      </c>
      <c r="X9" s="166">
        <v>6.8849999999999998</v>
      </c>
      <c r="Y9" s="105">
        <f t="shared" si="6"/>
        <v>7.07</v>
      </c>
    </row>
    <row r="10" spans="1:25" x14ac:dyDescent="0.2">
      <c r="A10" s="92">
        <f t="shared" si="7"/>
        <v>5</v>
      </c>
      <c r="B10" s="92">
        <v>67399</v>
      </c>
      <c r="C10" s="92">
        <f t="shared" si="8"/>
        <v>21066</v>
      </c>
      <c r="D10" s="92"/>
      <c r="E10" s="92">
        <v>46688</v>
      </c>
      <c r="F10" s="92">
        <f t="shared" si="0"/>
        <v>45668</v>
      </c>
      <c r="G10" s="92"/>
      <c r="H10" s="92">
        <f t="shared" si="9"/>
        <v>140099</v>
      </c>
      <c r="I10" s="92">
        <f t="shared" si="1"/>
        <v>0</v>
      </c>
      <c r="J10" s="92"/>
      <c r="K10" s="92">
        <f t="shared" si="2"/>
        <v>42797</v>
      </c>
      <c r="L10" s="92"/>
      <c r="M10" s="92">
        <f t="shared" si="10"/>
        <v>25038</v>
      </c>
      <c r="N10" s="92">
        <f>SUM('3rd Party Deals'!S10)</f>
        <v>17298</v>
      </c>
      <c r="O10" s="92">
        <f>SUM('Spot wENA'!Z10)</f>
        <v>0</v>
      </c>
      <c r="P10" s="93">
        <f t="shared" si="11"/>
        <v>42336</v>
      </c>
      <c r="Q10" s="92"/>
      <c r="R10" s="93">
        <f t="shared" si="3"/>
        <v>66938</v>
      </c>
      <c r="S10" s="92"/>
      <c r="T10" s="92">
        <f t="shared" si="4"/>
        <v>461</v>
      </c>
      <c r="V10" s="92">
        <f t="shared" si="5"/>
        <v>0</v>
      </c>
      <c r="X10" s="166">
        <v>6.8849999999999998</v>
      </c>
      <c r="Y10" s="105">
        <f t="shared" si="6"/>
        <v>7.07</v>
      </c>
    </row>
    <row r="11" spans="1:25" x14ac:dyDescent="0.2">
      <c r="A11" s="92">
        <f t="shared" si="7"/>
        <v>6</v>
      </c>
      <c r="B11" s="92">
        <v>76710</v>
      </c>
      <c r="C11" s="92">
        <f t="shared" si="8"/>
        <v>21066</v>
      </c>
      <c r="D11" s="92"/>
      <c r="E11" s="92">
        <v>56207</v>
      </c>
      <c r="F11" s="92">
        <f t="shared" si="0"/>
        <v>54979</v>
      </c>
      <c r="G11" s="92"/>
      <c r="H11" s="92">
        <f t="shared" si="9"/>
        <v>140099</v>
      </c>
      <c r="I11" s="92">
        <f t="shared" si="1"/>
        <v>0</v>
      </c>
      <c r="J11" s="92"/>
      <c r="K11" s="92">
        <f t="shared" si="2"/>
        <v>42797</v>
      </c>
      <c r="L11" s="92"/>
      <c r="M11" s="92">
        <f t="shared" si="10"/>
        <v>25038</v>
      </c>
      <c r="N11" s="92">
        <f>SUM('3rd Party Deals'!S11)</f>
        <v>17298</v>
      </c>
      <c r="O11" s="92">
        <f>SUM('Spot wENA'!Z11)</f>
        <v>0</v>
      </c>
      <c r="P11" s="93">
        <f t="shared" si="11"/>
        <v>42336</v>
      </c>
      <c r="Q11" s="92"/>
      <c r="R11" s="93">
        <f t="shared" si="3"/>
        <v>76249</v>
      </c>
      <c r="S11" s="92"/>
      <c r="T11" s="92">
        <f t="shared" si="4"/>
        <v>461</v>
      </c>
      <c r="V11" s="92">
        <f t="shared" si="5"/>
        <v>0</v>
      </c>
      <c r="X11" s="166">
        <v>6.1</v>
      </c>
      <c r="Y11" s="105">
        <f t="shared" si="6"/>
        <v>6.27</v>
      </c>
    </row>
    <row r="12" spans="1:25" x14ac:dyDescent="0.2">
      <c r="A12" s="92">
        <f t="shared" si="7"/>
        <v>7</v>
      </c>
      <c r="B12" s="92">
        <v>64907</v>
      </c>
      <c r="C12" s="92">
        <f t="shared" si="8"/>
        <v>21066</v>
      </c>
      <c r="D12" s="92"/>
      <c r="E12" s="92">
        <v>44141</v>
      </c>
      <c r="F12" s="92">
        <f t="shared" si="0"/>
        <v>43177</v>
      </c>
      <c r="G12" s="92"/>
      <c r="H12" s="92">
        <f t="shared" si="9"/>
        <v>140099</v>
      </c>
      <c r="I12" s="92">
        <f t="shared" si="1"/>
        <v>0</v>
      </c>
      <c r="J12" s="92"/>
      <c r="K12" s="92">
        <f t="shared" si="2"/>
        <v>42796</v>
      </c>
      <c r="L12" s="92"/>
      <c r="M12" s="92">
        <f t="shared" si="10"/>
        <v>25038</v>
      </c>
      <c r="N12" s="92">
        <f>SUM('3rd Party Deals'!S12)</f>
        <v>17298</v>
      </c>
      <c r="O12" s="92">
        <f>SUM('Spot wENA'!Z12)</f>
        <v>0</v>
      </c>
      <c r="P12" s="93">
        <f t="shared" si="11"/>
        <v>42336</v>
      </c>
      <c r="Q12" s="92"/>
      <c r="R12" s="93">
        <f t="shared" si="3"/>
        <v>64447</v>
      </c>
      <c r="S12" s="92"/>
      <c r="T12" s="92">
        <f t="shared" si="4"/>
        <v>460</v>
      </c>
      <c r="V12" s="92">
        <f t="shared" si="5"/>
        <v>0</v>
      </c>
      <c r="X12" s="166">
        <v>5.8550000000000004</v>
      </c>
      <c r="Y12" s="105">
        <f t="shared" si="6"/>
        <v>6.02</v>
      </c>
    </row>
    <row r="13" spans="1:25" x14ac:dyDescent="0.2">
      <c r="A13" s="92">
        <f t="shared" si="7"/>
        <v>8</v>
      </c>
      <c r="B13" s="92">
        <v>22588</v>
      </c>
      <c r="C13" s="92">
        <f t="shared" si="8"/>
        <v>21066</v>
      </c>
      <c r="D13" s="92"/>
      <c r="E13" s="92">
        <v>1127</v>
      </c>
      <c r="F13" s="92">
        <f t="shared" ref="F13:F33" si="12">ROUND(+E13*(1-0.02184),0)</f>
        <v>1102</v>
      </c>
      <c r="G13" s="92"/>
      <c r="H13" s="92">
        <f t="shared" si="9"/>
        <v>140099</v>
      </c>
      <c r="I13" s="92">
        <f t="shared" si="1"/>
        <v>0</v>
      </c>
      <c r="J13" s="92"/>
      <c r="K13" s="92">
        <f t="shared" si="2"/>
        <v>42552</v>
      </c>
      <c r="L13" s="92"/>
      <c r="M13" s="92">
        <f t="shared" si="10"/>
        <v>25038</v>
      </c>
      <c r="N13" s="92">
        <f>SUM('3rd Party Deals'!S13)</f>
        <v>17052</v>
      </c>
      <c r="O13" s="92">
        <f>SUM('Spot wENA'!Z13)</f>
        <v>0</v>
      </c>
      <c r="P13" s="93">
        <f t="shared" si="11"/>
        <v>42090</v>
      </c>
      <c r="Q13" s="92"/>
      <c r="R13" s="93">
        <f t="shared" si="3"/>
        <v>22126</v>
      </c>
      <c r="S13" s="92"/>
      <c r="T13" s="92">
        <f t="shared" si="4"/>
        <v>462</v>
      </c>
      <c r="V13" s="92">
        <f t="shared" si="5"/>
        <v>0</v>
      </c>
      <c r="X13" s="166">
        <v>5.93</v>
      </c>
      <c r="Y13" s="105">
        <f t="shared" si="6"/>
        <v>6.1</v>
      </c>
    </row>
    <row r="14" spans="1:25" x14ac:dyDescent="0.2">
      <c r="A14" s="92">
        <f t="shared" si="7"/>
        <v>9</v>
      </c>
      <c r="B14" s="92">
        <v>34003</v>
      </c>
      <c r="C14" s="92">
        <f t="shared" si="8"/>
        <v>21066</v>
      </c>
      <c r="D14" s="92"/>
      <c r="E14" s="92">
        <v>12797</v>
      </c>
      <c r="F14" s="92">
        <f t="shared" si="12"/>
        <v>12518</v>
      </c>
      <c r="G14" s="92"/>
      <c r="H14" s="92">
        <f t="shared" si="9"/>
        <v>140099</v>
      </c>
      <c r="I14" s="92">
        <f t="shared" si="1"/>
        <v>0</v>
      </c>
      <c r="J14" s="92"/>
      <c r="K14" s="92">
        <f t="shared" si="2"/>
        <v>42551</v>
      </c>
      <c r="L14" s="92"/>
      <c r="M14" s="92">
        <f t="shared" si="10"/>
        <v>25038</v>
      </c>
      <c r="N14" s="92">
        <f>SUM('3rd Party Deals'!S14)</f>
        <v>17052</v>
      </c>
      <c r="O14" s="92">
        <f>SUM('Spot wENA'!Z14)</f>
        <v>0</v>
      </c>
      <c r="P14" s="93">
        <f t="shared" si="11"/>
        <v>42090</v>
      </c>
      <c r="Q14" s="92"/>
      <c r="R14" s="93">
        <f t="shared" si="3"/>
        <v>33542</v>
      </c>
      <c r="S14" s="92"/>
      <c r="T14" s="92">
        <f t="shared" si="4"/>
        <v>461</v>
      </c>
      <c r="V14" s="92">
        <f t="shared" si="5"/>
        <v>0</v>
      </c>
      <c r="X14" s="166">
        <v>6.5</v>
      </c>
      <c r="Y14" s="105">
        <f t="shared" si="6"/>
        <v>6.68</v>
      </c>
    </row>
    <row r="15" spans="1:25" x14ac:dyDescent="0.2">
      <c r="A15" s="92">
        <f t="shared" si="7"/>
        <v>10</v>
      </c>
      <c r="B15" s="92">
        <v>102194</v>
      </c>
      <c r="C15" s="92">
        <f t="shared" si="8"/>
        <v>21066</v>
      </c>
      <c r="D15" s="92"/>
      <c r="E15" s="92">
        <v>82010</v>
      </c>
      <c r="F15" s="92">
        <f t="shared" si="12"/>
        <v>80219</v>
      </c>
      <c r="G15" s="92"/>
      <c r="H15" s="92">
        <f t="shared" si="9"/>
        <v>140099</v>
      </c>
      <c r="I15" s="92">
        <f t="shared" si="1"/>
        <v>0</v>
      </c>
      <c r="J15" s="92"/>
      <c r="K15" s="92">
        <f t="shared" si="2"/>
        <v>43041</v>
      </c>
      <c r="L15" s="92"/>
      <c r="M15" s="92">
        <f t="shared" si="10"/>
        <v>25038</v>
      </c>
      <c r="N15" s="92">
        <f>SUM('3rd Party Deals'!S15)</f>
        <v>17542</v>
      </c>
      <c r="O15" s="92">
        <f>SUM('Spot wENA'!Z15)</f>
        <v>0</v>
      </c>
      <c r="P15" s="93">
        <f t="shared" si="11"/>
        <v>42580</v>
      </c>
      <c r="Q15" s="92"/>
      <c r="R15" s="93">
        <f t="shared" si="3"/>
        <v>101733</v>
      </c>
      <c r="S15" s="92"/>
      <c r="T15" s="92">
        <f t="shared" si="4"/>
        <v>461</v>
      </c>
      <c r="V15" s="92">
        <f t="shared" si="5"/>
        <v>0</v>
      </c>
      <c r="X15" s="166">
        <v>6.37</v>
      </c>
      <c r="Y15" s="105">
        <f t="shared" si="6"/>
        <v>6.55</v>
      </c>
    </row>
    <row r="16" spans="1:25" x14ac:dyDescent="0.2">
      <c r="A16" s="92">
        <f t="shared" si="7"/>
        <v>11</v>
      </c>
      <c r="B16" s="92">
        <v>98105</v>
      </c>
      <c r="C16" s="92">
        <f t="shared" si="8"/>
        <v>21066</v>
      </c>
      <c r="D16" s="92"/>
      <c r="E16" s="92">
        <v>77830</v>
      </c>
      <c r="F16" s="92">
        <f t="shared" si="12"/>
        <v>76130</v>
      </c>
      <c r="G16" s="92"/>
      <c r="H16" s="92">
        <f t="shared" si="9"/>
        <v>140099</v>
      </c>
      <c r="I16" s="92">
        <f t="shared" si="1"/>
        <v>0</v>
      </c>
      <c r="J16" s="92"/>
      <c r="K16" s="92">
        <f t="shared" si="2"/>
        <v>43041</v>
      </c>
      <c r="L16" s="92"/>
      <c r="M16" s="92">
        <f t="shared" si="10"/>
        <v>25038</v>
      </c>
      <c r="N16" s="92">
        <f>SUM('3rd Party Deals'!S16)</f>
        <v>17542</v>
      </c>
      <c r="O16" s="92">
        <f>SUM('Spot wENA'!Z16)</f>
        <v>0</v>
      </c>
      <c r="P16" s="93">
        <f t="shared" si="11"/>
        <v>42580</v>
      </c>
      <c r="Q16" s="92"/>
      <c r="R16" s="93">
        <f t="shared" si="3"/>
        <v>97644</v>
      </c>
      <c r="S16" s="92"/>
      <c r="T16" s="92">
        <f t="shared" si="4"/>
        <v>461</v>
      </c>
      <c r="V16" s="92">
        <f t="shared" si="5"/>
        <v>0</v>
      </c>
      <c r="X16" s="166">
        <v>6.37</v>
      </c>
      <c r="Y16" s="105">
        <f t="shared" si="6"/>
        <v>6.55</v>
      </c>
    </row>
    <row r="17" spans="1:25" x14ac:dyDescent="0.2">
      <c r="A17" s="92">
        <f t="shared" si="7"/>
        <v>12</v>
      </c>
      <c r="B17" s="92">
        <v>64558</v>
      </c>
      <c r="C17" s="92">
        <f t="shared" si="8"/>
        <v>21066</v>
      </c>
      <c r="D17" s="92"/>
      <c r="E17" s="92">
        <v>43783</v>
      </c>
      <c r="F17" s="92">
        <f t="shared" si="12"/>
        <v>42827</v>
      </c>
      <c r="G17" s="92"/>
      <c r="H17" s="92">
        <f t="shared" si="9"/>
        <v>140099</v>
      </c>
      <c r="I17" s="92">
        <f t="shared" si="1"/>
        <v>0</v>
      </c>
      <c r="J17" s="92"/>
      <c r="K17" s="92">
        <f t="shared" si="2"/>
        <v>42797</v>
      </c>
      <c r="L17" s="92"/>
      <c r="M17" s="92">
        <f t="shared" si="10"/>
        <v>25038</v>
      </c>
      <c r="N17" s="92">
        <f>SUM('3rd Party Deals'!S17)</f>
        <v>17298</v>
      </c>
      <c r="O17" s="92">
        <f>SUM('Spot wENA'!Z17)</f>
        <v>0</v>
      </c>
      <c r="P17" s="93">
        <f t="shared" si="11"/>
        <v>42336</v>
      </c>
      <c r="Q17" s="92"/>
      <c r="R17" s="93">
        <f t="shared" si="3"/>
        <v>64097</v>
      </c>
      <c r="S17" s="92"/>
      <c r="T17" s="92">
        <f t="shared" si="4"/>
        <v>461</v>
      </c>
      <c r="V17" s="92">
        <f t="shared" si="5"/>
        <v>0</v>
      </c>
      <c r="X17" s="166">
        <v>6.37</v>
      </c>
      <c r="Y17" s="105">
        <f t="shared" si="6"/>
        <v>6.55</v>
      </c>
    </row>
    <row r="18" spans="1:25" x14ac:dyDescent="0.2">
      <c r="A18" s="92">
        <f t="shared" si="7"/>
        <v>13</v>
      </c>
      <c r="B18" s="92">
        <v>51937</v>
      </c>
      <c r="C18" s="92">
        <f t="shared" si="8"/>
        <v>21066</v>
      </c>
      <c r="D18" s="92"/>
      <c r="E18" s="92">
        <v>30880</v>
      </c>
      <c r="F18" s="92">
        <f t="shared" si="12"/>
        <v>30206</v>
      </c>
      <c r="G18" s="92"/>
      <c r="H18" s="92">
        <f t="shared" si="9"/>
        <v>140099</v>
      </c>
      <c r="I18" s="92">
        <f t="shared" si="1"/>
        <v>0</v>
      </c>
      <c r="J18" s="92"/>
      <c r="K18" s="92">
        <f t="shared" si="2"/>
        <v>42797</v>
      </c>
      <c r="L18" s="92"/>
      <c r="M18" s="92">
        <f t="shared" si="10"/>
        <v>25038</v>
      </c>
      <c r="N18" s="92">
        <f>SUM('3rd Party Deals'!S18)</f>
        <v>17298</v>
      </c>
      <c r="O18" s="92">
        <f>SUM('Spot wENA'!Z18)</f>
        <v>0</v>
      </c>
      <c r="P18" s="93">
        <f t="shared" si="11"/>
        <v>42336</v>
      </c>
      <c r="Q18" s="92"/>
      <c r="R18" s="93">
        <f t="shared" si="3"/>
        <v>51476</v>
      </c>
      <c r="S18" s="92"/>
      <c r="T18" s="92">
        <f t="shared" si="4"/>
        <v>461</v>
      </c>
      <c r="V18" s="92">
        <f t="shared" si="5"/>
        <v>0</v>
      </c>
      <c r="X18" s="166">
        <v>5.9249999999999998</v>
      </c>
      <c r="Y18" s="105">
        <f t="shared" si="6"/>
        <v>6.09</v>
      </c>
    </row>
    <row r="19" spans="1:25" x14ac:dyDescent="0.2">
      <c r="A19" s="92">
        <f t="shared" si="7"/>
        <v>14</v>
      </c>
      <c r="B19" s="92">
        <v>50850</v>
      </c>
      <c r="C19" s="92">
        <f t="shared" si="8"/>
        <v>21066</v>
      </c>
      <c r="D19" s="92"/>
      <c r="E19" s="92">
        <v>29770</v>
      </c>
      <c r="F19" s="92">
        <f t="shared" si="12"/>
        <v>29120</v>
      </c>
      <c r="G19" s="92"/>
      <c r="H19" s="92">
        <f t="shared" si="9"/>
        <v>140099</v>
      </c>
      <c r="I19" s="92">
        <f t="shared" si="1"/>
        <v>0</v>
      </c>
      <c r="J19" s="92"/>
      <c r="K19" s="92">
        <f t="shared" si="2"/>
        <v>42796</v>
      </c>
      <c r="L19" s="92"/>
      <c r="M19" s="92">
        <f t="shared" si="10"/>
        <v>25038</v>
      </c>
      <c r="N19" s="92">
        <f>SUM('3rd Party Deals'!S19)</f>
        <v>17298</v>
      </c>
      <c r="O19" s="92">
        <f>SUM('Spot wENA'!Z19)</f>
        <v>0</v>
      </c>
      <c r="P19" s="93">
        <f t="shared" si="11"/>
        <v>42336</v>
      </c>
      <c r="Q19" s="92"/>
      <c r="R19" s="93">
        <f t="shared" si="3"/>
        <v>50390</v>
      </c>
      <c r="S19" s="92"/>
      <c r="T19" s="92">
        <f t="shared" si="4"/>
        <v>460</v>
      </c>
      <c r="V19" s="92">
        <f t="shared" si="5"/>
        <v>0</v>
      </c>
      <c r="X19" s="166">
        <v>5.89</v>
      </c>
      <c r="Y19" s="105">
        <f t="shared" si="6"/>
        <v>6.05</v>
      </c>
    </row>
    <row r="20" spans="1:25" x14ac:dyDescent="0.2">
      <c r="A20" s="92">
        <f t="shared" si="7"/>
        <v>15</v>
      </c>
      <c r="B20" s="92">
        <v>70352</v>
      </c>
      <c r="C20" s="92">
        <f t="shared" si="8"/>
        <v>21066</v>
      </c>
      <c r="D20" s="92"/>
      <c r="E20" s="92">
        <v>49709</v>
      </c>
      <c r="F20" s="92">
        <f t="shared" si="12"/>
        <v>48623</v>
      </c>
      <c r="G20" s="92"/>
      <c r="H20" s="92">
        <f t="shared" si="9"/>
        <v>140099</v>
      </c>
      <c r="I20" s="92">
        <f t="shared" si="1"/>
        <v>0</v>
      </c>
      <c r="J20" s="92"/>
      <c r="K20" s="92">
        <f t="shared" si="2"/>
        <v>42795</v>
      </c>
      <c r="L20" s="92"/>
      <c r="M20" s="92">
        <f t="shared" si="10"/>
        <v>25038</v>
      </c>
      <c r="N20" s="92">
        <f>SUM('3rd Party Deals'!S20)</f>
        <v>17298</v>
      </c>
      <c r="O20" s="92">
        <f>SUM('Spot wENA'!Z20)</f>
        <v>0</v>
      </c>
      <c r="P20" s="93">
        <f t="shared" si="11"/>
        <v>42336</v>
      </c>
      <c r="Q20" s="92"/>
      <c r="R20" s="93">
        <f t="shared" si="3"/>
        <v>69893</v>
      </c>
      <c r="S20" s="92"/>
      <c r="T20" s="92">
        <f t="shared" si="4"/>
        <v>459</v>
      </c>
      <c r="V20" s="92">
        <f t="shared" si="5"/>
        <v>0</v>
      </c>
      <c r="X20" s="166">
        <v>6.1550000000000002</v>
      </c>
      <c r="Y20" s="105">
        <f t="shared" si="6"/>
        <v>6.33</v>
      </c>
    </row>
    <row r="21" spans="1:25" x14ac:dyDescent="0.2">
      <c r="A21" s="92">
        <f t="shared" si="7"/>
        <v>16</v>
      </c>
      <c r="B21" s="92">
        <v>78837</v>
      </c>
      <c r="C21" s="92">
        <f t="shared" si="8"/>
        <v>21066</v>
      </c>
      <c r="D21" s="92"/>
      <c r="E21" s="92">
        <v>58381</v>
      </c>
      <c r="F21" s="92">
        <f t="shared" si="12"/>
        <v>57106</v>
      </c>
      <c r="G21" s="92"/>
      <c r="H21" s="92">
        <f t="shared" si="9"/>
        <v>140099</v>
      </c>
      <c r="I21" s="92">
        <f t="shared" si="1"/>
        <v>0</v>
      </c>
      <c r="J21" s="92"/>
      <c r="K21" s="92">
        <f t="shared" si="2"/>
        <v>42797</v>
      </c>
      <c r="L21" s="92"/>
      <c r="M21" s="92">
        <f t="shared" si="10"/>
        <v>25038</v>
      </c>
      <c r="N21" s="92">
        <f>SUM('3rd Party Deals'!S21)</f>
        <v>17298</v>
      </c>
      <c r="O21" s="92">
        <f>SUM('Spot wENA'!Z21)</f>
        <v>0</v>
      </c>
      <c r="P21" s="93">
        <f t="shared" si="11"/>
        <v>42336</v>
      </c>
      <c r="Q21" s="92"/>
      <c r="R21" s="93">
        <f t="shared" si="3"/>
        <v>78376</v>
      </c>
      <c r="S21" s="92"/>
      <c r="T21" s="92">
        <f t="shared" si="4"/>
        <v>461</v>
      </c>
      <c r="V21" s="92">
        <f t="shared" si="5"/>
        <v>0</v>
      </c>
      <c r="X21" s="166">
        <v>5.67</v>
      </c>
      <c r="Y21" s="105">
        <f t="shared" si="6"/>
        <v>5.83</v>
      </c>
    </row>
    <row r="22" spans="1:25" x14ac:dyDescent="0.2">
      <c r="A22" s="92">
        <f t="shared" si="7"/>
        <v>17</v>
      </c>
      <c r="B22" s="92">
        <v>101388</v>
      </c>
      <c r="C22" s="92">
        <f t="shared" si="8"/>
        <v>21066</v>
      </c>
      <c r="D22" s="92"/>
      <c r="E22" s="92">
        <v>81434</v>
      </c>
      <c r="F22" s="92">
        <f t="shared" si="12"/>
        <v>79655</v>
      </c>
      <c r="G22" s="92"/>
      <c r="H22" s="92">
        <f t="shared" si="9"/>
        <v>140099</v>
      </c>
      <c r="I22" s="92">
        <f t="shared" si="1"/>
        <v>0</v>
      </c>
      <c r="J22" s="92"/>
      <c r="K22" s="92">
        <f t="shared" si="2"/>
        <v>42799</v>
      </c>
      <c r="L22" s="92"/>
      <c r="M22" s="92">
        <f t="shared" si="10"/>
        <v>25038</v>
      </c>
      <c r="N22" s="92">
        <f>SUM('3rd Party Deals'!S22)</f>
        <v>17298</v>
      </c>
      <c r="O22" s="92">
        <f>SUM('Spot wENA'!Z22)</f>
        <v>0</v>
      </c>
      <c r="P22" s="93">
        <f t="shared" si="11"/>
        <v>42336</v>
      </c>
      <c r="Q22" s="92"/>
      <c r="R22" s="93">
        <f t="shared" si="3"/>
        <v>100925</v>
      </c>
      <c r="S22" s="92"/>
      <c r="T22" s="92">
        <f t="shared" si="4"/>
        <v>463</v>
      </c>
      <c r="V22" s="92">
        <f t="shared" si="5"/>
        <v>0</v>
      </c>
      <c r="X22" s="166">
        <v>5.76</v>
      </c>
      <c r="Y22" s="105">
        <f t="shared" si="6"/>
        <v>5.92</v>
      </c>
    </row>
    <row r="23" spans="1:25" x14ac:dyDescent="0.2">
      <c r="A23" s="92">
        <f t="shared" si="7"/>
        <v>18</v>
      </c>
      <c r="B23" s="92">
        <v>99085</v>
      </c>
      <c r="C23" s="92">
        <f t="shared" si="8"/>
        <v>21066</v>
      </c>
      <c r="D23" s="92"/>
      <c r="E23" s="92">
        <v>79080</v>
      </c>
      <c r="F23" s="92">
        <f t="shared" si="12"/>
        <v>77353</v>
      </c>
      <c r="G23" s="92"/>
      <c r="H23" s="92">
        <f t="shared" si="9"/>
        <v>140099</v>
      </c>
      <c r="I23" s="92">
        <f t="shared" si="1"/>
        <v>0</v>
      </c>
      <c r="J23" s="92"/>
      <c r="K23" s="92">
        <f t="shared" si="2"/>
        <v>42798</v>
      </c>
      <c r="L23" s="92"/>
      <c r="M23" s="92">
        <f t="shared" si="10"/>
        <v>25038</v>
      </c>
      <c r="N23" s="92">
        <f>SUM('3rd Party Deals'!S23)</f>
        <v>17298</v>
      </c>
      <c r="O23" s="92">
        <f>SUM('Spot wENA'!Z23)</f>
        <v>0</v>
      </c>
      <c r="P23" s="93">
        <f t="shared" si="11"/>
        <v>42336</v>
      </c>
      <c r="Q23" s="92"/>
      <c r="R23" s="93">
        <f t="shared" si="3"/>
        <v>98623</v>
      </c>
      <c r="S23" s="92"/>
      <c r="T23" s="92">
        <f t="shared" si="4"/>
        <v>462</v>
      </c>
      <c r="V23" s="92">
        <f t="shared" si="5"/>
        <v>0</v>
      </c>
      <c r="X23" s="166">
        <v>5.76</v>
      </c>
      <c r="Y23" s="105">
        <f t="shared" si="6"/>
        <v>5.92</v>
      </c>
    </row>
    <row r="24" spans="1:25" x14ac:dyDescent="0.2">
      <c r="A24" s="92">
        <f t="shared" si="7"/>
        <v>19</v>
      </c>
      <c r="B24" s="92">
        <v>51845</v>
      </c>
      <c r="C24" s="92">
        <f t="shared" si="8"/>
        <v>21066</v>
      </c>
      <c r="D24" s="92"/>
      <c r="E24" s="92">
        <v>30788</v>
      </c>
      <c r="F24" s="92">
        <f t="shared" si="12"/>
        <v>30116</v>
      </c>
      <c r="G24" s="92"/>
      <c r="H24" s="92">
        <f t="shared" si="9"/>
        <v>140099</v>
      </c>
      <c r="I24" s="92">
        <f t="shared" si="1"/>
        <v>0</v>
      </c>
      <c r="J24" s="92"/>
      <c r="K24" s="92">
        <f t="shared" si="2"/>
        <v>42795</v>
      </c>
      <c r="L24" s="92"/>
      <c r="M24" s="92">
        <f t="shared" si="10"/>
        <v>25038</v>
      </c>
      <c r="N24" s="92">
        <f>SUM('3rd Party Deals'!S24)</f>
        <v>17298</v>
      </c>
      <c r="O24" s="92">
        <f>SUM('Spot wENA'!Z24)</f>
        <v>0</v>
      </c>
      <c r="P24" s="93">
        <f t="shared" si="11"/>
        <v>42336</v>
      </c>
      <c r="Q24" s="92"/>
      <c r="R24" s="93">
        <f t="shared" si="3"/>
        <v>51386</v>
      </c>
      <c r="S24" s="92"/>
      <c r="T24" s="92">
        <f t="shared" si="4"/>
        <v>459</v>
      </c>
      <c r="V24" s="92">
        <f t="shared" si="5"/>
        <v>0</v>
      </c>
      <c r="X24" s="166">
        <v>5.76</v>
      </c>
      <c r="Y24" s="105">
        <f t="shared" si="6"/>
        <v>5.92</v>
      </c>
    </row>
    <row r="25" spans="1:25" x14ac:dyDescent="0.2">
      <c r="A25" s="92">
        <f t="shared" si="7"/>
        <v>20</v>
      </c>
      <c r="B25" s="92">
        <v>60502</v>
      </c>
      <c r="C25" s="92">
        <f t="shared" si="8"/>
        <v>21066</v>
      </c>
      <c r="D25" s="92"/>
      <c r="E25" s="92">
        <v>39637</v>
      </c>
      <c r="F25" s="92">
        <f t="shared" si="12"/>
        <v>38771</v>
      </c>
      <c r="G25" s="92"/>
      <c r="H25" s="92">
        <f t="shared" si="9"/>
        <v>140099</v>
      </c>
      <c r="I25" s="92">
        <f t="shared" si="1"/>
        <v>0</v>
      </c>
      <c r="J25" s="92"/>
      <c r="K25" s="92">
        <f t="shared" si="2"/>
        <v>42797</v>
      </c>
      <c r="L25" s="92"/>
      <c r="M25" s="92">
        <f t="shared" si="10"/>
        <v>25038</v>
      </c>
      <c r="N25" s="92">
        <f>SUM('3rd Party Deals'!S25)</f>
        <v>17298</v>
      </c>
      <c r="O25" s="92">
        <f>SUM('Spot wENA'!Z25)</f>
        <v>0</v>
      </c>
      <c r="P25" s="93">
        <f t="shared" si="11"/>
        <v>42336</v>
      </c>
      <c r="Q25" s="92"/>
      <c r="R25" s="93">
        <f t="shared" si="3"/>
        <v>60041</v>
      </c>
      <c r="S25" s="92"/>
      <c r="T25" s="92">
        <f t="shared" si="4"/>
        <v>461</v>
      </c>
      <c r="V25" s="92">
        <f t="shared" si="5"/>
        <v>0</v>
      </c>
      <c r="X25" s="166">
        <v>5.76</v>
      </c>
      <c r="Y25" s="105">
        <f t="shared" si="6"/>
        <v>5.92</v>
      </c>
    </row>
    <row r="26" spans="1:25" x14ac:dyDescent="0.2">
      <c r="A26" s="92">
        <f t="shared" si="7"/>
        <v>21</v>
      </c>
      <c r="B26" s="92">
        <v>101068</v>
      </c>
      <c r="C26" s="92">
        <f t="shared" si="8"/>
        <v>21066</v>
      </c>
      <c r="D26" s="92"/>
      <c r="E26" s="92">
        <v>81109</v>
      </c>
      <c r="F26" s="92">
        <f t="shared" si="12"/>
        <v>79338</v>
      </c>
      <c r="G26" s="92"/>
      <c r="H26" s="92">
        <f t="shared" si="9"/>
        <v>140099</v>
      </c>
      <c r="I26" s="92">
        <f t="shared" si="1"/>
        <v>0</v>
      </c>
      <c r="J26" s="92"/>
      <c r="K26" s="92">
        <f t="shared" si="2"/>
        <v>42796</v>
      </c>
      <c r="L26" s="92"/>
      <c r="M26" s="92">
        <f t="shared" si="10"/>
        <v>25038</v>
      </c>
      <c r="N26" s="92">
        <f>SUM('3rd Party Deals'!S26)</f>
        <v>17298</v>
      </c>
      <c r="O26" s="92">
        <f>SUM('Spot wENA'!Z26)</f>
        <v>0</v>
      </c>
      <c r="P26" s="93">
        <f t="shared" si="11"/>
        <v>42336</v>
      </c>
      <c r="Q26" s="92"/>
      <c r="R26" s="93">
        <f t="shared" si="3"/>
        <v>100608</v>
      </c>
      <c r="S26" s="92"/>
      <c r="T26" s="92">
        <f t="shared" si="4"/>
        <v>460</v>
      </c>
      <c r="V26" s="92">
        <f t="shared" si="5"/>
        <v>0</v>
      </c>
      <c r="X26" s="166">
        <v>5.43</v>
      </c>
      <c r="Y26" s="105">
        <f t="shared" si="6"/>
        <v>5.58</v>
      </c>
    </row>
    <row r="27" spans="1:25" x14ac:dyDescent="0.2">
      <c r="A27" s="92">
        <f t="shared" si="7"/>
        <v>22</v>
      </c>
      <c r="B27" s="92">
        <v>94730</v>
      </c>
      <c r="C27" s="92">
        <f t="shared" si="8"/>
        <v>21066</v>
      </c>
      <c r="D27" s="92"/>
      <c r="E27" s="92">
        <v>74628</v>
      </c>
      <c r="F27" s="92">
        <f t="shared" si="12"/>
        <v>72998</v>
      </c>
      <c r="G27" s="92"/>
      <c r="H27" s="92">
        <f t="shared" si="9"/>
        <v>140099</v>
      </c>
      <c r="I27" s="92">
        <f t="shared" si="1"/>
        <v>0</v>
      </c>
      <c r="J27" s="92"/>
      <c r="K27" s="92">
        <f t="shared" si="2"/>
        <v>42798</v>
      </c>
      <c r="L27" s="92"/>
      <c r="M27" s="92">
        <f t="shared" si="10"/>
        <v>25038</v>
      </c>
      <c r="N27" s="92">
        <f>SUM('3rd Party Deals'!S27)</f>
        <v>17298</v>
      </c>
      <c r="O27" s="92">
        <f>SUM('Spot wENA'!Z27)</f>
        <v>0</v>
      </c>
      <c r="P27" s="93">
        <f t="shared" si="11"/>
        <v>42336</v>
      </c>
      <c r="Q27" s="92"/>
      <c r="R27" s="93">
        <f t="shared" si="3"/>
        <v>94268</v>
      </c>
      <c r="S27" s="92"/>
      <c r="T27" s="92">
        <f t="shared" si="4"/>
        <v>462</v>
      </c>
      <c r="V27" s="92">
        <f t="shared" si="5"/>
        <v>0</v>
      </c>
      <c r="X27" s="166">
        <v>5.48</v>
      </c>
      <c r="Y27" s="105">
        <f t="shared" si="6"/>
        <v>5.64</v>
      </c>
    </row>
    <row r="28" spans="1:25" x14ac:dyDescent="0.2">
      <c r="A28" s="92">
        <f t="shared" si="7"/>
        <v>23</v>
      </c>
      <c r="B28" s="92">
        <v>85710</v>
      </c>
      <c r="C28" s="92">
        <f t="shared" si="8"/>
        <v>21066</v>
      </c>
      <c r="D28" s="92"/>
      <c r="E28" s="92">
        <v>65407</v>
      </c>
      <c r="F28" s="92">
        <f t="shared" si="12"/>
        <v>63979</v>
      </c>
      <c r="G28" s="92"/>
      <c r="H28" s="92">
        <f t="shared" si="9"/>
        <v>140099</v>
      </c>
      <c r="I28" s="92">
        <f t="shared" si="1"/>
        <v>0</v>
      </c>
      <c r="J28" s="92"/>
      <c r="K28" s="92">
        <f t="shared" si="2"/>
        <v>42797</v>
      </c>
      <c r="L28" s="92"/>
      <c r="M28" s="92">
        <f t="shared" si="10"/>
        <v>25038</v>
      </c>
      <c r="N28" s="92">
        <f>SUM('3rd Party Deals'!S28)</f>
        <v>17298</v>
      </c>
      <c r="O28" s="92">
        <f>SUM('Spot wENA'!Z28)</f>
        <v>0</v>
      </c>
      <c r="P28" s="93">
        <f t="shared" si="11"/>
        <v>42336</v>
      </c>
      <c r="Q28" s="92"/>
      <c r="R28" s="93">
        <f t="shared" si="3"/>
        <v>85249</v>
      </c>
      <c r="S28" s="92"/>
      <c r="T28" s="92">
        <f t="shared" si="4"/>
        <v>461</v>
      </c>
      <c r="V28" s="92">
        <f t="shared" si="5"/>
        <v>0</v>
      </c>
      <c r="X28" s="166">
        <v>5.33</v>
      </c>
      <c r="Y28" s="105">
        <f t="shared" si="6"/>
        <v>5.48</v>
      </c>
    </row>
    <row r="29" spans="1:25" x14ac:dyDescent="0.2">
      <c r="A29" s="92">
        <f t="shared" si="7"/>
        <v>24</v>
      </c>
      <c r="B29" s="92">
        <v>40340</v>
      </c>
      <c r="C29" s="92">
        <f t="shared" si="8"/>
        <v>21066</v>
      </c>
      <c r="D29" s="92"/>
      <c r="E29" s="92">
        <v>19024</v>
      </c>
      <c r="F29" s="92">
        <f t="shared" si="12"/>
        <v>18609</v>
      </c>
      <c r="G29" s="92"/>
      <c r="H29" s="92">
        <f t="shared" si="9"/>
        <v>140099</v>
      </c>
      <c r="I29" s="92">
        <f t="shared" si="1"/>
        <v>0</v>
      </c>
      <c r="J29" s="92"/>
      <c r="K29" s="92">
        <f t="shared" si="2"/>
        <v>42797</v>
      </c>
      <c r="L29" s="92"/>
      <c r="M29" s="92">
        <f t="shared" si="10"/>
        <v>25038</v>
      </c>
      <c r="N29" s="92">
        <f>SUM('3rd Party Deals'!S29)</f>
        <v>17298</v>
      </c>
      <c r="O29" s="92">
        <f>SUM('Spot wENA'!Z29)</f>
        <v>0</v>
      </c>
      <c r="P29" s="93">
        <f t="shared" si="11"/>
        <v>42336</v>
      </c>
      <c r="Q29" s="92"/>
      <c r="R29" s="93">
        <f t="shared" si="3"/>
        <v>39879</v>
      </c>
      <c r="S29" s="92"/>
      <c r="T29" s="92">
        <f t="shared" si="4"/>
        <v>461</v>
      </c>
      <c r="V29" s="92">
        <f t="shared" si="5"/>
        <v>0</v>
      </c>
      <c r="X29" s="166">
        <v>5.3049999999999997</v>
      </c>
      <c r="Y29" s="105">
        <f t="shared" si="6"/>
        <v>5.46</v>
      </c>
    </row>
    <row r="30" spans="1:25" x14ac:dyDescent="0.2">
      <c r="A30" s="92">
        <f t="shared" si="7"/>
        <v>25</v>
      </c>
      <c r="B30" s="92">
        <v>47822</v>
      </c>
      <c r="C30" s="92">
        <f t="shared" si="8"/>
        <v>21066</v>
      </c>
      <c r="D30" s="92"/>
      <c r="E30" s="92">
        <v>26673</v>
      </c>
      <c r="F30" s="92">
        <f t="shared" si="12"/>
        <v>26090</v>
      </c>
      <c r="G30" s="92"/>
      <c r="H30" s="92">
        <f t="shared" si="9"/>
        <v>140099</v>
      </c>
      <c r="I30" s="92">
        <f t="shared" si="1"/>
        <v>0</v>
      </c>
      <c r="J30" s="92"/>
      <c r="K30" s="92">
        <f t="shared" si="2"/>
        <v>42798</v>
      </c>
      <c r="L30" s="92"/>
      <c r="M30" s="92">
        <f t="shared" si="10"/>
        <v>25038</v>
      </c>
      <c r="N30" s="92">
        <f>SUM('3rd Party Deals'!S30)</f>
        <v>17298</v>
      </c>
      <c r="O30" s="92">
        <f>SUM('Spot wENA'!Z30)</f>
        <v>0</v>
      </c>
      <c r="P30" s="93">
        <f t="shared" si="11"/>
        <v>42336</v>
      </c>
      <c r="Q30" s="92"/>
      <c r="R30" s="93">
        <f t="shared" si="3"/>
        <v>47360</v>
      </c>
      <c r="S30" s="92"/>
      <c r="T30" s="92">
        <f t="shared" si="4"/>
        <v>462</v>
      </c>
      <c r="V30" s="92">
        <f t="shared" si="5"/>
        <v>0</v>
      </c>
      <c r="X30" s="166">
        <v>5.3049999999999997</v>
      </c>
      <c r="Y30" s="105">
        <f t="shared" si="6"/>
        <v>5.46</v>
      </c>
    </row>
    <row r="31" spans="1:25" x14ac:dyDescent="0.2">
      <c r="A31" s="92">
        <f t="shared" si="7"/>
        <v>26</v>
      </c>
      <c r="B31" s="92">
        <v>71539</v>
      </c>
      <c r="C31" s="92">
        <f t="shared" si="8"/>
        <v>21066</v>
      </c>
      <c r="D31" s="92"/>
      <c r="E31" s="92">
        <v>50922</v>
      </c>
      <c r="F31" s="92">
        <f t="shared" si="12"/>
        <v>49810</v>
      </c>
      <c r="G31" s="92"/>
      <c r="H31" s="92">
        <f t="shared" si="9"/>
        <v>140099</v>
      </c>
      <c r="I31" s="92">
        <f t="shared" si="1"/>
        <v>0</v>
      </c>
      <c r="J31" s="92"/>
      <c r="K31" s="92">
        <f t="shared" si="2"/>
        <v>42795</v>
      </c>
      <c r="L31" s="92"/>
      <c r="M31" s="92">
        <f t="shared" si="10"/>
        <v>25038</v>
      </c>
      <c r="N31" s="92">
        <f>SUM('3rd Party Deals'!S31)</f>
        <v>17298</v>
      </c>
      <c r="O31" s="92">
        <f>SUM('Spot wENA'!Z31)</f>
        <v>0</v>
      </c>
      <c r="P31" s="93">
        <f t="shared" si="11"/>
        <v>42336</v>
      </c>
      <c r="Q31" s="92"/>
      <c r="R31" s="93">
        <f t="shared" si="3"/>
        <v>71080</v>
      </c>
      <c r="S31" s="92"/>
      <c r="T31" s="92">
        <f t="shared" si="4"/>
        <v>459</v>
      </c>
      <c r="V31" s="92">
        <f t="shared" si="5"/>
        <v>0</v>
      </c>
      <c r="X31" s="166">
        <v>5.3049999999999997</v>
      </c>
      <c r="Y31" s="105">
        <f t="shared" si="6"/>
        <v>5.46</v>
      </c>
    </row>
    <row r="32" spans="1:25" x14ac:dyDescent="0.2">
      <c r="A32" s="92">
        <f t="shared" si="7"/>
        <v>27</v>
      </c>
      <c r="B32" s="92">
        <v>79906</v>
      </c>
      <c r="C32" s="92">
        <f t="shared" si="8"/>
        <v>21066</v>
      </c>
      <c r="D32" s="92"/>
      <c r="E32" s="92">
        <v>59476</v>
      </c>
      <c r="F32" s="92">
        <f t="shared" si="12"/>
        <v>58177</v>
      </c>
      <c r="G32" s="92"/>
      <c r="H32" s="92">
        <f t="shared" si="9"/>
        <v>140099</v>
      </c>
      <c r="I32" s="92">
        <f t="shared" si="1"/>
        <v>0</v>
      </c>
      <c r="J32" s="92"/>
      <c r="K32" s="92">
        <f t="shared" si="2"/>
        <v>42795</v>
      </c>
      <c r="L32" s="92"/>
      <c r="M32" s="92">
        <f t="shared" si="10"/>
        <v>25038</v>
      </c>
      <c r="N32" s="92">
        <f>SUM('3rd Party Deals'!S32)</f>
        <v>17298</v>
      </c>
      <c r="O32" s="92">
        <f>SUM('Spot wENA'!Z32)</f>
        <v>0</v>
      </c>
      <c r="P32" s="93">
        <f t="shared" si="11"/>
        <v>42336</v>
      </c>
      <c r="Q32" s="92"/>
      <c r="R32" s="93">
        <f t="shared" si="3"/>
        <v>79447</v>
      </c>
      <c r="S32" s="92"/>
      <c r="T32" s="92">
        <f t="shared" si="4"/>
        <v>459</v>
      </c>
      <c r="V32" s="92">
        <f t="shared" si="5"/>
        <v>0</v>
      </c>
      <c r="X32" s="166">
        <v>5.3049999999999997</v>
      </c>
      <c r="Y32" s="105">
        <f t="shared" si="6"/>
        <v>5.46</v>
      </c>
    </row>
    <row r="33" spans="1:25" x14ac:dyDescent="0.2">
      <c r="A33" s="92">
        <f t="shared" si="7"/>
        <v>28</v>
      </c>
      <c r="B33" s="92">
        <f>+B32</f>
        <v>79906</v>
      </c>
      <c r="C33" s="92">
        <f t="shared" si="8"/>
        <v>21066</v>
      </c>
      <c r="D33" s="92"/>
      <c r="E33" s="92">
        <f>+E32</f>
        <v>59476</v>
      </c>
      <c r="F33" s="92">
        <f t="shared" si="12"/>
        <v>58177</v>
      </c>
      <c r="G33" s="92"/>
      <c r="H33" s="92">
        <f t="shared" si="9"/>
        <v>140099</v>
      </c>
      <c r="I33" s="92">
        <f t="shared" si="1"/>
        <v>0</v>
      </c>
      <c r="J33" s="92"/>
      <c r="K33" s="92">
        <f t="shared" si="2"/>
        <v>42795</v>
      </c>
      <c r="L33" s="92"/>
      <c r="M33" s="92">
        <f t="shared" si="10"/>
        <v>25038</v>
      </c>
      <c r="N33" s="92">
        <f>SUM('3rd Party Deals'!S33)</f>
        <v>17298</v>
      </c>
      <c r="O33" s="92">
        <f>SUM('Spot wENA'!Z33)</f>
        <v>0</v>
      </c>
      <c r="P33" s="93">
        <f t="shared" si="11"/>
        <v>42336</v>
      </c>
      <c r="Q33" s="92"/>
      <c r="R33" s="93">
        <f t="shared" si="3"/>
        <v>79447</v>
      </c>
      <c r="S33" s="92"/>
      <c r="T33" s="92">
        <f t="shared" si="4"/>
        <v>459</v>
      </c>
      <c r="V33" s="92">
        <f t="shared" si="5"/>
        <v>0</v>
      </c>
      <c r="X33" s="166">
        <v>5.34</v>
      </c>
      <c r="Y33" s="105">
        <f t="shared" si="6"/>
        <v>5.49</v>
      </c>
    </row>
    <row r="34" spans="1:25" x14ac:dyDescent="0.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3"/>
      <c r="Q34" s="92"/>
      <c r="R34" s="93"/>
      <c r="S34" s="92"/>
      <c r="T34" s="92"/>
      <c r="V34" s="92"/>
      <c r="X34" s="105"/>
      <c r="Y34" s="105"/>
    </row>
    <row r="35" spans="1:25" x14ac:dyDescent="0.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3"/>
      <c r="Q35" s="92"/>
      <c r="R35" s="93"/>
      <c r="S35" s="92"/>
      <c r="T35" s="92"/>
      <c r="V35" s="92"/>
      <c r="X35" s="105"/>
      <c r="Y35" s="105"/>
    </row>
    <row r="36" spans="1:25" x14ac:dyDescent="0.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3"/>
      <c r="Q36" s="92"/>
      <c r="R36" s="93"/>
      <c r="S36" s="92"/>
      <c r="T36" s="92"/>
      <c r="V36" s="92"/>
      <c r="X36" s="105"/>
      <c r="Y36" s="105"/>
    </row>
    <row r="37" spans="1:25" x14ac:dyDescent="0.2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2"/>
    </row>
    <row r="38" spans="1:25" x14ac:dyDescent="0.2">
      <c r="A38" s="92"/>
      <c r="B38" s="92">
        <f>SUM(B6:B37)</f>
        <v>2017127</v>
      </c>
      <c r="C38" s="92">
        <f>SUM(C6:C37)</f>
        <v>589848</v>
      </c>
      <c r="D38" s="92"/>
      <c r="E38" s="92">
        <f>SUM(E6:E37)</f>
        <v>1440090</v>
      </c>
      <c r="F38" s="92">
        <f>SUM(F6:F37)</f>
        <v>1408639</v>
      </c>
      <c r="G38" s="92"/>
      <c r="H38" s="92"/>
      <c r="I38" s="92"/>
      <c r="J38" s="92"/>
      <c r="K38" s="92">
        <f>SUM(K6:K37)</f>
        <v>1198336</v>
      </c>
      <c r="L38" s="92"/>
      <c r="M38" s="92">
        <f>SUM(M6:M37)</f>
        <v>701064</v>
      </c>
      <c r="N38" s="92">
        <f>SUM(N6:N37)</f>
        <v>484340</v>
      </c>
      <c r="O38" s="92">
        <f>SUM(O6:O37)</f>
        <v>0</v>
      </c>
      <c r="P38" s="92">
        <f>SUM(P6:P37)</f>
        <v>1185404</v>
      </c>
      <c r="Q38" s="92"/>
      <c r="R38" s="92">
        <f>SUM(R6:R37)</f>
        <v>2004195</v>
      </c>
      <c r="S38" s="92"/>
      <c r="T38" s="92">
        <f>SUM(T6:T37)</f>
        <v>12932</v>
      </c>
      <c r="V38" s="92">
        <f>SUM(V6:V37)</f>
        <v>0</v>
      </c>
      <c r="X38" s="105"/>
    </row>
    <row r="40" spans="1:25" x14ac:dyDescent="0.2">
      <c r="E40" s="94">
        <v>1448997</v>
      </c>
    </row>
    <row r="41" spans="1:25" x14ac:dyDescent="0.2">
      <c r="E41" s="94">
        <f>+E40-E38</f>
        <v>8907</v>
      </c>
    </row>
    <row r="48" spans="1:25" x14ac:dyDescent="0.2">
      <c r="V48" s="120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1" workbookViewId="0">
      <selection activeCell="F23" sqref="F23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8" width="9.140625" style="59"/>
    <col min="9" max="9" width="12.42578125" style="59" bestFit="1" customWidth="1"/>
    <col min="10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2.75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2.7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2.75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2.75" x14ac:dyDescent="0.2">
      <c r="A5" s="62" t="s">
        <v>77</v>
      </c>
      <c r="C5" s="59" t="s">
        <v>43</v>
      </c>
      <c r="E5" s="59" t="s">
        <v>117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2.75" x14ac:dyDescent="0.2">
      <c r="A6" s="59" t="s">
        <v>71</v>
      </c>
      <c r="B6" s="59" t="s">
        <v>77</v>
      </c>
      <c r="C6" s="122">
        <v>6.44</v>
      </c>
      <c r="E6" s="122">
        <v>6.44</v>
      </c>
      <c r="F6" s="68"/>
      <c r="G6" s="68" t="s">
        <v>306</v>
      </c>
      <c r="H6" s="68"/>
      <c r="I6" s="122">
        <v>6.44</v>
      </c>
      <c r="J6" s="68"/>
      <c r="K6" s="68"/>
      <c r="L6" s="68"/>
      <c r="M6" s="68"/>
      <c r="N6" s="68"/>
    </row>
    <row r="7" spans="1:14" ht="12.75" x14ac:dyDescent="0.2">
      <c r="A7" s="59" t="s">
        <v>76</v>
      </c>
      <c r="C7" s="61">
        <v>1.2500000000000001E-2</v>
      </c>
      <c r="E7" s="61">
        <v>1.2500000000000001E-2</v>
      </c>
      <c r="F7" s="68"/>
      <c r="G7" s="68" t="s">
        <v>177</v>
      </c>
      <c r="H7" s="68"/>
      <c r="I7" s="61">
        <v>1.2500000000000001E-2</v>
      </c>
      <c r="J7" s="68"/>
      <c r="K7" s="68"/>
      <c r="L7" s="68"/>
      <c r="M7" s="68"/>
      <c r="N7" s="68"/>
    </row>
    <row r="8" spans="1:14" ht="12.75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307</v>
      </c>
      <c r="H8" s="68"/>
      <c r="I8" s="61">
        <v>-1.5299999999999999E-2</v>
      </c>
      <c r="J8" s="68"/>
      <c r="K8" s="68"/>
      <c r="L8" s="68"/>
      <c r="M8" s="68"/>
      <c r="N8" s="68"/>
    </row>
    <row r="9" spans="1:14" ht="12.75" x14ac:dyDescent="0.2">
      <c r="A9" s="59" t="s">
        <v>73</v>
      </c>
      <c r="C9" s="61">
        <v>9.1999999999999998E-3</v>
      </c>
      <c r="E9" s="61">
        <f>0.0072+0.0022</f>
        <v>9.4000000000000004E-3</v>
      </c>
      <c r="F9" s="68"/>
      <c r="G9" s="68" t="s">
        <v>308</v>
      </c>
      <c r="H9" s="68"/>
      <c r="I9" s="61">
        <v>9.1999999999999998E-3</v>
      </c>
      <c r="J9" s="68"/>
      <c r="K9" s="68"/>
      <c r="L9" s="68"/>
      <c r="M9" s="68"/>
      <c r="N9" s="68"/>
    </row>
    <row r="10" spans="1:14" ht="12.75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SUM(I7:I9)</f>
        <v>6.4000000000000012E-3</v>
      </c>
      <c r="J10" s="68"/>
      <c r="K10" s="68"/>
      <c r="L10" s="68"/>
      <c r="M10" s="68"/>
      <c r="N10" s="68"/>
    </row>
    <row r="11" spans="1:14" ht="13.5" thickBot="1" x14ac:dyDescent="0.25">
      <c r="A11" s="59" t="s">
        <v>75</v>
      </c>
      <c r="C11" s="74">
        <f>ROUND(+C6/(1-C10)+(C8+C9),4)-C6</f>
        <v>0.16629999999999967</v>
      </c>
      <c r="E11" s="74">
        <f>ROUND(+E6/(1-E10)+(E8+E9),4)-E6</f>
        <v>0.1664999999999992</v>
      </c>
      <c r="F11" s="68"/>
      <c r="G11" s="68"/>
      <c r="H11" s="68"/>
      <c r="I11" s="71">
        <f>I6+I10</f>
        <v>6.4464000000000006</v>
      </c>
      <c r="J11" s="68"/>
      <c r="K11" s="68"/>
      <c r="L11" s="70"/>
      <c r="M11" s="68"/>
      <c r="N11" s="68"/>
    </row>
    <row r="12" spans="1:14" ht="14.25" thickTop="1" thickBot="1" x14ac:dyDescent="0.25">
      <c r="C12" s="71">
        <f>SUM(C6,C7,C11)</f>
        <v>6.6188000000000002</v>
      </c>
      <c r="D12" s="59" t="s">
        <v>309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25" thickTop="1" thickBot="1" x14ac:dyDescent="0.25">
      <c r="E13" s="71">
        <f>+E12+E11+E6</f>
        <v>6.7164999999999999</v>
      </c>
      <c r="H13" s="68"/>
      <c r="I13" s="76"/>
      <c r="J13" s="77"/>
      <c r="K13" s="68"/>
      <c r="L13" s="70"/>
      <c r="M13" s="68"/>
      <c r="N13" s="68"/>
    </row>
    <row r="14" spans="1:14" ht="13.5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2.75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2.75" x14ac:dyDescent="0.2">
      <c r="C16" s="67"/>
      <c r="E16" s="67"/>
      <c r="H16" s="68"/>
      <c r="I16" s="68" t="s">
        <v>222</v>
      </c>
      <c r="J16" s="68"/>
      <c r="K16" s="68"/>
      <c r="L16" s="70"/>
      <c r="M16" s="68"/>
      <c r="N16" s="68"/>
    </row>
    <row r="17" spans="1:14" ht="12.75" x14ac:dyDescent="0.2">
      <c r="A17" s="62" t="s">
        <v>125</v>
      </c>
      <c r="C17" s="59" t="s">
        <v>23</v>
      </c>
      <c r="D17" s="63" t="s">
        <v>126</v>
      </c>
      <c r="E17" s="63"/>
      <c r="F17" s="72"/>
      <c r="G17" s="72"/>
      <c r="H17" s="72"/>
      <c r="I17" s="72" t="s">
        <v>218</v>
      </c>
      <c r="J17" s="68" t="s">
        <v>219</v>
      </c>
      <c r="K17" s="68"/>
      <c r="L17" s="68"/>
      <c r="M17" s="68"/>
      <c r="N17" s="68"/>
    </row>
    <row r="18" spans="1:14" ht="12.75" x14ac:dyDescent="0.2">
      <c r="A18" s="59" t="s">
        <v>71</v>
      </c>
      <c r="B18" s="59" t="s">
        <v>125</v>
      </c>
      <c r="C18" s="122">
        <v>6.25</v>
      </c>
      <c r="D18" s="60">
        <v>1338</v>
      </c>
      <c r="E18" s="63" t="s">
        <v>213</v>
      </c>
      <c r="F18" s="72"/>
      <c r="G18" s="72"/>
      <c r="H18" s="123">
        <v>36892</v>
      </c>
      <c r="I18" s="124">
        <v>41486</v>
      </c>
      <c r="J18" s="124">
        <f>+I18/31</f>
        <v>1338.258064516129</v>
      </c>
      <c r="K18" s="68"/>
      <c r="L18" s="68"/>
      <c r="M18" s="68"/>
      <c r="N18" s="68"/>
    </row>
    <row r="19" spans="1:14" ht="12.75" x14ac:dyDescent="0.2">
      <c r="A19" s="59" t="s">
        <v>76</v>
      </c>
      <c r="C19" s="61">
        <v>0.1</v>
      </c>
      <c r="D19" s="63"/>
      <c r="E19" s="64"/>
      <c r="F19" s="72"/>
      <c r="G19" s="72"/>
      <c r="H19" s="123">
        <v>36923</v>
      </c>
      <c r="I19" s="124">
        <v>36508</v>
      </c>
      <c r="J19" s="124">
        <f>+I19/28</f>
        <v>1303.8571428571429</v>
      </c>
      <c r="K19" s="68"/>
      <c r="L19" s="68"/>
      <c r="M19" s="68"/>
      <c r="N19" s="68"/>
    </row>
    <row r="20" spans="1:14" ht="12.75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23">
        <v>36951</v>
      </c>
      <c r="I20" s="124">
        <v>26671</v>
      </c>
      <c r="J20" s="124">
        <f>+I20/31</f>
        <v>860.35483870967744</v>
      </c>
      <c r="K20" s="68"/>
      <c r="L20" s="68"/>
      <c r="M20" s="68"/>
      <c r="N20" s="68"/>
    </row>
    <row r="21" spans="1:14" ht="12.75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2.75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215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2.75" x14ac:dyDescent="0.2">
      <c r="A23" s="59" t="s">
        <v>75</v>
      </c>
      <c r="C23" s="74">
        <f>ROUND((+C18+C19)/(1-C22)+(C20+C21),4)-C18-C19</f>
        <v>0.20349999999999965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5" thickBot="1" x14ac:dyDescent="0.25">
      <c r="C24" s="71">
        <f>SUM(C18,C19,C23)</f>
        <v>6.5534999999999997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5" thickTop="1" x14ac:dyDescent="0.2">
      <c r="A25" s="59" t="s">
        <v>118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2.75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2.75" x14ac:dyDescent="0.2">
      <c r="A27" s="125" t="s">
        <v>220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2.75" x14ac:dyDescent="0.2">
      <c r="B28" s="59" t="s">
        <v>221</v>
      </c>
      <c r="C28" s="61"/>
      <c r="H28" s="68"/>
      <c r="I28" s="68"/>
      <c r="J28" s="68"/>
      <c r="K28" s="68"/>
      <c r="L28" s="70"/>
      <c r="M28" s="68"/>
      <c r="N28" s="68"/>
    </row>
    <row r="29" spans="1:14" ht="12.75" x14ac:dyDescent="0.2">
      <c r="A29" s="68"/>
      <c r="B29" s="68" t="s">
        <v>207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2.75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2.75" x14ac:dyDescent="0.2">
      <c r="A31" s="68"/>
      <c r="B31" s="126" t="s">
        <v>214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2.75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2.75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2.75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2.75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2.75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2.75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18"/>
  <sheetViews>
    <sheetView topLeftCell="I79" workbookViewId="0">
      <selection activeCell="R88" sqref="R88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">
      <c r="B12" s="79" t="s">
        <v>80</v>
      </c>
      <c r="C12" s="80" t="s">
        <v>29</v>
      </c>
      <c r="D12" s="80" t="s">
        <v>36</v>
      </c>
      <c r="E12" s="81">
        <v>36923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70358</v>
      </c>
      <c r="R12" s="80">
        <v>5</v>
      </c>
      <c r="S12" s="79" t="s">
        <v>302</v>
      </c>
      <c r="T12" s="99">
        <f>+J12*R12*31</f>
        <v>15.725000000000001</v>
      </c>
      <c r="U12" s="86"/>
      <c r="V12" s="96">
        <v>575395</v>
      </c>
      <c r="W12" s="79"/>
      <c r="X12" s="87"/>
      <c r="Y12" s="87"/>
    </row>
    <row r="13" spans="2:25" s="143" customFormat="1" x14ac:dyDescent="0.2">
      <c r="B13" s="134" t="s">
        <v>80</v>
      </c>
      <c r="C13" s="135" t="s">
        <v>29</v>
      </c>
      <c r="D13" s="135" t="s">
        <v>36</v>
      </c>
      <c r="E13" s="136">
        <v>36617</v>
      </c>
      <c r="F13" s="136">
        <v>36981</v>
      </c>
      <c r="G13" s="134" t="s">
        <v>30</v>
      </c>
      <c r="H13" s="134" t="s">
        <v>24</v>
      </c>
      <c r="I13" s="135" t="s">
        <v>55</v>
      </c>
      <c r="J13" s="137">
        <f t="shared" si="0"/>
        <v>0.10145161290322581</v>
      </c>
      <c r="K13" s="138"/>
      <c r="L13" s="138"/>
      <c r="M13" s="138"/>
      <c r="N13" s="138"/>
      <c r="O13" s="139"/>
      <c r="P13" s="138"/>
      <c r="Q13" s="144">
        <v>66941</v>
      </c>
      <c r="R13" s="135">
        <v>53</v>
      </c>
      <c r="S13" s="134"/>
      <c r="T13" s="146">
        <f>+J13*R13*31</f>
        <v>166.685</v>
      </c>
      <c r="U13" s="140"/>
      <c r="V13" s="141">
        <v>228122</v>
      </c>
      <c r="W13" s="134"/>
      <c r="X13" s="142"/>
      <c r="Y13" s="142"/>
    </row>
    <row r="14" spans="2:25" s="143" customFormat="1" x14ac:dyDescent="0.2">
      <c r="B14" s="134" t="s">
        <v>80</v>
      </c>
      <c r="C14" s="135" t="s">
        <v>29</v>
      </c>
      <c r="D14" s="135" t="s">
        <v>56</v>
      </c>
      <c r="E14" s="136">
        <v>36647</v>
      </c>
      <c r="F14" s="136">
        <v>37011</v>
      </c>
      <c r="G14" s="134" t="s">
        <v>30</v>
      </c>
      <c r="H14" s="134" t="s">
        <v>24</v>
      </c>
      <c r="I14" s="135" t="s">
        <v>55</v>
      </c>
      <c r="J14" s="137">
        <f t="shared" si="0"/>
        <v>0.10145161290322581</v>
      </c>
      <c r="K14" s="138"/>
      <c r="L14" s="138"/>
      <c r="M14" s="138"/>
      <c r="N14" s="138"/>
      <c r="O14" s="139"/>
      <c r="P14" s="138"/>
      <c r="Q14" s="144">
        <v>68281</v>
      </c>
      <c r="R14" s="135">
        <v>21</v>
      </c>
      <c r="S14" s="134" t="s">
        <v>112</v>
      </c>
      <c r="T14" s="140">
        <f>+R14*J14*$J$1</f>
        <v>66.045000000000002</v>
      </c>
      <c r="U14" s="140"/>
      <c r="V14" s="141">
        <v>256413</v>
      </c>
      <c r="W14" s="134"/>
      <c r="X14" s="142"/>
      <c r="Y14" s="142"/>
    </row>
    <row r="15" spans="2:25" s="143" customFormat="1" x14ac:dyDescent="0.2">
      <c r="B15" s="134" t="s">
        <v>80</v>
      </c>
      <c r="C15" s="135" t="s">
        <v>29</v>
      </c>
      <c r="D15" s="135" t="s">
        <v>36</v>
      </c>
      <c r="E15" s="136">
        <v>36656</v>
      </c>
      <c r="F15" s="136">
        <v>36950</v>
      </c>
      <c r="G15" s="134" t="s">
        <v>30</v>
      </c>
      <c r="H15" s="134" t="s">
        <v>24</v>
      </c>
      <c r="I15" s="135" t="s">
        <v>55</v>
      </c>
      <c r="J15" s="137">
        <f t="shared" si="0"/>
        <v>0.10145161290322581</v>
      </c>
      <c r="K15" s="138"/>
      <c r="L15" s="138"/>
      <c r="M15" s="138"/>
      <c r="N15" s="138"/>
      <c r="O15" s="139"/>
      <c r="P15" s="138"/>
      <c r="Q15" s="144">
        <v>68309</v>
      </c>
      <c r="R15" s="135">
        <v>9</v>
      </c>
      <c r="S15" s="134"/>
      <c r="T15" s="140">
        <f>+R15*J15*$J$1</f>
        <v>28.305</v>
      </c>
      <c r="U15" s="140"/>
      <c r="V15" s="141">
        <v>262090</v>
      </c>
      <c r="W15" s="134" t="s">
        <v>88</v>
      </c>
      <c r="X15" s="142"/>
      <c r="Y15" s="142"/>
    </row>
    <row r="16" spans="2:25" s="143" customFormat="1" x14ac:dyDescent="0.2">
      <c r="B16" s="134" t="s">
        <v>80</v>
      </c>
      <c r="C16" s="135" t="s">
        <v>29</v>
      </c>
      <c r="D16" s="135" t="s">
        <v>56</v>
      </c>
      <c r="E16" s="136">
        <v>36678</v>
      </c>
      <c r="F16" s="136">
        <v>37042</v>
      </c>
      <c r="G16" s="134" t="s">
        <v>30</v>
      </c>
      <c r="H16" s="134" t="s">
        <v>24</v>
      </c>
      <c r="I16" s="135" t="s">
        <v>55</v>
      </c>
      <c r="J16" s="137">
        <f t="shared" si="0"/>
        <v>0.10145161290322581</v>
      </c>
      <c r="K16" s="138">
        <v>1.32E-2</v>
      </c>
      <c r="L16" s="138">
        <v>2.2000000000000001E-3</v>
      </c>
      <c r="M16" s="138">
        <v>0</v>
      </c>
      <c r="N16" s="138">
        <v>0</v>
      </c>
      <c r="O16" s="139">
        <v>2.1160000000000002E-2</v>
      </c>
      <c r="P16" s="138">
        <f>SUM(J16:N16)</f>
        <v>0.11685161290322581</v>
      </c>
      <c r="Q16" s="144">
        <v>68360</v>
      </c>
      <c r="R16" s="135">
        <v>291</v>
      </c>
      <c r="S16" s="134"/>
      <c r="T16" s="140">
        <f>J16*J$1*R16</f>
        <v>915.19500000000005</v>
      </c>
      <c r="U16" s="140"/>
      <c r="V16" s="141">
        <v>271311</v>
      </c>
      <c r="W16" s="134"/>
      <c r="X16" s="142"/>
      <c r="Y16" s="142"/>
    </row>
    <row r="17" spans="2:25" s="143" customFormat="1" x14ac:dyDescent="0.2">
      <c r="B17" s="134" t="s">
        <v>80</v>
      </c>
      <c r="C17" s="135" t="s">
        <v>29</v>
      </c>
      <c r="D17" s="135" t="s">
        <v>36</v>
      </c>
      <c r="E17" s="136">
        <v>36678</v>
      </c>
      <c r="F17" s="136">
        <v>37042</v>
      </c>
      <c r="G17" s="134" t="s">
        <v>30</v>
      </c>
      <c r="H17" s="134" t="s">
        <v>24</v>
      </c>
      <c r="I17" s="135" t="s">
        <v>55</v>
      </c>
      <c r="J17" s="137">
        <f t="shared" si="0"/>
        <v>0.10145161290322581</v>
      </c>
      <c r="K17" s="138">
        <v>1.32E-2</v>
      </c>
      <c r="L17" s="138">
        <v>2.2000000000000001E-3</v>
      </c>
      <c r="M17" s="138">
        <v>0</v>
      </c>
      <c r="N17" s="138">
        <v>0</v>
      </c>
      <c r="O17" s="139">
        <v>2.1160000000000002E-2</v>
      </c>
      <c r="P17" s="138">
        <f>SUM(J17:N17)</f>
        <v>0.11685161290322581</v>
      </c>
      <c r="Q17" s="144">
        <v>68385</v>
      </c>
      <c r="R17" s="135">
        <v>223</v>
      </c>
      <c r="S17" s="134"/>
      <c r="T17" s="140">
        <f>J17*J$1*R17</f>
        <v>701.33500000000004</v>
      </c>
      <c r="U17" s="140"/>
      <c r="V17" s="141">
        <v>280550</v>
      </c>
      <c r="W17" s="134"/>
      <c r="X17" s="142"/>
      <c r="Y17" s="142"/>
    </row>
    <row r="18" spans="2:25" s="143" customFormat="1" x14ac:dyDescent="0.2">
      <c r="B18" s="134" t="s">
        <v>80</v>
      </c>
      <c r="C18" s="135" t="s">
        <v>29</v>
      </c>
      <c r="D18" s="135" t="s">
        <v>56</v>
      </c>
      <c r="E18" s="136">
        <v>36708</v>
      </c>
      <c r="F18" s="136">
        <v>37072</v>
      </c>
      <c r="G18" s="134" t="s">
        <v>30</v>
      </c>
      <c r="H18" s="134" t="s">
        <v>24</v>
      </c>
      <c r="I18" s="135" t="s">
        <v>55</v>
      </c>
      <c r="J18" s="137">
        <f t="shared" si="0"/>
        <v>0.10145161290322581</v>
      </c>
      <c r="K18" s="138">
        <v>1.32E-2</v>
      </c>
      <c r="L18" s="138">
        <v>2.2000000000000001E-3</v>
      </c>
      <c r="M18" s="138">
        <v>0</v>
      </c>
      <c r="N18" s="138">
        <v>0</v>
      </c>
      <c r="O18" s="139">
        <v>2.1160000000000002E-2</v>
      </c>
      <c r="P18" s="138">
        <f>SUM(J18:N18)</f>
        <v>0.11685161290322581</v>
      </c>
      <c r="Q18" s="144">
        <v>68615</v>
      </c>
      <c r="R18" s="135">
        <v>920</v>
      </c>
      <c r="S18" s="134"/>
      <c r="T18" s="140">
        <f>J18*J$1*R18</f>
        <v>2893.4</v>
      </c>
      <c r="U18" s="140"/>
      <c r="V18" s="141">
        <v>309873</v>
      </c>
      <c r="W18" s="134"/>
      <c r="X18" s="142"/>
      <c r="Y18" s="142"/>
    </row>
    <row r="19" spans="2:25" s="143" customFormat="1" x14ac:dyDescent="0.2">
      <c r="B19" s="134" t="s">
        <v>80</v>
      </c>
      <c r="C19" s="135" t="s">
        <v>29</v>
      </c>
      <c r="D19" s="135" t="s">
        <v>56</v>
      </c>
      <c r="E19" s="136">
        <v>36708</v>
      </c>
      <c r="F19" s="136" t="s">
        <v>142</v>
      </c>
      <c r="G19" s="134" t="s">
        <v>30</v>
      </c>
      <c r="H19" s="134" t="s">
        <v>24</v>
      </c>
      <c r="I19" s="135" t="s">
        <v>55</v>
      </c>
      <c r="J19" s="137">
        <f t="shared" si="0"/>
        <v>0.10145161290322581</v>
      </c>
      <c r="K19" s="138"/>
      <c r="L19" s="138"/>
      <c r="M19" s="138"/>
      <c r="N19" s="138"/>
      <c r="O19" s="139"/>
      <c r="P19" s="138"/>
      <c r="Q19" s="144">
        <v>68634</v>
      </c>
      <c r="R19" s="135">
        <v>1</v>
      </c>
      <c r="S19" s="134"/>
      <c r="T19" s="140">
        <f>J19*J$1*R19</f>
        <v>3.145</v>
      </c>
      <c r="U19" s="140"/>
      <c r="V19" s="141">
        <v>312338</v>
      </c>
      <c r="W19" s="134"/>
      <c r="X19" s="142"/>
      <c r="Y19" s="142"/>
    </row>
    <row r="20" spans="2:25" s="143" customFormat="1" x14ac:dyDescent="0.2">
      <c r="B20" s="134" t="s">
        <v>80</v>
      </c>
      <c r="C20" s="135" t="s">
        <v>29</v>
      </c>
      <c r="D20" s="135" t="s">
        <v>36</v>
      </c>
      <c r="E20" s="136">
        <v>36739</v>
      </c>
      <c r="F20" s="136">
        <v>37103</v>
      </c>
      <c r="G20" s="134" t="s">
        <v>30</v>
      </c>
      <c r="H20" s="134" t="s">
        <v>24</v>
      </c>
      <c r="I20" s="135" t="s">
        <v>55</v>
      </c>
      <c r="J20" s="137">
        <f t="shared" si="0"/>
        <v>0.10145161290322581</v>
      </c>
      <c r="K20" s="138"/>
      <c r="L20" s="138"/>
      <c r="M20" s="138"/>
      <c r="N20" s="138"/>
      <c r="O20" s="139"/>
      <c r="P20" s="138"/>
      <c r="Q20" s="144">
        <v>68927</v>
      </c>
      <c r="R20" s="135">
        <v>4</v>
      </c>
      <c r="S20" s="134" t="s">
        <v>1</v>
      </c>
      <c r="T20" s="140">
        <f>+R20*J20*$J$1</f>
        <v>12.58</v>
      </c>
      <c r="U20" s="140"/>
      <c r="V20" s="141">
        <v>345112</v>
      </c>
      <c r="W20" s="134"/>
      <c r="X20" s="142"/>
      <c r="Y20" s="142"/>
    </row>
    <row r="21" spans="2:25" s="143" customFormat="1" x14ac:dyDescent="0.2">
      <c r="B21" s="134" t="s">
        <v>80</v>
      </c>
      <c r="C21" s="135" t="s">
        <v>29</v>
      </c>
      <c r="D21" s="135" t="s">
        <v>36</v>
      </c>
      <c r="E21" s="136">
        <v>36739</v>
      </c>
      <c r="F21" s="136">
        <v>37103</v>
      </c>
      <c r="G21" s="134" t="s">
        <v>30</v>
      </c>
      <c r="H21" s="134" t="s">
        <v>24</v>
      </c>
      <c r="I21" s="135" t="s">
        <v>55</v>
      </c>
      <c r="J21" s="137">
        <f t="shared" si="0"/>
        <v>0.10145161290322581</v>
      </c>
      <c r="K21" s="138"/>
      <c r="L21" s="138"/>
      <c r="M21" s="138"/>
      <c r="N21" s="138"/>
      <c r="O21" s="139"/>
      <c r="P21" s="138"/>
      <c r="Q21" s="144">
        <v>68929</v>
      </c>
      <c r="R21" s="135">
        <v>48</v>
      </c>
      <c r="S21" s="134" t="s">
        <v>2</v>
      </c>
      <c r="T21" s="140">
        <f>+R21*J21*$J$1</f>
        <v>150.96</v>
      </c>
      <c r="U21" s="140"/>
      <c r="V21" s="141">
        <v>345091</v>
      </c>
      <c r="W21" s="134"/>
      <c r="X21" s="142"/>
      <c r="Y21" s="142"/>
    </row>
    <row r="22" spans="2:25" s="143" customFormat="1" x14ac:dyDescent="0.2">
      <c r="B22" s="134" t="s">
        <v>80</v>
      </c>
      <c r="C22" s="135" t="s">
        <v>29</v>
      </c>
      <c r="D22" s="135" t="s">
        <v>36</v>
      </c>
      <c r="E22" s="136">
        <v>36770</v>
      </c>
      <c r="F22" s="136">
        <v>37134</v>
      </c>
      <c r="G22" s="134" t="s">
        <v>30</v>
      </c>
      <c r="H22" s="134" t="s">
        <v>24</v>
      </c>
      <c r="I22" s="135" t="s">
        <v>55</v>
      </c>
      <c r="J22" s="137">
        <f t="shared" si="0"/>
        <v>0.10145161290322581</v>
      </c>
      <c r="K22" s="138"/>
      <c r="L22" s="138"/>
      <c r="M22" s="138"/>
      <c r="N22" s="138"/>
      <c r="O22" s="139"/>
      <c r="P22" s="138"/>
      <c r="Q22" s="144">
        <v>69145</v>
      </c>
      <c r="R22" s="135">
        <v>63</v>
      </c>
      <c r="S22" s="134" t="s">
        <v>128</v>
      </c>
      <c r="T22" s="140">
        <f>+R22*J22*J2</f>
        <v>0</v>
      </c>
      <c r="U22" s="140"/>
      <c r="V22" s="141">
        <v>372169</v>
      </c>
      <c r="W22" s="134"/>
      <c r="X22" s="142"/>
      <c r="Y22" s="142"/>
    </row>
    <row r="23" spans="2:25" s="143" customFormat="1" x14ac:dyDescent="0.2">
      <c r="B23" s="134" t="s">
        <v>80</v>
      </c>
      <c r="C23" s="135" t="s">
        <v>29</v>
      </c>
      <c r="D23" s="135" t="s">
        <v>36</v>
      </c>
      <c r="E23" s="136">
        <v>36800</v>
      </c>
      <c r="F23" s="136">
        <v>37164</v>
      </c>
      <c r="G23" s="134" t="s">
        <v>30</v>
      </c>
      <c r="H23" s="134" t="s">
        <v>24</v>
      </c>
      <c r="I23" s="135" t="s">
        <v>55</v>
      </c>
      <c r="J23" s="137">
        <f t="shared" si="0"/>
        <v>0.10145161290322581</v>
      </c>
      <c r="K23" s="138"/>
      <c r="L23" s="138"/>
      <c r="M23" s="138"/>
      <c r="N23" s="138"/>
      <c r="O23" s="139"/>
      <c r="P23" s="138"/>
      <c r="Q23" s="144">
        <v>69357</v>
      </c>
      <c r="R23" s="135">
        <v>13</v>
      </c>
      <c r="S23" s="134" t="s">
        <v>132</v>
      </c>
      <c r="T23" s="140">
        <f>+R23*J23*J1</f>
        <v>40.884999999999998</v>
      </c>
      <c r="U23" s="140"/>
      <c r="V23" s="141">
        <v>418249</v>
      </c>
      <c r="W23" s="134"/>
      <c r="X23" s="142"/>
      <c r="Y23" s="142"/>
    </row>
    <row r="24" spans="2:25" s="143" customFormat="1" x14ac:dyDescent="0.2">
      <c r="B24" s="134" t="s">
        <v>80</v>
      </c>
      <c r="C24" s="135" t="s">
        <v>29</v>
      </c>
      <c r="D24" s="135" t="s">
        <v>36</v>
      </c>
      <c r="E24" s="136">
        <v>36831</v>
      </c>
      <c r="F24" s="136">
        <v>37195</v>
      </c>
      <c r="G24" s="134" t="s">
        <v>30</v>
      </c>
      <c r="H24" s="134" t="s">
        <v>24</v>
      </c>
      <c r="I24" s="135" t="s">
        <v>55</v>
      </c>
      <c r="J24" s="137">
        <f t="shared" si="0"/>
        <v>0.10145161290322581</v>
      </c>
      <c r="K24" s="138"/>
      <c r="L24" s="138"/>
      <c r="M24" s="138"/>
      <c r="N24" s="138"/>
      <c r="O24" s="139"/>
      <c r="P24" s="138"/>
      <c r="Q24" s="144">
        <v>69710</v>
      </c>
      <c r="R24" s="135">
        <v>129</v>
      </c>
      <c r="S24" s="134" t="s">
        <v>143</v>
      </c>
      <c r="T24" s="140">
        <f>+R24*J24*J1</f>
        <v>405.70500000000004</v>
      </c>
      <c r="U24" s="140"/>
      <c r="V24" s="141">
        <v>567314</v>
      </c>
      <c r="W24" s="134"/>
      <c r="X24" s="142"/>
      <c r="Y24" s="142"/>
    </row>
    <row r="25" spans="2:25" s="143" customFormat="1" x14ac:dyDescent="0.2">
      <c r="B25" s="134" t="s">
        <v>80</v>
      </c>
      <c r="C25" s="135" t="s">
        <v>29</v>
      </c>
      <c r="D25" s="135" t="s">
        <v>36</v>
      </c>
      <c r="E25" s="136">
        <v>36861</v>
      </c>
      <c r="F25" s="136">
        <v>37225</v>
      </c>
      <c r="G25" s="134" t="s">
        <v>30</v>
      </c>
      <c r="H25" s="134" t="s">
        <v>24</v>
      </c>
      <c r="I25" s="135" t="s">
        <v>55</v>
      </c>
      <c r="J25" s="137">
        <f>3.145/J1</f>
        <v>0.10145161290322581</v>
      </c>
      <c r="K25" s="138"/>
      <c r="L25" s="138"/>
      <c r="M25" s="138"/>
      <c r="N25" s="138"/>
      <c r="O25" s="139"/>
      <c r="P25" s="138"/>
      <c r="Q25" s="144">
        <v>69947</v>
      </c>
      <c r="R25" s="135">
        <v>3</v>
      </c>
      <c r="S25" s="134" t="s">
        <v>183</v>
      </c>
      <c r="T25" s="140">
        <f>+R25*J25*J1</f>
        <v>9.4350000000000005</v>
      </c>
      <c r="U25" s="140"/>
      <c r="V25" s="141">
        <v>491030</v>
      </c>
      <c r="W25" s="134"/>
      <c r="X25" s="142"/>
      <c r="Y25" s="142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5409.4000000000015</v>
      </c>
      <c r="U27" s="9"/>
      <c r="V27" s="54"/>
      <c r="W27" s="1"/>
      <c r="X27" s="36"/>
      <c r="Y27" s="36"/>
    </row>
    <row r="28" spans="2:25" x14ac:dyDescent="0.2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159" t="e">
        <f>+#REF!</f>
        <v>#REF!</v>
      </c>
      <c r="X28" s="36"/>
      <c r="Y28" s="36"/>
    </row>
    <row r="29" spans="2:25" s="158" customFormat="1" ht="12" customHeight="1" x14ac:dyDescent="0.2">
      <c r="B29" s="147" t="s">
        <v>80</v>
      </c>
      <c r="C29" s="148" t="s">
        <v>85</v>
      </c>
      <c r="D29" s="148" t="s">
        <v>86</v>
      </c>
      <c r="E29" s="149">
        <v>36923</v>
      </c>
      <c r="F29" s="149">
        <v>36950</v>
      </c>
      <c r="G29" s="150"/>
      <c r="H29" s="150"/>
      <c r="I29" s="148" t="s">
        <v>87</v>
      </c>
      <c r="J29" s="151">
        <v>2.8340000000000001E-2</v>
      </c>
      <c r="K29" s="152">
        <v>0</v>
      </c>
      <c r="L29" s="152">
        <v>2.2000000000000001E-3</v>
      </c>
      <c r="M29" s="152">
        <v>7.1999999999999998E-3</v>
      </c>
      <c r="N29" s="152">
        <v>0</v>
      </c>
      <c r="O29" s="153">
        <v>0</v>
      </c>
      <c r="P29" s="152">
        <f t="shared" ref="P29:P40" si="1">SUM(J29:N29)</f>
        <v>3.7740000000000003E-2</v>
      </c>
      <c r="Q29" s="154" t="s">
        <v>108</v>
      </c>
      <c r="R29" s="148">
        <v>245273</v>
      </c>
      <c r="S29" s="147" t="s">
        <v>47</v>
      </c>
      <c r="T29" s="155">
        <f>+J29*R29</f>
        <v>6951.0368200000003</v>
      </c>
      <c r="U29" s="155"/>
      <c r="V29" s="156">
        <v>590584</v>
      </c>
      <c r="W29" s="160">
        <v>2001000059</v>
      </c>
      <c r="X29" s="157"/>
      <c r="Y29" s="157"/>
    </row>
    <row r="30" spans="2:25" s="158" customFormat="1" ht="11.25" customHeight="1" x14ac:dyDescent="0.2">
      <c r="B30" s="147" t="s">
        <v>80</v>
      </c>
      <c r="C30" s="148" t="s">
        <v>85</v>
      </c>
      <c r="D30" s="148" t="s">
        <v>86</v>
      </c>
      <c r="E30" s="149">
        <v>36923</v>
      </c>
      <c r="F30" s="149">
        <v>36950</v>
      </c>
      <c r="G30" s="150"/>
      <c r="H30" s="150"/>
      <c r="I30" s="148" t="s">
        <v>87</v>
      </c>
      <c r="J30" s="151">
        <f>1.544/J1</f>
        <v>4.980645161290323E-2</v>
      </c>
      <c r="K30" s="152">
        <v>0</v>
      </c>
      <c r="L30" s="152">
        <v>2.2000000000000001E-3</v>
      </c>
      <c r="M30" s="152">
        <v>7.1999999999999998E-3</v>
      </c>
      <c r="N30" s="152">
        <v>0</v>
      </c>
      <c r="O30" s="153">
        <v>0</v>
      </c>
      <c r="P30" s="152">
        <f t="shared" si="1"/>
        <v>5.9206451612903228E-2</v>
      </c>
      <c r="Q30" s="154" t="s">
        <v>108</v>
      </c>
      <c r="R30" s="148">
        <v>4954</v>
      </c>
      <c r="S30" s="147" t="s">
        <v>48</v>
      </c>
      <c r="T30" s="155">
        <f>+J30*R30*J1</f>
        <v>7648.9760000000006</v>
      </c>
      <c r="U30" s="155"/>
      <c r="V30" s="156">
        <v>590584</v>
      </c>
      <c r="W30" s="160">
        <v>2001000059</v>
      </c>
      <c r="X30" s="157"/>
      <c r="Y30" s="157"/>
    </row>
    <row r="31" spans="2:25" s="158" customFormat="1" ht="12" customHeight="1" x14ac:dyDescent="0.2">
      <c r="B31" s="147" t="s">
        <v>80</v>
      </c>
      <c r="C31" s="148" t="s">
        <v>85</v>
      </c>
      <c r="D31" s="148" t="s">
        <v>86</v>
      </c>
      <c r="E31" s="149">
        <v>36923</v>
      </c>
      <c r="F31" s="149">
        <v>36950</v>
      </c>
      <c r="G31" s="150"/>
      <c r="H31" s="150"/>
      <c r="I31" s="148" t="s">
        <v>87</v>
      </c>
      <c r="J31" s="151">
        <v>2.8340000000000001E-2</v>
      </c>
      <c r="K31" s="152">
        <v>0</v>
      </c>
      <c r="L31" s="152">
        <v>2.2000000000000001E-3</v>
      </c>
      <c r="M31" s="152">
        <v>7.1999999999999998E-3</v>
      </c>
      <c r="N31" s="152">
        <v>0</v>
      </c>
      <c r="O31" s="153">
        <v>0</v>
      </c>
      <c r="P31" s="152">
        <f t="shared" si="1"/>
        <v>3.7740000000000003E-2</v>
      </c>
      <c r="Q31" s="154" t="s">
        <v>108</v>
      </c>
      <c r="R31" s="148">
        <v>8855</v>
      </c>
      <c r="S31" s="147" t="s">
        <v>47</v>
      </c>
      <c r="T31" s="155">
        <f>+J31*R31</f>
        <v>250.95070000000001</v>
      </c>
      <c r="U31" s="155"/>
      <c r="V31" s="156">
        <v>590186</v>
      </c>
      <c r="W31" s="160">
        <v>2001000055</v>
      </c>
      <c r="X31" s="157"/>
      <c r="Y31" s="157"/>
    </row>
    <row r="32" spans="2:25" s="158" customFormat="1" x14ac:dyDescent="0.2">
      <c r="B32" s="147" t="s">
        <v>80</v>
      </c>
      <c r="C32" s="148" t="s">
        <v>85</v>
      </c>
      <c r="D32" s="148" t="s">
        <v>86</v>
      </c>
      <c r="E32" s="149">
        <v>36923</v>
      </c>
      <c r="F32" s="149">
        <v>36950</v>
      </c>
      <c r="G32" s="150"/>
      <c r="H32" s="150"/>
      <c r="I32" s="148" t="s">
        <v>87</v>
      </c>
      <c r="J32" s="151">
        <f>1.544/J1</f>
        <v>4.980645161290323E-2</v>
      </c>
      <c r="K32" s="152">
        <v>0</v>
      </c>
      <c r="L32" s="152">
        <v>2.2000000000000001E-3</v>
      </c>
      <c r="M32" s="152">
        <v>7.1999999999999998E-3</v>
      </c>
      <c r="N32" s="152">
        <v>0</v>
      </c>
      <c r="O32" s="153">
        <v>0</v>
      </c>
      <c r="P32" s="152">
        <f t="shared" si="1"/>
        <v>5.9206451612903228E-2</v>
      </c>
      <c r="Q32" s="154" t="s">
        <v>108</v>
      </c>
      <c r="R32" s="148">
        <v>176</v>
      </c>
      <c r="S32" s="147" t="s">
        <v>48</v>
      </c>
      <c r="T32" s="155">
        <f>+J32*R32*30</f>
        <v>262.97806451612905</v>
      </c>
      <c r="U32" s="155"/>
      <c r="V32" s="156">
        <v>590186</v>
      </c>
      <c r="W32" s="160">
        <v>2001000055</v>
      </c>
      <c r="X32" s="157"/>
      <c r="Y32" s="157"/>
    </row>
    <row r="33" spans="2:25" s="158" customFormat="1" ht="12" customHeight="1" x14ac:dyDescent="0.2">
      <c r="B33" s="147" t="s">
        <v>80</v>
      </c>
      <c r="C33" s="148" t="s">
        <v>85</v>
      </c>
      <c r="D33" s="148" t="s">
        <v>86</v>
      </c>
      <c r="E33" s="149">
        <v>36923</v>
      </c>
      <c r="F33" s="149">
        <v>36950</v>
      </c>
      <c r="G33" s="150"/>
      <c r="H33" s="150"/>
      <c r="I33" s="148" t="s">
        <v>87</v>
      </c>
      <c r="J33" s="151">
        <v>2.8340000000000001E-2</v>
      </c>
      <c r="K33" s="152">
        <v>0</v>
      </c>
      <c r="L33" s="152">
        <v>2.2000000000000001E-3</v>
      </c>
      <c r="M33" s="152">
        <v>7.1999999999999998E-3</v>
      </c>
      <c r="N33" s="152">
        <v>0</v>
      </c>
      <c r="O33" s="153">
        <v>0</v>
      </c>
      <c r="P33" s="152">
        <f t="shared" ref="P33:P38" si="2">SUM(J33:N33)</f>
        <v>3.7740000000000003E-2</v>
      </c>
      <c r="Q33" s="154" t="s">
        <v>108</v>
      </c>
      <c r="R33" s="148">
        <v>3776</v>
      </c>
      <c r="S33" s="147" t="s">
        <v>47</v>
      </c>
      <c r="T33" s="155">
        <f>+J33*R33</f>
        <v>107.01184000000001</v>
      </c>
      <c r="U33" s="155"/>
      <c r="V33" s="156">
        <v>589708</v>
      </c>
      <c r="W33" s="160">
        <v>2001000079</v>
      </c>
      <c r="X33" s="157"/>
      <c r="Y33" s="157"/>
    </row>
    <row r="34" spans="2:25" s="158" customFormat="1" x14ac:dyDescent="0.2">
      <c r="B34" s="147" t="s">
        <v>80</v>
      </c>
      <c r="C34" s="148" t="s">
        <v>85</v>
      </c>
      <c r="D34" s="148" t="s">
        <v>86</v>
      </c>
      <c r="E34" s="149">
        <v>36923</v>
      </c>
      <c r="F34" s="149">
        <v>36950</v>
      </c>
      <c r="G34" s="150"/>
      <c r="H34" s="150"/>
      <c r="I34" s="148" t="s">
        <v>87</v>
      </c>
      <c r="J34" s="151">
        <f>1.544/J1</f>
        <v>4.980645161290323E-2</v>
      </c>
      <c r="K34" s="152">
        <v>0</v>
      </c>
      <c r="L34" s="152">
        <v>2.2000000000000001E-3</v>
      </c>
      <c r="M34" s="152">
        <v>7.1999999999999998E-3</v>
      </c>
      <c r="N34" s="152">
        <v>0</v>
      </c>
      <c r="O34" s="153">
        <v>0</v>
      </c>
      <c r="P34" s="152">
        <f t="shared" si="2"/>
        <v>5.9206451612903228E-2</v>
      </c>
      <c r="Q34" s="154" t="s">
        <v>108</v>
      </c>
      <c r="R34" s="148">
        <v>76</v>
      </c>
      <c r="S34" s="147" t="s">
        <v>48</v>
      </c>
      <c r="T34" s="155">
        <f>+J34*R34*30</f>
        <v>113.55870967741937</v>
      </c>
      <c r="U34" s="155"/>
      <c r="V34" s="156">
        <v>589708</v>
      </c>
      <c r="W34" s="160">
        <f>+W33</f>
        <v>2001000079</v>
      </c>
      <c r="X34" s="157"/>
      <c r="Y34" s="157"/>
    </row>
    <row r="35" spans="2:25" s="158" customFormat="1" ht="12" customHeight="1" x14ac:dyDescent="0.2">
      <c r="B35" s="147" t="s">
        <v>80</v>
      </c>
      <c r="C35" s="148" t="s">
        <v>85</v>
      </c>
      <c r="D35" s="148" t="s">
        <v>86</v>
      </c>
      <c r="E35" s="149">
        <v>36923</v>
      </c>
      <c r="F35" s="149">
        <v>36950</v>
      </c>
      <c r="G35" s="150"/>
      <c r="H35" s="150"/>
      <c r="I35" s="148" t="s">
        <v>87</v>
      </c>
      <c r="J35" s="151">
        <v>2.8340000000000001E-2</v>
      </c>
      <c r="K35" s="152">
        <v>0</v>
      </c>
      <c r="L35" s="152">
        <v>2.2000000000000001E-3</v>
      </c>
      <c r="M35" s="152">
        <v>7.1999999999999998E-3</v>
      </c>
      <c r="N35" s="152">
        <v>0</v>
      </c>
      <c r="O35" s="153">
        <v>0</v>
      </c>
      <c r="P35" s="152">
        <f t="shared" si="2"/>
        <v>3.7740000000000003E-2</v>
      </c>
      <c r="Q35" s="154" t="s">
        <v>108</v>
      </c>
      <c r="R35" s="148">
        <v>123</v>
      </c>
      <c r="S35" s="147" t="s">
        <v>47</v>
      </c>
      <c r="T35" s="155">
        <f>+J35*R35</f>
        <v>3.4858199999999999</v>
      </c>
      <c r="U35" s="155"/>
      <c r="V35" s="156">
        <v>589776</v>
      </c>
      <c r="W35" s="160">
        <v>2001000073</v>
      </c>
      <c r="X35" s="157"/>
      <c r="Y35" s="157"/>
    </row>
    <row r="36" spans="2:25" s="158" customFormat="1" x14ac:dyDescent="0.2">
      <c r="B36" s="147" t="s">
        <v>80</v>
      </c>
      <c r="C36" s="148" t="s">
        <v>85</v>
      </c>
      <c r="D36" s="148" t="s">
        <v>86</v>
      </c>
      <c r="E36" s="149">
        <v>36923</v>
      </c>
      <c r="F36" s="149">
        <v>36950</v>
      </c>
      <c r="G36" s="150"/>
      <c r="H36" s="150"/>
      <c r="I36" s="148" t="s">
        <v>87</v>
      </c>
      <c r="J36" s="151">
        <f>1.544/28</f>
        <v>5.5142857142857146E-2</v>
      </c>
      <c r="K36" s="152">
        <v>0</v>
      </c>
      <c r="L36" s="152">
        <v>2.2000000000000001E-3</v>
      </c>
      <c r="M36" s="152">
        <v>7.1999999999999998E-3</v>
      </c>
      <c r="N36" s="152">
        <v>0</v>
      </c>
      <c r="O36" s="153">
        <v>0</v>
      </c>
      <c r="P36" s="152">
        <f t="shared" si="2"/>
        <v>6.4542857142857152E-2</v>
      </c>
      <c r="Q36" s="154" t="s">
        <v>108</v>
      </c>
      <c r="R36" s="148">
        <v>2</v>
      </c>
      <c r="S36" s="147" t="s">
        <v>48</v>
      </c>
      <c r="T36" s="155">
        <f>+J36*R36*30</f>
        <v>3.3085714285714287</v>
      </c>
      <c r="U36" s="155"/>
      <c r="V36" s="156">
        <v>589776</v>
      </c>
      <c r="W36" s="160">
        <f>+W35</f>
        <v>2001000073</v>
      </c>
      <c r="X36" s="157"/>
      <c r="Y36" s="157"/>
    </row>
    <row r="37" spans="2:25" s="158" customFormat="1" ht="12" customHeight="1" x14ac:dyDescent="0.2">
      <c r="B37" s="147" t="s">
        <v>80</v>
      </c>
      <c r="C37" s="148" t="s">
        <v>85</v>
      </c>
      <c r="D37" s="148" t="s">
        <v>86</v>
      </c>
      <c r="E37" s="149">
        <v>36923</v>
      </c>
      <c r="F37" s="149">
        <v>37864</v>
      </c>
      <c r="G37" s="150"/>
      <c r="H37" s="150"/>
      <c r="I37" s="148" t="s">
        <v>87</v>
      </c>
      <c r="J37" s="151">
        <v>2.8340000000000001E-2</v>
      </c>
      <c r="K37" s="152">
        <v>0</v>
      </c>
      <c r="L37" s="152">
        <v>2.2000000000000001E-3</v>
      </c>
      <c r="M37" s="152">
        <v>7.1999999999999998E-3</v>
      </c>
      <c r="N37" s="152">
        <v>0</v>
      </c>
      <c r="O37" s="153">
        <v>0</v>
      </c>
      <c r="P37" s="152">
        <f t="shared" si="2"/>
        <v>3.7740000000000003E-2</v>
      </c>
      <c r="Q37" s="154" t="s">
        <v>108</v>
      </c>
      <c r="R37" s="148">
        <v>8812</v>
      </c>
      <c r="S37" s="147" t="s">
        <v>47</v>
      </c>
      <c r="T37" s="155">
        <f>+J37*R37</f>
        <v>249.73208</v>
      </c>
      <c r="U37" s="155"/>
      <c r="V37" s="156">
        <v>589841</v>
      </c>
      <c r="W37" s="161">
        <v>200100078</v>
      </c>
      <c r="X37" s="157"/>
      <c r="Y37" s="157"/>
    </row>
    <row r="38" spans="2:25" s="158" customFormat="1" ht="12" customHeight="1" x14ac:dyDescent="0.2">
      <c r="B38" s="147" t="s">
        <v>80</v>
      </c>
      <c r="C38" s="148" t="s">
        <v>85</v>
      </c>
      <c r="D38" s="148" t="s">
        <v>86</v>
      </c>
      <c r="E38" s="149">
        <v>36923</v>
      </c>
      <c r="F38" s="149">
        <v>37864</v>
      </c>
      <c r="G38" s="150"/>
      <c r="H38" s="150"/>
      <c r="I38" s="148" t="s">
        <v>87</v>
      </c>
      <c r="J38" s="151">
        <f>1.544/31</f>
        <v>4.980645161290323E-2</v>
      </c>
      <c r="K38" s="152">
        <v>0</v>
      </c>
      <c r="L38" s="152">
        <v>2.2000000000000001E-3</v>
      </c>
      <c r="M38" s="152">
        <v>7.1999999999999998E-3</v>
      </c>
      <c r="N38" s="152">
        <v>0</v>
      </c>
      <c r="O38" s="153">
        <v>0</v>
      </c>
      <c r="P38" s="152">
        <f t="shared" si="2"/>
        <v>5.9206451612903228E-2</v>
      </c>
      <c r="Q38" s="154" t="s">
        <v>108</v>
      </c>
      <c r="R38" s="148">
        <v>179</v>
      </c>
      <c r="S38" s="147" t="s">
        <v>48</v>
      </c>
      <c r="T38" s="155">
        <f>+J38*R38*30</f>
        <v>267.46064516129036</v>
      </c>
      <c r="U38" s="155" t="s">
        <v>6</v>
      </c>
      <c r="V38" s="156">
        <v>589841</v>
      </c>
      <c r="W38" s="161">
        <f>+W37</f>
        <v>200100078</v>
      </c>
      <c r="X38" s="157"/>
      <c r="Y38" s="157"/>
    </row>
    <row r="39" spans="2:25" s="158" customFormat="1" ht="12" customHeight="1" x14ac:dyDescent="0.2">
      <c r="B39" s="147" t="s">
        <v>80</v>
      </c>
      <c r="C39" s="148" t="s">
        <v>85</v>
      </c>
      <c r="D39" s="148" t="s">
        <v>86</v>
      </c>
      <c r="E39" s="149">
        <v>36923</v>
      </c>
      <c r="F39" s="149">
        <v>37864</v>
      </c>
      <c r="G39" s="150"/>
      <c r="H39" s="150"/>
      <c r="I39" s="148" t="s">
        <v>87</v>
      </c>
      <c r="J39" s="151">
        <v>2.8340000000000001E-2</v>
      </c>
      <c r="K39" s="152">
        <v>0</v>
      </c>
      <c r="L39" s="152">
        <v>2.2000000000000001E-3</v>
      </c>
      <c r="M39" s="152">
        <v>7.1999999999999998E-3</v>
      </c>
      <c r="N39" s="152">
        <v>0</v>
      </c>
      <c r="O39" s="153">
        <v>0</v>
      </c>
      <c r="P39" s="152">
        <f t="shared" si="1"/>
        <v>3.7740000000000003E-2</v>
      </c>
      <c r="Q39" s="154" t="s">
        <v>108</v>
      </c>
      <c r="R39" s="148">
        <v>572301</v>
      </c>
      <c r="S39" s="147" t="s">
        <v>47</v>
      </c>
      <c r="T39" s="155">
        <f>+J39*R39</f>
        <v>16219.010340000001</v>
      </c>
      <c r="U39" s="155"/>
      <c r="V39" s="156">
        <v>590277</v>
      </c>
      <c r="W39" s="161">
        <v>20010000058</v>
      </c>
      <c r="X39" s="157"/>
      <c r="Y39" s="157"/>
    </row>
    <row r="40" spans="2:25" s="158" customFormat="1" ht="12" customHeight="1" x14ac:dyDescent="0.2">
      <c r="B40" s="147" t="s">
        <v>80</v>
      </c>
      <c r="C40" s="148" t="s">
        <v>85</v>
      </c>
      <c r="D40" s="148" t="s">
        <v>86</v>
      </c>
      <c r="E40" s="149">
        <v>36923</v>
      </c>
      <c r="F40" s="149">
        <v>37864</v>
      </c>
      <c r="G40" s="150"/>
      <c r="H40" s="150"/>
      <c r="I40" s="148" t="s">
        <v>87</v>
      </c>
      <c r="J40" s="151">
        <f>1.544/31</f>
        <v>4.980645161290323E-2</v>
      </c>
      <c r="K40" s="152">
        <v>0</v>
      </c>
      <c r="L40" s="152">
        <v>2.2000000000000001E-3</v>
      </c>
      <c r="M40" s="152">
        <v>7.1999999999999998E-3</v>
      </c>
      <c r="N40" s="152">
        <v>0</v>
      </c>
      <c r="O40" s="153">
        <v>0</v>
      </c>
      <c r="P40" s="152">
        <f t="shared" si="1"/>
        <v>5.9206451612903228E-2</v>
      </c>
      <c r="Q40" s="154" t="s">
        <v>108</v>
      </c>
      <c r="R40" s="148">
        <v>11558</v>
      </c>
      <c r="S40" s="147" t="s">
        <v>48</v>
      </c>
      <c r="T40" s="155">
        <f>+J40*R40*30</f>
        <v>17269.889032258066</v>
      </c>
      <c r="U40" s="155"/>
      <c r="V40" s="156">
        <v>590277</v>
      </c>
      <c r="W40" s="161">
        <f>+W39</f>
        <v>20010000058</v>
      </c>
      <c r="X40" s="157"/>
      <c r="Y40" s="157"/>
    </row>
    <row r="41" spans="2:25" s="158" customFormat="1" ht="12" customHeight="1" x14ac:dyDescent="0.2">
      <c r="B41" s="147" t="s">
        <v>80</v>
      </c>
      <c r="C41" s="148" t="s">
        <v>85</v>
      </c>
      <c r="D41" s="148" t="s">
        <v>86</v>
      </c>
      <c r="E41" s="149">
        <v>36923</v>
      </c>
      <c r="F41" s="149">
        <v>36950</v>
      </c>
      <c r="G41" s="147" t="s">
        <v>70</v>
      </c>
      <c r="H41" s="147" t="s">
        <v>60</v>
      </c>
      <c r="I41" s="148" t="s">
        <v>57</v>
      </c>
      <c r="J41" s="151">
        <f>10.845/J1</f>
        <v>0.34983870967741937</v>
      </c>
      <c r="K41" s="152"/>
      <c r="L41" s="152"/>
      <c r="M41" s="152"/>
      <c r="N41" s="152"/>
      <c r="O41" s="153"/>
      <c r="P41" s="152"/>
      <c r="Q41" s="154" t="s">
        <v>100</v>
      </c>
      <c r="R41" s="148">
        <v>3967</v>
      </c>
      <c r="S41" s="164" t="s">
        <v>295</v>
      </c>
      <c r="T41" s="155">
        <f>+J41*R41*30</f>
        <v>41634.304838709679</v>
      </c>
      <c r="U41" s="155"/>
      <c r="V41" s="156">
        <v>589244</v>
      </c>
      <c r="W41" s="161"/>
      <c r="X41" s="157"/>
      <c r="Y41" s="157"/>
    </row>
    <row r="42" spans="2:25" s="158" customFormat="1" ht="12" customHeight="1" x14ac:dyDescent="0.2">
      <c r="B42" s="147" t="s">
        <v>80</v>
      </c>
      <c r="C42" s="148" t="s">
        <v>85</v>
      </c>
      <c r="D42" s="148" t="s">
        <v>86</v>
      </c>
      <c r="E42" s="149">
        <v>36923</v>
      </c>
      <c r="F42" s="149">
        <v>36950</v>
      </c>
      <c r="G42" s="147" t="s">
        <v>70</v>
      </c>
      <c r="H42" s="147" t="s">
        <v>60</v>
      </c>
      <c r="I42" s="148" t="s">
        <v>57</v>
      </c>
      <c r="J42" s="151">
        <f>10.845/J1</f>
        <v>0.34983870967741937</v>
      </c>
      <c r="K42" s="152"/>
      <c r="L42" s="152"/>
      <c r="M42" s="152"/>
      <c r="N42" s="152"/>
      <c r="O42" s="153"/>
      <c r="P42" s="152"/>
      <c r="Q42" s="154" t="s">
        <v>100</v>
      </c>
      <c r="R42" s="148">
        <v>140</v>
      </c>
      <c r="S42" s="162" t="s">
        <v>296</v>
      </c>
      <c r="T42" s="155">
        <f t="shared" ref="T42:T48" si="3">+R42*J42*30</f>
        <v>1469.3225806451612</v>
      </c>
      <c r="U42" s="155"/>
      <c r="V42" s="156">
        <v>589242</v>
      </c>
      <c r="W42" s="161"/>
      <c r="X42" s="157"/>
      <c r="Y42" s="157"/>
    </row>
    <row r="43" spans="2:25" s="158" customFormat="1" ht="12" customHeight="1" x14ac:dyDescent="0.2">
      <c r="B43" s="147" t="s">
        <v>80</v>
      </c>
      <c r="C43" s="148" t="s">
        <v>85</v>
      </c>
      <c r="D43" s="148" t="s">
        <v>86</v>
      </c>
      <c r="E43" s="149">
        <v>36923</v>
      </c>
      <c r="F43" s="149">
        <v>37864</v>
      </c>
      <c r="G43" s="147" t="s">
        <v>70</v>
      </c>
      <c r="H43" s="147" t="s">
        <v>60</v>
      </c>
      <c r="I43" s="148" t="s">
        <v>57</v>
      </c>
      <c r="J43" s="151">
        <f>10.845/J1</f>
        <v>0.34983870967741937</v>
      </c>
      <c r="K43" s="152"/>
      <c r="L43" s="152"/>
      <c r="M43" s="152"/>
      <c r="N43" s="152"/>
      <c r="O43" s="153"/>
      <c r="P43" s="152"/>
      <c r="Q43" s="154" t="s">
        <v>100</v>
      </c>
      <c r="R43" s="148">
        <v>11562</v>
      </c>
      <c r="S43" s="162" t="s">
        <v>300</v>
      </c>
      <c r="T43" s="155">
        <f t="shared" si="3"/>
        <v>121345.05483870969</v>
      </c>
      <c r="U43" s="155"/>
      <c r="V43" s="156">
        <v>589212</v>
      </c>
      <c r="W43" s="161"/>
      <c r="X43" s="157"/>
      <c r="Y43" s="157"/>
    </row>
    <row r="44" spans="2:25" s="158" customFormat="1" ht="12" customHeight="1" x14ac:dyDescent="0.2">
      <c r="B44" s="147" t="s">
        <v>80</v>
      </c>
      <c r="C44" s="148" t="s">
        <v>85</v>
      </c>
      <c r="D44" s="148" t="s">
        <v>86</v>
      </c>
      <c r="E44" s="149">
        <v>36923</v>
      </c>
      <c r="F44" s="149">
        <v>36950</v>
      </c>
      <c r="G44" s="147" t="s">
        <v>70</v>
      </c>
      <c r="H44" s="147" t="s">
        <v>60</v>
      </c>
      <c r="I44" s="148" t="s">
        <v>57</v>
      </c>
      <c r="J44" s="151">
        <f>10.845/J1</f>
        <v>0.34983870967741937</v>
      </c>
      <c r="K44" s="152"/>
      <c r="L44" s="152"/>
      <c r="M44" s="152"/>
      <c r="N44" s="152"/>
      <c r="O44" s="153"/>
      <c r="P44" s="152"/>
      <c r="Q44" s="154" t="s">
        <v>100</v>
      </c>
      <c r="R44" s="148">
        <v>9262</v>
      </c>
      <c r="S44" s="162" t="s">
        <v>299</v>
      </c>
      <c r="T44" s="155">
        <f t="shared" si="3"/>
        <v>97206.183870967739</v>
      </c>
      <c r="U44" s="155"/>
      <c r="V44" s="156">
        <v>589232</v>
      </c>
      <c r="W44" s="161"/>
      <c r="X44" s="157"/>
      <c r="Y44" s="157"/>
    </row>
    <row r="45" spans="2:25" s="158" customFormat="1" ht="12" customHeight="1" x14ac:dyDescent="0.2">
      <c r="B45" s="147" t="s">
        <v>80</v>
      </c>
      <c r="C45" s="148" t="s">
        <v>85</v>
      </c>
      <c r="D45" s="148" t="s">
        <v>86</v>
      </c>
      <c r="E45" s="149">
        <v>36923</v>
      </c>
      <c r="F45" s="149">
        <v>36950</v>
      </c>
      <c r="G45" s="147" t="s">
        <v>70</v>
      </c>
      <c r="H45" s="147" t="s">
        <v>60</v>
      </c>
      <c r="I45" s="148" t="s">
        <v>57</v>
      </c>
      <c r="J45" s="151">
        <f>10.845/J1</f>
        <v>0.34983870967741937</v>
      </c>
      <c r="K45" s="152"/>
      <c r="L45" s="152"/>
      <c r="M45" s="152"/>
      <c r="N45" s="152"/>
      <c r="O45" s="153"/>
      <c r="P45" s="152"/>
      <c r="Q45" s="154" t="s">
        <v>100</v>
      </c>
      <c r="R45" s="148">
        <v>182</v>
      </c>
      <c r="S45" s="162" t="s">
        <v>298</v>
      </c>
      <c r="T45" s="155">
        <f t="shared" si="3"/>
        <v>1910.1193548387098</v>
      </c>
      <c r="U45" s="155"/>
      <c r="V45" s="156">
        <v>589236</v>
      </c>
      <c r="W45" s="161"/>
      <c r="X45" s="157"/>
      <c r="Y45" s="157"/>
    </row>
    <row r="46" spans="2:25" s="158" customFormat="1" ht="12" customHeight="1" x14ac:dyDescent="0.2">
      <c r="B46" s="147" t="s">
        <v>80</v>
      </c>
      <c r="C46" s="148" t="s">
        <v>85</v>
      </c>
      <c r="D46" s="148" t="s">
        <v>86</v>
      </c>
      <c r="E46" s="149">
        <v>36923</v>
      </c>
      <c r="F46" s="149">
        <v>36950</v>
      </c>
      <c r="G46" s="147" t="s">
        <v>70</v>
      </c>
      <c r="H46" s="147" t="s">
        <v>60</v>
      </c>
      <c r="I46" s="148" t="s">
        <v>57</v>
      </c>
      <c r="J46" s="151">
        <f>10.845/J1</f>
        <v>0.34983870967741937</v>
      </c>
      <c r="K46" s="152"/>
      <c r="L46" s="152"/>
      <c r="M46" s="152"/>
      <c r="N46" s="152"/>
      <c r="O46" s="153"/>
      <c r="P46" s="152"/>
      <c r="Q46" s="154" t="s">
        <v>100</v>
      </c>
      <c r="R46" s="148">
        <v>4954</v>
      </c>
      <c r="S46" s="162" t="s">
        <v>297</v>
      </c>
      <c r="T46" s="155">
        <f t="shared" si="3"/>
        <v>51993.029032258069</v>
      </c>
      <c r="U46" s="155"/>
      <c r="V46" s="156">
        <v>589241</v>
      </c>
      <c r="W46" s="161"/>
      <c r="X46" s="157"/>
      <c r="Y46" s="157"/>
    </row>
    <row r="47" spans="2:25" s="158" customFormat="1" ht="12" customHeight="1" x14ac:dyDescent="0.2">
      <c r="B47" s="147" t="s">
        <v>80</v>
      </c>
      <c r="C47" s="148" t="s">
        <v>85</v>
      </c>
      <c r="D47" s="148" t="s">
        <v>86</v>
      </c>
      <c r="E47" s="149">
        <v>36923</v>
      </c>
      <c r="F47" s="149">
        <v>37864</v>
      </c>
      <c r="G47" s="147" t="s">
        <v>70</v>
      </c>
      <c r="H47" s="147" t="s">
        <v>129</v>
      </c>
      <c r="I47" s="148" t="s">
        <v>57</v>
      </c>
      <c r="J47" s="151">
        <f>8.155/J1</f>
        <v>0.26306451612903226</v>
      </c>
      <c r="K47" s="152"/>
      <c r="L47" s="152"/>
      <c r="M47" s="152"/>
      <c r="N47" s="152"/>
      <c r="O47" s="153"/>
      <c r="P47" s="152"/>
      <c r="Q47" s="154" t="s">
        <v>100</v>
      </c>
      <c r="R47" s="148">
        <v>353</v>
      </c>
      <c r="S47" s="163" t="s">
        <v>294</v>
      </c>
      <c r="T47" s="155">
        <f t="shared" si="3"/>
        <v>2785.8532258064515</v>
      </c>
      <c r="U47" s="155"/>
      <c r="V47" s="156">
        <v>589245</v>
      </c>
      <c r="W47" s="161"/>
      <c r="X47" s="157"/>
      <c r="Y47" s="157"/>
    </row>
    <row r="48" spans="2:25" s="158" customFormat="1" ht="12" customHeight="1" x14ac:dyDescent="0.2">
      <c r="B48" s="147" t="s">
        <v>80</v>
      </c>
      <c r="C48" s="148" t="s">
        <v>85</v>
      </c>
      <c r="D48" s="148" t="s">
        <v>86</v>
      </c>
      <c r="E48" s="149">
        <v>36923</v>
      </c>
      <c r="F48" s="149">
        <v>37864</v>
      </c>
      <c r="G48" s="147" t="s">
        <v>70</v>
      </c>
      <c r="H48" s="147" t="s">
        <v>130</v>
      </c>
      <c r="I48" s="148" t="s">
        <v>57</v>
      </c>
      <c r="J48" s="151">
        <f>10.845/J1</f>
        <v>0.34983870967741937</v>
      </c>
      <c r="K48" s="152"/>
      <c r="L48" s="152"/>
      <c r="M48" s="152"/>
      <c r="N48" s="152"/>
      <c r="O48" s="153"/>
      <c r="P48" s="152"/>
      <c r="Q48" s="154" t="s">
        <v>100</v>
      </c>
      <c r="R48" s="148">
        <v>4509</v>
      </c>
      <c r="S48" s="163" t="s">
        <v>293</v>
      </c>
      <c r="T48" s="155">
        <f t="shared" si="3"/>
        <v>47322.682258064517</v>
      </c>
      <c r="U48" s="155"/>
      <c r="V48" s="156">
        <v>589258</v>
      </c>
      <c r="W48" s="161"/>
      <c r="X48" s="157"/>
      <c r="Y48" s="157"/>
    </row>
    <row r="49" spans="2:25" s="158" customFormat="1" ht="12" customHeight="1" x14ac:dyDescent="0.2">
      <c r="B49" s="147" t="s">
        <v>80</v>
      </c>
      <c r="C49" s="148" t="s">
        <v>85</v>
      </c>
      <c r="D49" s="148" t="s">
        <v>86</v>
      </c>
      <c r="E49" s="149">
        <v>36923</v>
      </c>
      <c r="F49" s="149">
        <v>36950</v>
      </c>
      <c r="G49" s="150"/>
      <c r="H49" s="147" t="s">
        <v>291</v>
      </c>
      <c r="I49" s="148" t="s">
        <v>57</v>
      </c>
      <c r="J49" s="151">
        <f>8.155/J1</f>
        <v>0.26306451612903226</v>
      </c>
      <c r="K49" s="152"/>
      <c r="L49" s="152"/>
      <c r="M49" s="152"/>
      <c r="N49" s="152"/>
      <c r="O49" s="153"/>
      <c r="P49" s="152"/>
      <c r="Q49" s="154" t="s">
        <v>100</v>
      </c>
      <c r="R49" s="148">
        <v>5</v>
      </c>
      <c r="S49" s="150" t="s">
        <v>292</v>
      </c>
      <c r="T49" s="155">
        <f>J49*J$1*R49</f>
        <v>40.774999999999999</v>
      </c>
      <c r="U49" s="155"/>
      <c r="V49" s="156">
        <v>588906</v>
      </c>
      <c r="W49" s="161"/>
      <c r="X49" s="157"/>
      <c r="Y49" s="157"/>
    </row>
    <row r="50" spans="2:25" s="158" customFormat="1" ht="12" customHeight="1" x14ac:dyDescent="0.2">
      <c r="B50" s="147" t="s">
        <v>80</v>
      </c>
      <c r="C50" s="148" t="s">
        <v>85</v>
      </c>
      <c r="D50" s="148" t="s">
        <v>86</v>
      </c>
      <c r="E50" s="149">
        <v>36923</v>
      </c>
      <c r="F50" s="149">
        <v>36950</v>
      </c>
      <c r="G50" s="150"/>
      <c r="H50" s="150"/>
      <c r="I50" s="148" t="s">
        <v>57</v>
      </c>
      <c r="J50" s="151">
        <f>8.155/J1</f>
        <v>0.26306451612903226</v>
      </c>
      <c r="K50" s="152"/>
      <c r="L50" s="152"/>
      <c r="M50" s="152"/>
      <c r="N50" s="152"/>
      <c r="O50" s="153"/>
      <c r="P50" s="152"/>
      <c r="Q50" s="154" t="s">
        <v>100</v>
      </c>
      <c r="R50" s="148">
        <v>153</v>
      </c>
      <c r="S50" s="150" t="s">
        <v>285</v>
      </c>
      <c r="T50" s="155">
        <f>J50*J$1*R50</f>
        <v>1247.7149999999999</v>
      </c>
      <c r="U50" s="155"/>
      <c r="V50" s="156">
        <v>589305</v>
      </c>
      <c r="W50" s="161"/>
      <c r="X50" s="157"/>
      <c r="Y50" s="157"/>
    </row>
    <row r="51" spans="2:25" s="158" customFormat="1" ht="12" customHeight="1" x14ac:dyDescent="0.2">
      <c r="B51" s="147" t="s">
        <v>80</v>
      </c>
      <c r="C51" s="148" t="s">
        <v>85</v>
      </c>
      <c r="D51" s="148" t="s">
        <v>86</v>
      </c>
      <c r="E51" s="149">
        <v>36923</v>
      </c>
      <c r="F51" s="149">
        <v>36950</v>
      </c>
      <c r="G51" s="150"/>
      <c r="H51" s="150"/>
      <c r="I51" s="148" t="s">
        <v>57</v>
      </c>
      <c r="J51" s="151">
        <f>10.845/J1</f>
        <v>0.34983870967741937</v>
      </c>
      <c r="K51" s="152"/>
      <c r="L51" s="152"/>
      <c r="M51" s="152"/>
      <c r="N51" s="152"/>
      <c r="O51" s="153"/>
      <c r="P51" s="152"/>
      <c r="Q51" s="154" t="s">
        <v>100</v>
      </c>
      <c r="R51" s="148">
        <v>77</v>
      </c>
      <c r="S51" s="162" t="s">
        <v>289</v>
      </c>
      <c r="T51" s="155">
        <f>J51*J$1*R51</f>
        <v>835.06500000000005</v>
      </c>
      <c r="U51" s="155"/>
      <c r="V51" s="156">
        <v>588884</v>
      </c>
      <c r="W51" s="161"/>
      <c r="X51" s="157"/>
      <c r="Y51" s="157"/>
    </row>
    <row r="52" spans="2:25" s="158" customFormat="1" ht="12" customHeight="1" x14ac:dyDescent="0.2">
      <c r="B52" s="147" t="s">
        <v>80</v>
      </c>
      <c r="C52" s="148" t="s">
        <v>85</v>
      </c>
      <c r="D52" s="148" t="s">
        <v>86</v>
      </c>
      <c r="E52" s="149">
        <v>36923</v>
      </c>
      <c r="F52" s="149">
        <v>36950</v>
      </c>
      <c r="G52" s="147" t="s">
        <v>70</v>
      </c>
      <c r="H52" s="147" t="s">
        <v>60</v>
      </c>
      <c r="I52" s="148" t="s">
        <v>57</v>
      </c>
      <c r="J52" s="151">
        <f>10.845/J1</f>
        <v>0.34983870967741937</v>
      </c>
      <c r="K52" s="152"/>
      <c r="L52" s="152"/>
      <c r="M52" s="152"/>
      <c r="N52" s="152"/>
      <c r="O52" s="153"/>
      <c r="P52" s="152"/>
      <c r="Q52" s="154" t="s">
        <v>100</v>
      </c>
      <c r="R52" s="148">
        <v>1931</v>
      </c>
      <c r="S52" s="162" t="s">
        <v>288</v>
      </c>
      <c r="T52" s="155">
        <f>J52*J$1*R52</f>
        <v>20941.695</v>
      </c>
      <c r="U52" s="155"/>
      <c r="V52" s="156">
        <v>588902</v>
      </c>
      <c r="W52" s="161"/>
      <c r="X52" s="157"/>
      <c r="Y52" s="157"/>
    </row>
    <row r="53" spans="2:25" s="158" customFormat="1" ht="12" customHeight="1" x14ac:dyDescent="0.2">
      <c r="B53" s="147" t="s">
        <v>80</v>
      </c>
      <c r="C53" s="148" t="s">
        <v>89</v>
      </c>
      <c r="D53" s="148" t="s">
        <v>86</v>
      </c>
      <c r="E53" s="149">
        <v>36923</v>
      </c>
      <c r="F53" s="149">
        <v>36950</v>
      </c>
      <c r="G53" s="147" t="s">
        <v>70</v>
      </c>
      <c r="H53" s="147" t="s">
        <v>70</v>
      </c>
      <c r="I53" s="148" t="s">
        <v>57</v>
      </c>
      <c r="J53" s="151">
        <f>4.75/J1</f>
        <v>0.15322580645161291</v>
      </c>
      <c r="K53" s="152"/>
      <c r="L53" s="152"/>
      <c r="M53" s="152"/>
      <c r="N53" s="152"/>
      <c r="O53" s="153"/>
      <c r="P53" s="152"/>
      <c r="Q53" s="154" t="s">
        <v>114</v>
      </c>
      <c r="R53" s="148">
        <v>176</v>
      </c>
      <c r="S53" s="162" t="s">
        <v>290</v>
      </c>
      <c r="T53" s="155">
        <f>+J53*R53*31</f>
        <v>836</v>
      </c>
      <c r="U53" s="155"/>
      <c r="V53" s="156">
        <v>588866</v>
      </c>
      <c r="W53" s="161"/>
      <c r="X53" s="157"/>
      <c r="Y53" s="157"/>
    </row>
    <row r="54" spans="2:25" s="158" customFormat="1" ht="12" customHeight="1" x14ac:dyDescent="0.2">
      <c r="B54" s="147" t="s">
        <v>80</v>
      </c>
      <c r="C54" s="148" t="s">
        <v>89</v>
      </c>
      <c r="D54" s="148" t="s">
        <v>86</v>
      </c>
      <c r="E54" s="149">
        <v>11355</v>
      </c>
      <c r="F54" s="149">
        <v>36950</v>
      </c>
      <c r="G54" s="147" t="s">
        <v>70</v>
      </c>
      <c r="H54" s="147" t="s">
        <v>70</v>
      </c>
      <c r="I54" s="148" t="s">
        <v>57</v>
      </c>
      <c r="J54" s="151">
        <f>4.75/J1</f>
        <v>0.15322580645161291</v>
      </c>
      <c r="K54" s="152"/>
      <c r="L54" s="152"/>
      <c r="M54" s="152"/>
      <c r="N54" s="152"/>
      <c r="O54" s="153"/>
      <c r="P54" s="152"/>
      <c r="Q54" s="154" t="s">
        <v>114</v>
      </c>
      <c r="R54" s="148">
        <v>5</v>
      </c>
      <c r="S54" s="150" t="s">
        <v>287</v>
      </c>
      <c r="T54" s="155">
        <f>J54*J$1*R54</f>
        <v>23.75</v>
      </c>
      <c r="U54" s="155"/>
      <c r="V54" s="156">
        <v>588858</v>
      </c>
      <c r="W54" s="161"/>
      <c r="X54" s="157"/>
      <c r="Y54" s="157"/>
    </row>
    <row r="55" spans="2:25" s="158" customFormat="1" ht="12" customHeight="1" x14ac:dyDescent="0.2">
      <c r="B55" s="147" t="s">
        <v>80</v>
      </c>
      <c r="C55" s="148" t="s">
        <v>89</v>
      </c>
      <c r="D55" s="148" t="s">
        <v>86</v>
      </c>
      <c r="E55" s="149">
        <v>11355</v>
      </c>
      <c r="F55" s="149">
        <v>37134</v>
      </c>
      <c r="G55" s="147" t="s">
        <v>70</v>
      </c>
      <c r="H55" s="147" t="s">
        <v>70</v>
      </c>
      <c r="I55" s="148" t="s">
        <v>57</v>
      </c>
      <c r="J55" s="151">
        <f>4.75/J1</f>
        <v>0.15322580645161291</v>
      </c>
      <c r="K55" s="152"/>
      <c r="L55" s="152"/>
      <c r="M55" s="152"/>
      <c r="N55" s="152"/>
      <c r="O55" s="153"/>
      <c r="P55" s="152"/>
      <c r="Q55" s="154" t="s">
        <v>114</v>
      </c>
      <c r="R55" s="148">
        <v>411</v>
      </c>
      <c r="S55" s="150" t="s">
        <v>286</v>
      </c>
      <c r="T55" s="155">
        <f>J55*J$1*R55</f>
        <v>1952.25</v>
      </c>
      <c r="U55" s="155"/>
      <c r="V55" s="156">
        <v>588951</v>
      </c>
      <c r="W55" s="161"/>
      <c r="X55" s="157"/>
      <c r="Y55" s="157"/>
    </row>
    <row r="56" spans="2:25" s="58" customFormat="1" ht="12" customHeight="1" x14ac:dyDescent="0.2">
      <c r="B56" s="1"/>
      <c r="C56" s="3"/>
      <c r="D56" s="3"/>
      <c r="E56" s="4"/>
      <c r="F56" s="4"/>
      <c r="G56" s="1"/>
      <c r="H56" s="1"/>
      <c r="I56" s="3"/>
      <c r="J56" s="8"/>
      <c r="K56" s="5"/>
      <c r="L56" s="5"/>
      <c r="M56" s="5"/>
      <c r="N56" s="5"/>
      <c r="O56" s="41"/>
      <c r="P56" s="5"/>
      <c r="Q56" s="24"/>
      <c r="R56" s="3">
        <f>SUM(R41:R55)</f>
        <v>37687</v>
      </c>
      <c r="S56" s="1"/>
      <c r="T56" s="9"/>
      <c r="U56" s="9"/>
      <c r="V56" s="54"/>
      <c r="W56" s="1"/>
      <c r="X56" s="36"/>
      <c r="Y56" s="36"/>
    </row>
    <row r="57" spans="2:25" s="58" customFormat="1" x14ac:dyDescent="0.2">
      <c r="B57" s="1"/>
      <c r="C57" s="3"/>
      <c r="D57" s="3"/>
      <c r="E57" s="4"/>
      <c r="F57" s="4"/>
      <c r="G57" s="29"/>
      <c r="H57" s="29"/>
      <c r="I57" s="3"/>
      <c r="J57" s="8"/>
      <c r="K57" s="5"/>
      <c r="L57" s="5"/>
      <c r="M57" s="5"/>
      <c r="N57" s="5"/>
      <c r="O57" s="41"/>
      <c r="P57" s="5"/>
      <c r="Q57" s="24"/>
      <c r="R57" s="3"/>
      <c r="S57" s="1"/>
      <c r="T57" s="9">
        <f>SUM(T29:T56)</f>
        <v>440891.19862304162</v>
      </c>
      <c r="U57" s="9"/>
      <c r="V57" s="54"/>
      <c r="W57" s="1"/>
      <c r="X57" s="36"/>
      <c r="Y57" s="36"/>
    </row>
    <row r="58" spans="2:25" x14ac:dyDescent="0.2">
      <c r="B58" s="16" t="s">
        <v>7</v>
      </c>
      <c r="C58" s="17" t="s">
        <v>8</v>
      </c>
      <c r="D58" s="17" t="s">
        <v>9</v>
      </c>
      <c r="E58" s="18" t="s">
        <v>10</v>
      </c>
      <c r="F58" s="18"/>
      <c r="G58" s="16" t="s">
        <v>11</v>
      </c>
      <c r="H58" s="16" t="s">
        <v>12</v>
      </c>
      <c r="I58" s="17" t="s">
        <v>39</v>
      </c>
      <c r="J58" s="19" t="s">
        <v>13</v>
      </c>
      <c r="K58" s="17" t="s">
        <v>14</v>
      </c>
      <c r="L58" s="17" t="s">
        <v>15</v>
      </c>
      <c r="M58" s="17" t="s">
        <v>16</v>
      </c>
      <c r="N58" s="17" t="s">
        <v>17</v>
      </c>
      <c r="O58" s="42" t="s">
        <v>18</v>
      </c>
      <c r="P58" s="17" t="s">
        <v>19</v>
      </c>
      <c r="Q58" s="20" t="s">
        <v>78</v>
      </c>
      <c r="R58" s="17" t="s">
        <v>20</v>
      </c>
      <c r="S58" s="16" t="s">
        <v>21</v>
      </c>
      <c r="T58" s="21" t="s">
        <v>38</v>
      </c>
      <c r="U58" s="21" t="s">
        <v>37</v>
      </c>
      <c r="V58" s="52" t="s">
        <v>79</v>
      </c>
      <c r="W58" s="56" t="e">
        <f>+#REF!</f>
        <v>#REF!</v>
      </c>
      <c r="X58" s="36"/>
      <c r="Y58" s="36"/>
    </row>
    <row r="59" spans="2:25" x14ac:dyDescent="0.2">
      <c r="B59" s="1"/>
      <c r="C59" s="3"/>
      <c r="D59" s="3"/>
      <c r="E59" s="4"/>
      <c r="F59" s="4"/>
      <c r="G59" s="1"/>
      <c r="H59" s="1"/>
      <c r="I59" s="3"/>
      <c r="J59" s="8"/>
      <c r="K59" s="5"/>
      <c r="L59" s="23"/>
      <c r="M59" s="5"/>
      <c r="N59" s="5"/>
      <c r="O59" s="41"/>
      <c r="P59" s="5"/>
      <c r="Q59" s="24"/>
      <c r="R59" s="2"/>
      <c r="S59" s="3"/>
      <c r="T59" s="9"/>
      <c r="U59" s="9"/>
      <c r="V59" s="54"/>
      <c r="W59" s="1"/>
      <c r="X59" s="36"/>
      <c r="Y59" s="36"/>
    </row>
    <row r="60" spans="2:25" x14ac:dyDescent="0.2">
      <c r="B60" s="1"/>
      <c r="C60" s="3"/>
      <c r="D60" s="3"/>
      <c r="E60" s="4"/>
      <c r="F60" s="4"/>
      <c r="G60" s="1"/>
      <c r="H60" s="1"/>
      <c r="I60" s="3"/>
      <c r="J60" s="8"/>
      <c r="K60" s="5"/>
      <c r="L60" s="23"/>
      <c r="M60" s="5"/>
      <c r="N60" s="5"/>
      <c r="O60" s="44"/>
      <c r="P60" s="5"/>
      <c r="Q60" s="24"/>
      <c r="R60" s="3"/>
      <c r="S60" s="3"/>
      <c r="T60" s="65">
        <f>SUM(T59:T59)</f>
        <v>0</v>
      </c>
      <c r="W60" s="29"/>
      <c r="X60" s="37"/>
      <c r="Y60" s="37"/>
    </row>
    <row r="61" spans="2:25" ht="11.25" customHeight="1" x14ac:dyDescent="0.2">
      <c r="B61" s="16" t="s">
        <v>7</v>
      </c>
      <c r="C61" s="17" t="s">
        <v>8</v>
      </c>
      <c r="D61" s="17" t="s">
        <v>9</v>
      </c>
      <c r="E61" s="18" t="s">
        <v>10</v>
      </c>
      <c r="F61" s="18"/>
      <c r="G61" s="16" t="s">
        <v>11</v>
      </c>
      <c r="H61" s="16" t="s">
        <v>12</v>
      </c>
      <c r="I61" s="17" t="s">
        <v>39</v>
      </c>
      <c r="J61" s="19" t="s">
        <v>13</v>
      </c>
      <c r="K61" s="17" t="s">
        <v>14</v>
      </c>
      <c r="L61" s="17" t="s">
        <v>15</v>
      </c>
      <c r="M61" s="17" t="s">
        <v>16</v>
      </c>
      <c r="N61" s="17" t="s">
        <v>17</v>
      </c>
      <c r="O61" s="42" t="s">
        <v>18</v>
      </c>
      <c r="P61" s="17" t="s">
        <v>19</v>
      </c>
      <c r="Q61" s="20" t="s">
        <v>78</v>
      </c>
      <c r="R61" s="17" t="s">
        <v>20</v>
      </c>
      <c r="S61" s="16" t="s">
        <v>21</v>
      </c>
      <c r="T61" s="21" t="s">
        <v>38</v>
      </c>
      <c r="U61" s="21" t="s">
        <v>37</v>
      </c>
      <c r="V61" s="52" t="s">
        <v>79</v>
      </c>
      <c r="W61" s="56" t="e">
        <f>+#REF!</f>
        <v>#REF!</v>
      </c>
      <c r="X61" s="36"/>
      <c r="Y61" s="36"/>
    </row>
    <row r="62" spans="2:25" s="88" customFormat="1" x14ac:dyDescent="0.2">
      <c r="B62" s="79" t="s">
        <v>80</v>
      </c>
      <c r="C62" s="80" t="s">
        <v>5</v>
      </c>
      <c r="D62" s="80" t="s">
        <v>54</v>
      </c>
      <c r="E62" s="81">
        <v>36923</v>
      </c>
      <c r="F62" s="81">
        <v>36950</v>
      </c>
      <c r="G62" s="79" t="s">
        <v>25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ref="P62:P88" si="4">SUM(J62:N62)</f>
        <v>0.2426967741935484</v>
      </c>
      <c r="Q62" s="95">
        <v>3.8056999999999999</v>
      </c>
      <c r="R62" s="80">
        <v>1</v>
      </c>
      <c r="S62" s="79" t="s">
        <v>269</v>
      </c>
      <c r="T62" s="86">
        <f t="shared" ref="T62:T89" si="5">J62*J$1*R62</f>
        <v>7.4554</v>
      </c>
      <c r="U62" s="86"/>
      <c r="V62" s="96">
        <v>588455</v>
      </c>
      <c r="W62" s="79"/>
      <c r="X62" s="87"/>
      <c r="Y62" s="87"/>
    </row>
    <row r="63" spans="2:25" s="88" customFormat="1" x14ac:dyDescent="0.2">
      <c r="B63" s="79" t="s">
        <v>80</v>
      </c>
      <c r="C63" s="80" t="s">
        <v>5</v>
      </c>
      <c r="D63" s="80" t="s">
        <v>54</v>
      </c>
      <c r="E63" s="81">
        <v>36923</v>
      </c>
      <c r="F63" s="81">
        <v>36950</v>
      </c>
      <c r="G63" s="79" t="s">
        <v>59</v>
      </c>
      <c r="H63" s="85" t="s">
        <v>61</v>
      </c>
      <c r="I63" s="80" t="s">
        <v>58</v>
      </c>
      <c r="J63" s="78">
        <f>+J62</f>
        <v>0.2404967741935484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 t="shared" si="4"/>
        <v>0.2426967741935484</v>
      </c>
      <c r="Q63" s="95">
        <f>+Q62</f>
        <v>3.8056999999999999</v>
      </c>
      <c r="R63" s="80">
        <v>1</v>
      </c>
      <c r="S63" s="79" t="str">
        <f>+S62</f>
        <v>#022556</v>
      </c>
      <c r="T63" s="86">
        <f t="shared" si="5"/>
        <v>7.4554</v>
      </c>
      <c r="U63" s="86"/>
      <c r="V63" s="96">
        <f>+V62</f>
        <v>588455</v>
      </c>
      <c r="W63" s="79"/>
      <c r="X63" s="87"/>
      <c r="Y63" s="87"/>
    </row>
    <row r="64" spans="2:25" s="88" customFormat="1" x14ac:dyDescent="0.2">
      <c r="B64" s="79" t="s">
        <v>80</v>
      </c>
      <c r="C64" s="80" t="s">
        <v>5</v>
      </c>
      <c r="D64" s="80" t="s">
        <v>54</v>
      </c>
      <c r="E64" s="81">
        <v>36923</v>
      </c>
      <c r="F64" s="81">
        <v>36950</v>
      </c>
      <c r="G64" s="79" t="s">
        <v>60</v>
      </c>
      <c r="H64" s="85" t="s">
        <v>61</v>
      </c>
      <c r="I64" s="80" t="s">
        <v>58</v>
      </c>
      <c r="J64" s="78">
        <f>+J63</f>
        <v>0.2404967741935484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 t="shared" si="4"/>
        <v>0.2426967741935484</v>
      </c>
      <c r="Q64" s="95">
        <f>+Q63</f>
        <v>3.8056999999999999</v>
      </c>
      <c r="R64" s="80">
        <v>2</v>
      </c>
      <c r="S64" s="79" t="str">
        <f>+S63</f>
        <v>#022556</v>
      </c>
      <c r="T64" s="86">
        <f t="shared" si="5"/>
        <v>14.9108</v>
      </c>
      <c r="U64" s="86"/>
      <c r="V64" s="96">
        <f>+V63</f>
        <v>588455</v>
      </c>
      <c r="W64" s="79"/>
      <c r="X64" s="87"/>
      <c r="Y64" s="87"/>
    </row>
    <row r="65" spans="2:25" s="88" customFormat="1" x14ac:dyDescent="0.2">
      <c r="B65" s="79" t="s">
        <v>80</v>
      </c>
      <c r="C65" s="80" t="s">
        <v>5</v>
      </c>
      <c r="D65" s="80" t="s">
        <v>54</v>
      </c>
      <c r="E65" s="81">
        <v>36923</v>
      </c>
      <c r="F65" s="81">
        <v>37864</v>
      </c>
      <c r="G65" s="79" t="s">
        <v>25</v>
      </c>
      <c r="H65" s="85" t="s">
        <v>61</v>
      </c>
      <c r="I65" s="80" t="s">
        <v>58</v>
      </c>
      <c r="J65" s="78">
        <f>7.4554/J$1</f>
        <v>0.2404967741935484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 t="shared" si="4"/>
        <v>0.2426967741935484</v>
      </c>
      <c r="Q65" s="95">
        <v>3.7955999999999999</v>
      </c>
      <c r="R65" s="91">
        <v>45</v>
      </c>
      <c r="S65" s="79" t="s">
        <v>270</v>
      </c>
      <c r="T65" s="86">
        <f t="shared" si="5"/>
        <v>335.49299999999999</v>
      </c>
      <c r="U65" s="86"/>
      <c r="V65" s="96">
        <v>588404</v>
      </c>
      <c r="W65" s="79" t="s">
        <v>167</v>
      </c>
      <c r="X65" s="87"/>
      <c r="Y65" s="87"/>
    </row>
    <row r="66" spans="2:25" s="88" customFormat="1" x14ac:dyDescent="0.2">
      <c r="B66" s="79" t="s">
        <v>80</v>
      </c>
      <c r="C66" s="80" t="s">
        <v>5</v>
      </c>
      <c r="D66" s="80" t="s">
        <v>54</v>
      </c>
      <c r="E66" s="81">
        <v>36923</v>
      </c>
      <c r="F66" s="81">
        <f>+F65</f>
        <v>37864</v>
      </c>
      <c r="G66" s="79" t="s">
        <v>59</v>
      </c>
      <c r="H66" s="85" t="s">
        <v>61</v>
      </c>
      <c r="I66" s="80" t="s">
        <v>58</v>
      </c>
      <c r="J66" s="78">
        <f>7.5654/J$1</f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 t="shared" si="4"/>
        <v>0.24624516129032259</v>
      </c>
      <c r="Q66" s="95">
        <f>+Q65</f>
        <v>3.7955999999999999</v>
      </c>
      <c r="R66" s="80">
        <v>67</v>
      </c>
      <c r="S66" s="79" t="str">
        <f>+S65</f>
        <v>#022607</v>
      </c>
      <c r="T66" s="86">
        <f t="shared" si="5"/>
        <v>506.8818</v>
      </c>
      <c r="U66" s="86"/>
      <c r="V66" s="96">
        <f>+V65</f>
        <v>588404</v>
      </c>
      <c r="W66" s="79" t="s">
        <v>167</v>
      </c>
      <c r="X66" s="87"/>
      <c r="Y66" s="87"/>
    </row>
    <row r="67" spans="2:25" s="88" customFormat="1" x14ac:dyDescent="0.2">
      <c r="B67" s="79" t="s">
        <v>80</v>
      </c>
      <c r="C67" s="80" t="s">
        <v>5</v>
      </c>
      <c r="D67" s="80" t="s">
        <v>54</v>
      </c>
      <c r="E67" s="81">
        <v>36923</v>
      </c>
      <c r="F67" s="81">
        <f>+F66</f>
        <v>37864</v>
      </c>
      <c r="G67" s="79" t="s">
        <v>60</v>
      </c>
      <c r="H67" s="85" t="s">
        <v>61</v>
      </c>
      <c r="I67" s="80" t="s">
        <v>58</v>
      </c>
      <c r="J67" s="78">
        <f>7.5654/J$1</f>
        <v>0.24404516129032258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4"/>
        <v>0.24624516129032259</v>
      </c>
      <c r="Q67" s="95">
        <f>+Q66</f>
        <v>3.7955999999999999</v>
      </c>
      <c r="R67" s="80">
        <f>51+104</f>
        <v>155</v>
      </c>
      <c r="S67" s="79" t="str">
        <f>+S66</f>
        <v>#022607</v>
      </c>
      <c r="T67" s="86">
        <f t="shared" si="5"/>
        <v>1172.6369999999999</v>
      </c>
      <c r="U67" s="86"/>
      <c r="V67" s="96">
        <f>+V66</f>
        <v>588404</v>
      </c>
      <c r="W67" s="79" t="s">
        <v>167</v>
      </c>
      <c r="X67" s="87"/>
      <c r="Y67" s="87"/>
    </row>
    <row r="68" spans="2:25" s="88" customFormat="1" x14ac:dyDescent="0.2">
      <c r="B68" s="79" t="s">
        <v>80</v>
      </c>
      <c r="C68" s="80" t="s">
        <v>5</v>
      </c>
      <c r="D68" s="80" t="s">
        <v>54</v>
      </c>
      <c r="E68" s="81">
        <v>36923</v>
      </c>
      <c r="F68" s="81">
        <v>36950</v>
      </c>
      <c r="G68" s="79" t="s">
        <v>25</v>
      </c>
      <c r="H68" s="85" t="s">
        <v>61</v>
      </c>
      <c r="I68" s="80" t="s">
        <v>58</v>
      </c>
      <c r="J68" s="78">
        <f>7.4554/J$1</f>
        <v>0.2404967741935484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si="4"/>
        <v>0.2426967741935484</v>
      </c>
      <c r="Q68" s="95">
        <v>3.8052000000000001</v>
      </c>
      <c r="R68" s="91">
        <v>1</v>
      </c>
      <c r="S68" s="79" t="s">
        <v>271</v>
      </c>
      <c r="T68" s="86">
        <f t="shared" si="5"/>
        <v>7.4554</v>
      </c>
      <c r="U68" s="86"/>
      <c r="V68" s="96">
        <v>588381</v>
      </c>
      <c r="W68" s="79"/>
      <c r="X68" s="87"/>
      <c r="Y68" s="87"/>
    </row>
    <row r="69" spans="2:25" s="88" customFormat="1" x14ac:dyDescent="0.2">
      <c r="B69" s="79" t="s">
        <v>80</v>
      </c>
      <c r="C69" s="80" t="s">
        <v>5</v>
      </c>
      <c r="D69" s="80" t="s">
        <v>54</v>
      </c>
      <c r="E69" s="81">
        <v>36923</v>
      </c>
      <c r="F69" s="81">
        <v>36950</v>
      </c>
      <c r="G69" s="79" t="s">
        <v>59</v>
      </c>
      <c r="H69" s="85" t="s">
        <v>61</v>
      </c>
      <c r="I69" s="80" t="s">
        <v>58</v>
      </c>
      <c r="J69" s="78">
        <f>7.4554/J$1</f>
        <v>0.2404967741935484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4"/>
        <v>0.2426967741935484</v>
      </c>
      <c r="Q69" s="95">
        <f>+Q68</f>
        <v>3.8052000000000001</v>
      </c>
      <c r="R69" s="80">
        <v>1</v>
      </c>
      <c r="S69" s="79" t="str">
        <f>+S68</f>
        <v>#022561</v>
      </c>
      <c r="T69" s="86">
        <f t="shared" si="5"/>
        <v>7.4554</v>
      </c>
      <c r="U69" s="86"/>
      <c r="V69" s="96">
        <f>+V68</f>
        <v>588381</v>
      </c>
      <c r="W69" s="79"/>
      <c r="X69" s="87"/>
      <c r="Y69" s="87"/>
    </row>
    <row r="70" spans="2:25" s="88" customFormat="1" x14ac:dyDescent="0.2">
      <c r="B70" s="79" t="s">
        <v>80</v>
      </c>
      <c r="C70" s="80" t="s">
        <v>5</v>
      </c>
      <c r="D70" s="80" t="s">
        <v>54</v>
      </c>
      <c r="E70" s="81">
        <v>36923</v>
      </c>
      <c r="F70" s="81">
        <v>36950</v>
      </c>
      <c r="G70" s="79" t="s">
        <v>60</v>
      </c>
      <c r="H70" s="85" t="s">
        <v>61</v>
      </c>
      <c r="I70" s="80" t="s">
        <v>58</v>
      </c>
      <c r="J70" s="78">
        <f>7.4554/J$1</f>
        <v>0.2404967741935484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4"/>
        <v>0.2426967741935484</v>
      </c>
      <c r="Q70" s="95">
        <f>+Q69</f>
        <v>3.8052000000000001</v>
      </c>
      <c r="R70" s="80">
        <v>2</v>
      </c>
      <c r="S70" s="79" t="str">
        <f>+S69</f>
        <v>#022561</v>
      </c>
      <c r="T70" s="86">
        <f t="shared" si="5"/>
        <v>14.9108</v>
      </c>
      <c r="U70" s="86"/>
      <c r="V70" s="96">
        <f>+V69</f>
        <v>588381</v>
      </c>
      <c r="W70" s="79"/>
      <c r="X70" s="87"/>
      <c r="Y70" s="87"/>
    </row>
    <row r="71" spans="2:25" s="88" customFormat="1" x14ac:dyDescent="0.2">
      <c r="B71" s="79" t="s">
        <v>80</v>
      </c>
      <c r="C71" s="80" t="s">
        <v>5</v>
      </c>
      <c r="D71" s="80" t="s">
        <v>54</v>
      </c>
      <c r="E71" s="81">
        <v>36923</v>
      </c>
      <c r="F71" s="81">
        <v>36950</v>
      </c>
      <c r="G71" s="79" t="s">
        <v>25</v>
      </c>
      <c r="H71" s="85" t="s">
        <v>61</v>
      </c>
      <c r="I71" s="80" t="s">
        <v>58</v>
      </c>
      <c r="J71" s="78">
        <f>7.4554/J$1</f>
        <v>0.2404967741935484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4"/>
        <v>0.2426967741935484</v>
      </c>
      <c r="Q71" s="95">
        <v>3.802</v>
      </c>
      <c r="R71" s="80">
        <v>322</v>
      </c>
      <c r="S71" s="79" t="s">
        <v>275</v>
      </c>
      <c r="T71" s="86">
        <f t="shared" si="5"/>
        <v>2400.6388000000002</v>
      </c>
      <c r="U71" s="86"/>
      <c r="V71" s="96">
        <v>587532</v>
      </c>
      <c r="W71" s="79"/>
      <c r="X71" s="87"/>
      <c r="Y71" s="87"/>
    </row>
    <row r="72" spans="2:25" s="88" customFormat="1" x14ac:dyDescent="0.2">
      <c r="B72" s="79" t="s">
        <v>80</v>
      </c>
      <c r="C72" s="80" t="s">
        <v>5</v>
      </c>
      <c r="D72" s="80" t="s">
        <v>54</v>
      </c>
      <c r="E72" s="81">
        <v>36923</v>
      </c>
      <c r="F72" s="81">
        <v>36950</v>
      </c>
      <c r="G72" s="79" t="s">
        <v>59</v>
      </c>
      <c r="H72" s="85" t="s">
        <v>61</v>
      </c>
      <c r="I72" s="80" t="s">
        <v>58</v>
      </c>
      <c r="J72" s="78">
        <f>+J71</f>
        <v>0.2404967741935484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4"/>
        <v>0.2426967741935484</v>
      </c>
      <c r="Q72" s="95">
        <f>+Q71</f>
        <v>3.802</v>
      </c>
      <c r="R72" s="80">
        <v>473</v>
      </c>
      <c r="S72" s="79" t="str">
        <f>+S71</f>
        <v>#022612</v>
      </c>
      <c r="T72" s="86">
        <f t="shared" si="5"/>
        <v>3526.4041999999999</v>
      </c>
      <c r="U72" s="86"/>
      <c r="V72" s="96">
        <f>+V71</f>
        <v>587532</v>
      </c>
      <c r="W72" s="79"/>
      <c r="X72" s="87"/>
      <c r="Y72" s="87"/>
    </row>
    <row r="73" spans="2:25" s="88" customFormat="1" x14ac:dyDescent="0.2">
      <c r="B73" s="79" t="s">
        <v>80</v>
      </c>
      <c r="C73" s="80" t="s">
        <v>5</v>
      </c>
      <c r="D73" s="80" t="s">
        <v>54</v>
      </c>
      <c r="E73" s="81">
        <v>36923</v>
      </c>
      <c r="F73" s="81">
        <v>36950</v>
      </c>
      <c r="G73" s="79" t="s">
        <v>60</v>
      </c>
      <c r="H73" s="85" t="s">
        <v>61</v>
      </c>
      <c r="I73" s="80" t="s">
        <v>58</v>
      </c>
      <c r="J73" s="78">
        <f>+J72</f>
        <v>0.2404967741935484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4"/>
        <v>0.2426967741935484</v>
      </c>
      <c r="Q73" s="95">
        <f>+Q72</f>
        <v>3.802</v>
      </c>
      <c r="R73" s="80">
        <f>359+738</f>
        <v>1097</v>
      </c>
      <c r="S73" s="79" t="str">
        <f>+S72</f>
        <v>#022612</v>
      </c>
      <c r="T73" s="86">
        <f t="shared" si="5"/>
        <v>8178.5738000000001</v>
      </c>
      <c r="U73" s="86"/>
      <c r="V73" s="96">
        <f>+V72</f>
        <v>587532</v>
      </c>
      <c r="W73" s="79"/>
      <c r="X73" s="87"/>
      <c r="Y73" s="87"/>
    </row>
    <row r="74" spans="2:25" s="88" customFormat="1" x14ac:dyDescent="0.2">
      <c r="B74" s="79" t="s">
        <v>80</v>
      </c>
      <c r="C74" s="80" t="s">
        <v>5</v>
      </c>
      <c r="D74" s="80" t="s">
        <v>54</v>
      </c>
      <c r="E74" s="81">
        <v>36923</v>
      </c>
      <c r="F74" s="81">
        <v>36950</v>
      </c>
      <c r="G74" s="79" t="s">
        <v>25</v>
      </c>
      <c r="H74" s="85" t="s">
        <v>61</v>
      </c>
      <c r="I74" s="80" t="s">
        <v>58</v>
      </c>
      <c r="J74" s="78">
        <f>7.4554/J$1</f>
        <v>0.2404967741935484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4"/>
        <v>0.2426967741935484</v>
      </c>
      <c r="Q74" s="95">
        <v>3.8016999999999999</v>
      </c>
      <c r="R74" s="80">
        <v>47</v>
      </c>
      <c r="S74" s="79" t="s">
        <v>274</v>
      </c>
      <c r="T74" s="86">
        <f t="shared" si="5"/>
        <v>350.40379999999999</v>
      </c>
      <c r="U74" s="86"/>
      <c r="V74" s="96">
        <v>588050</v>
      </c>
      <c r="W74" s="79"/>
      <c r="X74" s="87"/>
      <c r="Y74" s="87"/>
    </row>
    <row r="75" spans="2:25" s="88" customFormat="1" x14ac:dyDescent="0.2">
      <c r="B75" s="79" t="s">
        <v>80</v>
      </c>
      <c r="C75" s="80" t="s">
        <v>5</v>
      </c>
      <c r="D75" s="80" t="s">
        <v>54</v>
      </c>
      <c r="E75" s="81">
        <v>36923</v>
      </c>
      <c r="F75" s="81">
        <v>36950</v>
      </c>
      <c r="G75" s="79" t="s">
        <v>59</v>
      </c>
      <c r="H75" s="85" t="s">
        <v>61</v>
      </c>
      <c r="I75" s="80" t="s">
        <v>58</v>
      </c>
      <c r="J75" s="78">
        <f>+J74</f>
        <v>0.2404967741935484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4"/>
        <v>0.2426967741935484</v>
      </c>
      <c r="Q75" s="95">
        <f>+Q74</f>
        <v>3.8016999999999999</v>
      </c>
      <c r="R75" s="80">
        <v>69</v>
      </c>
      <c r="S75" s="79" t="str">
        <f>+S74</f>
        <v>#022616</v>
      </c>
      <c r="T75" s="86">
        <f t="shared" si="5"/>
        <v>514.42259999999999</v>
      </c>
      <c r="U75" s="86"/>
      <c r="V75" s="96">
        <f>+V74</f>
        <v>588050</v>
      </c>
      <c r="W75" s="79"/>
      <c r="X75" s="87"/>
      <c r="Y75" s="87"/>
    </row>
    <row r="76" spans="2:25" s="88" customFormat="1" x14ac:dyDescent="0.2">
      <c r="B76" s="79" t="s">
        <v>80</v>
      </c>
      <c r="C76" s="80" t="s">
        <v>5</v>
      </c>
      <c r="D76" s="80" t="s">
        <v>54</v>
      </c>
      <c r="E76" s="81">
        <v>36923</v>
      </c>
      <c r="F76" s="81">
        <v>36950</v>
      </c>
      <c r="G76" s="79" t="s">
        <v>60</v>
      </c>
      <c r="H76" s="85" t="s">
        <v>61</v>
      </c>
      <c r="I76" s="80" t="s">
        <v>58</v>
      </c>
      <c r="J76" s="78">
        <f>+J75</f>
        <v>0.2404967741935484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4"/>
        <v>0.2426967741935484</v>
      </c>
      <c r="Q76" s="95">
        <f>+Q75</f>
        <v>3.8016999999999999</v>
      </c>
      <c r="R76" s="80">
        <f>53+108</f>
        <v>161</v>
      </c>
      <c r="S76" s="79" t="str">
        <f>+S75</f>
        <v>#022616</v>
      </c>
      <c r="T76" s="86">
        <f t="shared" si="5"/>
        <v>1200.3194000000001</v>
      </c>
      <c r="U76" s="86"/>
      <c r="V76" s="96">
        <f>+V75</f>
        <v>588050</v>
      </c>
      <c r="W76" s="79"/>
      <c r="X76" s="87"/>
      <c r="Y76" s="87"/>
    </row>
    <row r="77" spans="2:25" s="88" customFormat="1" x14ac:dyDescent="0.2">
      <c r="B77" s="79" t="s">
        <v>80</v>
      </c>
      <c r="C77" s="80" t="s">
        <v>5</v>
      </c>
      <c r="D77" s="80" t="s">
        <v>54</v>
      </c>
      <c r="E77" s="81">
        <v>36923</v>
      </c>
      <c r="F77" s="81">
        <v>36950</v>
      </c>
      <c r="G77" s="79" t="s">
        <v>25</v>
      </c>
      <c r="H77" s="85" t="s">
        <v>61</v>
      </c>
      <c r="I77" s="80" t="s">
        <v>58</v>
      </c>
      <c r="J77" s="78">
        <f>7.4554/J$1</f>
        <v>0.2404967741935484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4"/>
        <v>0.2426967741935484</v>
      </c>
      <c r="Q77" s="95">
        <v>3.8022</v>
      </c>
      <c r="R77" s="80">
        <v>20</v>
      </c>
      <c r="S77" s="79" t="s">
        <v>273</v>
      </c>
      <c r="T77" s="86">
        <f t="shared" si="5"/>
        <v>149.108</v>
      </c>
      <c r="U77" s="86"/>
      <c r="V77" s="96">
        <v>588294</v>
      </c>
      <c r="W77" s="79"/>
      <c r="X77" s="87"/>
      <c r="Y77" s="87"/>
    </row>
    <row r="78" spans="2:25" s="88" customFormat="1" x14ac:dyDescent="0.2">
      <c r="B78" s="79" t="s">
        <v>80</v>
      </c>
      <c r="C78" s="80" t="s">
        <v>5</v>
      </c>
      <c r="D78" s="80" t="s">
        <v>54</v>
      </c>
      <c r="E78" s="81">
        <v>36923</v>
      </c>
      <c r="F78" s="81">
        <v>36950</v>
      </c>
      <c r="G78" s="79" t="s">
        <v>59</v>
      </c>
      <c r="H78" s="85" t="s">
        <v>61</v>
      </c>
      <c r="I78" s="80" t="s">
        <v>58</v>
      </c>
      <c r="J78" s="78">
        <f>+J77</f>
        <v>0.2404967741935484</v>
      </c>
      <c r="K78" s="82">
        <v>0</v>
      </c>
      <c r="L78" s="82">
        <v>2.2000000000000001E-3</v>
      </c>
      <c r="M78" s="82">
        <v>0</v>
      </c>
      <c r="N78" s="82">
        <v>0</v>
      </c>
      <c r="O78" s="83">
        <v>0</v>
      </c>
      <c r="P78" s="82">
        <f t="shared" si="4"/>
        <v>0.2426967741935484</v>
      </c>
      <c r="Q78" s="95">
        <f>+Q77</f>
        <v>3.8022</v>
      </c>
      <c r="R78" s="80">
        <v>28</v>
      </c>
      <c r="S78" s="79" t="str">
        <f>+S77</f>
        <v>#022608</v>
      </c>
      <c r="T78" s="86">
        <f t="shared" si="5"/>
        <v>208.75120000000001</v>
      </c>
      <c r="U78" s="86"/>
      <c r="V78" s="96">
        <f>+V77</f>
        <v>588294</v>
      </c>
      <c r="W78" s="79"/>
      <c r="X78" s="87"/>
      <c r="Y78" s="87"/>
    </row>
    <row r="79" spans="2:25" s="88" customFormat="1" x14ac:dyDescent="0.2">
      <c r="B79" s="79" t="s">
        <v>80</v>
      </c>
      <c r="C79" s="80" t="s">
        <v>5</v>
      </c>
      <c r="D79" s="80" t="s">
        <v>54</v>
      </c>
      <c r="E79" s="81">
        <v>36923</v>
      </c>
      <c r="F79" s="81">
        <v>36950</v>
      </c>
      <c r="G79" s="79" t="s">
        <v>60</v>
      </c>
      <c r="H79" s="85" t="s">
        <v>61</v>
      </c>
      <c r="I79" s="80" t="s">
        <v>58</v>
      </c>
      <c r="J79" s="78">
        <f>+J78</f>
        <v>0.2404967741935484</v>
      </c>
      <c r="K79" s="82">
        <v>0</v>
      </c>
      <c r="L79" s="82">
        <v>2.2000000000000001E-3</v>
      </c>
      <c r="M79" s="82">
        <v>0</v>
      </c>
      <c r="N79" s="82">
        <v>0</v>
      </c>
      <c r="O79" s="83">
        <v>0</v>
      </c>
      <c r="P79" s="82">
        <f t="shared" si="4"/>
        <v>0.2426967741935484</v>
      </c>
      <c r="Q79" s="95">
        <f>+Q78</f>
        <v>3.8022</v>
      </c>
      <c r="R79" s="80">
        <f>22+45</f>
        <v>67</v>
      </c>
      <c r="S79" s="79" t="str">
        <f>+S78</f>
        <v>#022608</v>
      </c>
      <c r="T79" s="86">
        <f t="shared" si="5"/>
        <v>499.51179999999999</v>
      </c>
      <c r="U79" s="86"/>
      <c r="V79" s="96">
        <f>+V78</f>
        <v>588294</v>
      </c>
      <c r="W79" s="79"/>
      <c r="X79" s="87"/>
      <c r="Y79" s="87"/>
    </row>
    <row r="80" spans="2:25" s="88" customFormat="1" x14ac:dyDescent="0.2">
      <c r="B80" s="79" t="s">
        <v>80</v>
      </c>
      <c r="C80" s="80" t="s">
        <v>5</v>
      </c>
      <c r="D80" s="80" t="s">
        <v>54</v>
      </c>
      <c r="E80" s="81">
        <v>36923</v>
      </c>
      <c r="F80" s="81">
        <v>36950</v>
      </c>
      <c r="G80" s="79" t="s">
        <v>60</v>
      </c>
      <c r="H80" s="79" t="s">
        <v>60</v>
      </c>
      <c r="I80" s="80" t="s">
        <v>58</v>
      </c>
      <c r="J80" s="78">
        <f>6.1326/J$1</f>
        <v>0.19782580645161291</v>
      </c>
      <c r="K80" s="82">
        <v>0</v>
      </c>
      <c r="L80" s="82">
        <v>2.2000000000000001E-3</v>
      </c>
      <c r="M80" s="82">
        <v>0</v>
      </c>
      <c r="N80" s="82">
        <v>0</v>
      </c>
      <c r="O80" s="83">
        <v>0</v>
      </c>
      <c r="P80" s="82">
        <f t="shared" si="4"/>
        <v>0.20002580645161291</v>
      </c>
      <c r="Q80" s="95">
        <v>3.8016000000000001</v>
      </c>
      <c r="R80" s="80">
        <v>109</v>
      </c>
      <c r="S80" s="79" t="s">
        <v>276</v>
      </c>
      <c r="T80" s="86">
        <f t="shared" si="5"/>
        <v>668.45339999999999</v>
      </c>
      <c r="U80" s="86"/>
      <c r="V80" s="96">
        <v>587484</v>
      </c>
      <c r="W80" s="79"/>
      <c r="X80" s="87"/>
      <c r="Y80" s="87"/>
    </row>
    <row r="81" spans="2:25" s="88" customFormat="1" x14ac:dyDescent="0.2">
      <c r="B81" s="79" t="s">
        <v>80</v>
      </c>
      <c r="C81" s="80" t="s">
        <v>5</v>
      </c>
      <c r="D81" s="80" t="s">
        <v>54</v>
      </c>
      <c r="E81" s="81">
        <v>36923</v>
      </c>
      <c r="F81" s="81">
        <v>36950</v>
      </c>
      <c r="G81" s="79" t="s">
        <v>60</v>
      </c>
      <c r="H81" s="79" t="s">
        <v>60</v>
      </c>
      <c r="I81" s="80" t="s">
        <v>58</v>
      </c>
      <c r="J81" s="78">
        <f>6.1326/J$1</f>
        <v>0.19782580645161291</v>
      </c>
      <c r="K81" s="82">
        <v>0</v>
      </c>
      <c r="L81" s="82">
        <v>2.2000000000000001E-3</v>
      </c>
      <c r="M81" s="82">
        <v>0</v>
      </c>
      <c r="N81" s="82">
        <v>0</v>
      </c>
      <c r="O81" s="83">
        <v>0</v>
      </c>
      <c r="P81" s="82">
        <f t="shared" si="4"/>
        <v>0.20002580645161291</v>
      </c>
      <c r="Q81" s="95">
        <v>3.8050999999999999</v>
      </c>
      <c r="R81" s="80">
        <v>1</v>
      </c>
      <c r="S81" s="79" t="s">
        <v>280</v>
      </c>
      <c r="T81" s="86">
        <f t="shared" si="5"/>
        <v>6.1326000000000001</v>
      </c>
      <c r="U81" s="86"/>
      <c r="V81" s="96">
        <v>586968</v>
      </c>
      <c r="W81" s="79"/>
      <c r="X81" s="87"/>
      <c r="Y81" s="87"/>
    </row>
    <row r="82" spans="2:25" s="88" customFormat="1" x14ac:dyDescent="0.2">
      <c r="B82" s="79" t="s">
        <v>80</v>
      </c>
      <c r="C82" s="80" t="s">
        <v>5</v>
      </c>
      <c r="D82" s="80" t="s">
        <v>54</v>
      </c>
      <c r="E82" s="81">
        <v>36923</v>
      </c>
      <c r="F82" s="81">
        <v>36950</v>
      </c>
      <c r="G82" s="79" t="s">
        <v>25</v>
      </c>
      <c r="H82" s="85" t="s">
        <v>61</v>
      </c>
      <c r="I82" s="80" t="s">
        <v>58</v>
      </c>
      <c r="J82" s="78">
        <f>7.4554/J$1</f>
        <v>0.2404967741935484</v>
      </c>
      <c r="K82" s="82">
        <v>0</v>
      </c>
      <c r="L82" s="82">
        <v>2.2000000000000001E-3</v>
      </c>
      <c r="M82" s="82">
        <v>0</v>
      </c>
      <c r="N82" s="82">
        <v>0</v>
      </c>
      <c r="O82" s="83">
        <v>0</v>
      </c>
      <c r="P82" s="82">
        <f t="shared" si="4"/>
        <v>0.2426967741935484</v>
      </c>
      <c r="Q82" s="95">
        <v>3.8054999999999999</v>
      </c>
      <c r="R82" s="91">
        <v>13</v>
      </c>
      <c r="S82" s="79" t="s">
        <v>279</v>
      </c>
      <c r="T82" s="86">
        <f t="shared" si="5"/>
        <v>96.920199999999994</v>
      </c>
      <c r="U82" s="86"/>
      <c r="V82" s="96">
        <v>503144</v>
      </c>
      <c r="W82" s="79"/>
      <c r="X82" s="87"/>
      <c r="Y82" s="87"/>
    </row>
    <row r="83" spans="2:25" s="88" customFormat="1" x14ac:dyDescent="0.2">
      <c r="B83" s="79" t="s">
        <v>80</v>
      </c>
      <c r="C83" s="80" t="s">
        <v>5</v>
      </c>
      <c r="D83" s="80" t="s">
        <v>54</v>
      </c>
      <c r="E83" s="81">
        <v>36923</v>
      </c>
      <c r="F83" s="81">
        <v>36950</v>
      </c>
      <c r="G83" s="79" t="s">
        <v>59</v>
      </c>
      <c r="H83" s="85" t="s">
        <v>61</v>
      </c>
      <c r="I83" s="80" t="s">
        <v>58</v>
      </c>
      <c r="J83" s="78">
        <f>+J82</f>
        <v>0.2404967741935484</v>
      </c>
      <c r="K83" s="82">
        <v>0</v>
      </c>
      <c r="L83" s="82">
        <v>2.2000000000000001E-3</v>
      </c>
      <c r="M83" s="82">
        <v>0</v>
      </c>
      <c r="N83" s="82">
        <v>0</v>
      </c>
      <c r="O83" s="83">
        <v>0</v>
      </c>
      <c r="P83" s="82">
        <f t="shared" si="4"/>
        <v>0.2426967741935484</v>
      </c>
      <c r="Q83" s="95">
        <f>+Q82</f>
        <v>3.8054999999999999</v>
      </c>
      <c r="R83" s="80">
        <v>19</v>
      </c>
      <c r="S83" s="79" t="str">
        <f>+S82</f>
        <v>#022558</v>
      </c>
      <c r="T83" s="86">
        <f t="shared" si="5"/>
        <v>141.65260000000001</v>
      </c>
      <c r="U83" s="86"/>
      <c r="V83" s="96">
        <v>503144</v>
      </c>
      <c r="W83" s="79"/>
      <c r="X83" s="87"/>
      <c r="Y83" s="87"/>
    </row>
    <row r="84" spans="2:25" s="88" customFormat="1" x14ac:dyDescent="0.2">
      <c r="B84" s="79" t="s">
        <v>80</v>
      </c>
      <c r="C84" s="80" t="s">
        <v>5</v>
      </c>
      <c r="D84" s="80" t="s">
        <v>54</v>
      </c>
      <c r="E84" s="81">
        <v>36923</v>
      </c>
      <c r="F84" s="81">
        <v>36950</v>
      </c>
      <c r="G84" s="79" t="s">
        <v>60</v>
      </c>
      <c r="H84" s="85" t="s">
        <v>61</v>
      </c>
      <c r="I84" s="80" t="s">
        <v>58</v>
      </c>
      <c r="J84" s="78">
        <f>+J83</f>
        <v>0.2404967741935484</v>
      </c>
      <c r="K84" s="82">
        <v>0</v>
      </c>
      <c r="L84" s="82">
        <v>2.2000000000000001E-3</v>
      </c>
      <c r="M84" s="82">
        <v>0</v>
      </c>
      <c r="N84" s="82">
        <v>0</v>
      </c>
      <c r="O84" s="83">
        <v>0</v>
      </c>
      <c r="P84" s="82">
        <f t="shared" si="4"/>
        <v>0.2426967741935484</v>
      </c>
      <c r="Q84" s="95">
        <f>+Q83</f>
        <v>3.8054999999999999</v>
      </c>
      <c r="R84" s="80">
        <f>14+29</f>
        <v>43</v>
      </c>
      <c r="S84" s="79" t="str">
        <f>+S83</f>
        <v>#022558</v>
      </c>
      <c r="T84" s="86">
        <f t="shared" si="5"/>
        <v>320.5822</v>
      </c>
      <c r="U84" s="86"/>
      <c r="V84" s="96">
        <v>503144</v>
      </c>
      <c r="W84" s="79"/>
      <c r="X84" s="87"/>
      <c r="Y84" s="87"/>
    </row>
    <row r="85" spans="2:25" s="88" customFormat="1" x14ac:dyDescent="0.2">
      <c r="B85" s="79" t="s">
        <v>80</v>
      </c>
      <c r="C85" s="80" t="s">
        <v>5</v>
      </c>
      <c r="D85" s="80" t="s">
        <v>54</v>
      </c>
      <c r="E85" s="81">
        <v>36923</v>
      </c>
      <c r="F85" s="81">
        <v>36950</v>
      </c>
      <c r="G85" s="79" t="s">
        <v>62</v>
      </c>
      <c r="H85" s="85" t="s">
        <v>61</v>
      </c>
      <c r="I85" s="80" t="s">
        <v>63</v>
      </c>
      <c r="J85" s="78">
        <f>11.9593/J1</f>
        <v>0.38578387096774197</v>
      </c>
      <c r="K85" s="82">
        <v>0</v>
      </c>
      <c r="L85" s="82">
        <v>2.2000000000000001E-3</v>
      </c>
      <c r="M85" s="82">
        <v>0</v>
      </c>
      <c r="N85" s="82">
        <v>0</v>
      </c>
      <c r="O85" s="83">
        <v>0</v>
      </c>
      <c r="P85" s="82">
        <f t="shared" si="4"/>
        <v>0.38798387096774195</v>
      </c>
      <c r="Q85" s="104">
        <v>3.8018999999999998</v>
      </c>
      <c r="R85" s="80">
        <v>1157</v>
      </c>
      <c r="S85" s="79" t="s">
        <v>272</v>
      </c>
      <c r="T85" s="86">
        <f t="shared" si="5"/>
        <v>13836.910100000001</v>
      </c>
      <c r="U85" s="86"/>
      <c r="V85" s="96">
        <v>588317</v>
      </c>
      <c r="W85" s="79"/>
      <c r="X85" s="87"/>
      <c r="Y85" s="87"/>
    </row>
    <row r="86" spans="2:25" s="88" customFormat="1" x14ac:dyDescent="0.2">
      <c r="B86" s="79" t="s">
        <v>80</v>
      </c>
      <c r="C86" s="80" t="s">
        <v>5</v>
      </c>
      <c r="D86" s="80" t="s">
        <v>54</v>
      </c>
      <c r="E86" s="81">
        <v>36923</v>
      </c>
      <c r="F86" s="81">
        <v>37134</v>
      </c>
      <c r="G86" s="79" t="s">
        <v>25</v>
      </c>
      <c r="H86" s="85" t="s">
        <v>61</v>
      </c>
      <c r="I86" s="80" t="s">
        <v>58</v>
      </c>
      <c r="J86" s="78">
        <f>7.4554/J$1</f>
        <v>0.2404967741935484</v>
      </c>
      <c r="K86" s="82">
        <v>0</v>
      </c>
      <c r="L86" s="82">
        <v>2.2000000000000001E-3</v>
      </c>
      <c r="M86" s="82">
        <v>0</v>
      </c>
      <c r="N86" s="82">
        <v>0</v>
      </c>
      <c r="O86" s="83">
        <v>0</v>
      </c>
      <c r="P86" s="82">
        <f t="shared" si="4"/>
        <v>0.2426967741935484</v>
      </c>
      <c r="Q86" s="95">
        <v>3.7988</v>
      </c>
      <c r="R86" s="91">
        <v>751</v>
      </c>
      <c r="S86" s="79" t="s">
        <v>283</v>
      </c>
      <c r="T86" s="86">
        <f>J86*J$1*R86</f>
        <v>5599.0054</v>
      </c>
      <c r="U86" s="86"/>
      <c r="V86" s="96">
        <v>586775</v>
      </c>
      <c r="W86" s="79"/>
      <c r="X86" s="87"/>
      <c r="Y86" s="87"/>
    </row>
    <row r="87" spans="2:25" s="88" customFormat="1" x14ac:dyDescent="0.2">
      <c r="B87" s="79" t="s">
        <v>80</v>
      </c>
      <c r="C87" s="80" t="s">
        <v>5</v>
      </c>
      <c r="D87" s="80" t="s">
        <v>54</v>
      </c>
      <c r="E87" s="81">
        <v>36923</v>
      </c>
      <c r="F87" s="81">
        <f>+F86</f>
        <v>37134</v>
      </c>
      <c r="G87" s="79" t="s">
        <v>59</v>
      </c>
      <c r="H87" s="85" t="s">
        <v>61</v>
      </c>
      <c r="I87" s="80" t="s">
        <v>58</v>
      </c>
      <c r="J87" s="78">
        <f>+J86</f>
        <v>0.2404967741935484</v>
      </c>
      <c r="K87" s="82">
        <v>0</v>
      </c>
      <c r="L87" s="82">
        <v>2.2000000000000001E-3</v>
      </c>
      <c r="M87" s="82">
        <v>0</v>
      </c>
      <c r="N87" s="82">
        <v>0</v>
      </c>
      <c r="O87" s="83">
        <v>0</v>
      </c>
      <c r="P87" s="82">
        <f t="shared" si="4"/>
        <v>0.2426967741935484</v>
      </c>
      <c r="Q87" s="95">
        <f>+Q86</f>
        <v>3.7988</v>
      </c>
      <c r="R87" s="80">
        <v>1104</v>
      </c>
      <c r="S87" s="79" t="str">
        <f>+S86</f>
        <v>#22611</v>
      </c>
      <c r="T87" s="86">
        <f t="shared" si="5"/>
        <v>8230.7615999999998</v>
      </c>
      <c r="U87" s="86"/>
      <c r="V87" s="96">
        <f>+V86</f>
        <v>586775</v>
      </c>
      <c r="W87" s="79"/>
      <c r="X87" s="87"/>
      <c r="Y87" s="87"/>
    </row>
    <row r="88" spans="2:25" s="88" customFormat="1" x14ac:dyDescent="0.2">
      <c r="B88" s="79" t="s">
        <v>80</v>
      </c>
      <c r="C88" s="80" t="s">
        <v>5</v>
      </c>
      <c r="D88" s="80" t="s">
        <v>54</v>
      </c>
      <c r="E88" s="81">
        <v>36923</v>
      </c>
      <c r="F88" s="81">
        <f>+F87</f>
        <v>37134</v>
      </c>
      <c r="G88" s="79" t="s">
        <v>60</v>
      </c>
      <c r="H88" s="85" t="s">
        <v>61</v>
      </c>
      <c r="I88" s="80" t="s">
        <v>58</v>
      </c>
      <c r="J88" s="78">
        <f>+J87</f>
        <v>0.2404967741935484</v>
      </c>
      <c r="K88" s="82">
        <v>0</v>
      </c>
      <c r="L88" s="82">
        <v>2.2000000000000001E-3</v>
      </c>
      <c r="M88" s="82">
        <v>0</v>
      </c>
      <c r="N88" s="82">
        <v>0</v>
      </c>
      <c r="O88" s="83">
        <v>0</v>
      </c>
      <c r="P88" s="82">
        <f t="shared" si="4"/>
        <v>0.2426967741935484</v>
      </c>
      <c r="Q88" s="95">
        <f>+Q87</f>
        <v>3.7988</v>
      </c>
      <c r="R88" s="80">
        <f>839+1723</f>
        <v>2562</v>
      </c>
      <c r="S88" s="79" t="str">
        <f>+S87</f>
        <v>#22611</v>
      </c>
      <c r="T88" s="86">
        <f t="shared" si="5"/>
        <v>19100.734799999998</v>
      </c>
      <c r="U88" s="86"/>
      <c r="V88" s="96">
        <f>+V87</f>
        <v>586775</v>
      </c>
      <c r="W88" s="79"/>
      <c r="X88" s="87"/>
      <c r="Y88" s="87"/>
    </row>
    <row r="89" spans="2:25" s="88" customFormat="1" x14ac:dyDescent="0.2">
      <c r="B89" s="79" t="s">
        <v>80</v>
      </c>
      <c r="C89" s="80" t="s">
        <v>5</v>
      </c>
      <c r="D89" s="80" t="s">
        <v>54</v>
      </c>
      <c r="E89" s="81">
        <v>36923</v>
      </c>
      <c r="F89" s="81">
        <v>37134</v>
      </c>
      <c r="G89" s="79" t="s">
        <v>62</v>
      </c>
      <c r="H89" s="85" t="s">
        <v>61</v>
      </c>
      <c r="I89" s="80" t="s">
        <v>63</v>
      </c>
      <c r="J89" s="78">
        <f>11.9593/J1</f>
        <v>0.38578387096774197</v>
      </c>
      <c r="K89" s="82">
        <v>0</v>
      </c>
      <c r="L89" s="82">
        <v>2.2000000000000001E-3</v>
      </c>
      <c r="M89" s="82">
        <v>0</v>
      </c>
      <c r="N89" s="82">
        <v>0</v>
      </c>
      <c r="O89" s="83">
        <v>0</v>
      </c>
      <c r="P89" s="82">
        <f t="shared" ref="P89:P99" si="6">SUM(J89:N89)</f>
        <v>0.38798387096774195</v>
      </c>
      <c r="Q89" s="104">
        <v>3.7987000000000002</v>
      </c>
      <c r="R89" s="80">
        <v>2701</v>
      </c>
      <c r="S89" s="79" t="s">
        <v>284</v>
      </c>
      <c r="T89" s="86">
        <f t="shared" si="5"/>
        <v>32302.069300000003</v>
      </c>
      <c r="U89" s="86"/>
      <c r="V89" s="96">
        <v>586623</v>
      </c>
      <c r="W89" s="79" t="s">
        <v>167</v>
      </c>
      <c r="X89" s="87"/>
      <c r="Y89" s="87"/>
    </row>
    <row r="90" spans="2:25" s="88" customFormat="1" x14ac:dyDescent="0.2">
      <c r="B90" s="79" t="s">
        <v>80</v>
      </c>
      <c r="C90" s="80" t="s">
        <v>5</v>
      </c>
      <c r="D90" s="80" t="s">
        <v>54</v>
      </c>
      <c r="E90" s="81">
        <v>36923</v>
      </c>
      <c r="F90" s="81">
        <v>37864</v>
      </c>
      <c r="G90" s="79" t="s">
        <v>66</v>
      </c>
      <c r="H90" s="85"/>
      <c r="I90" s="80" t="s">
        <v>65</v>
      </c>
      <c r="J90" s="78">
        <v>7.9000000000000008E-3</v>
      </c>
      <c r="K90" s="82">
        <v>0</v>
      </c>
      <c r="L90" s="82">
        <v>2.2000000000000001E-3</v>
      </c>
      <c r="M90" s="82">
        <v>0</v>
      </c>
      <c r="N90" s="82">
        <v>0</v>
      </c>
      <c r="O90" s="83">
        <v>0</v>
      </c>
      <c r="P90" s="82">
        <f t="shared" si="6"/>
        <v>1.0100000000000001E-2</v>
      </c>
      <c r="Q90" s="104">
        <v>3.7944</v>
      </c>
      <c r="R90" s="80">
        <v>257051</v>
      </c>
      <c r="S90" s="79" t="s">
        <v>262</v>
      </c>
      <c r="T90" s="99">
        <f t="shared" ref="T90:T95" si="7">+R90*J90</f>
        <v>2030.7029000000002</v>
      </c>
      <c r="U90" s="86"/>
      <c r="V90" s="96">
        <v>588662</v>
      </c>
      <c r="W90" s="79" t="s">
        <v>167</v>
      </c>
      <c r="X90" s="87"/>
      <c r="Y90" s="87"/>
    </row>
    <row r="91" spans="2:25" s="88" customFormat="1" x14ac:dyDescent="0.2">
      <c r="B91" s="79" t="s">
        <v>80</v>
      </c>
      <c r="C91" s="80" t="s">
        <v>5</v>
      </c>
      <c r="D91" s="80" t="s">
        <v>54</v>
      </c>
      <c r="E91" s="81">
        <v>36923</v>
      </c>
      <c r="F91" s="81">
        <v>37864</v>
      </c>
      <c r="G91" s="79" t="s">
        <v>64</v>
      </c>
      <c r="H91" s="85"/>
      <c r="I91" s="80" t="s">
        <v>65</v>
      </c>
      <c r="J91" s="78">
        <v>0.6673</v>
      </c>
      <c r="K91" s="82">
        <v>0</v>
      </c>
      <c r="L91" s="82">
        <v>2.2000000000000001E-3</v>
      </c>
      <c r="M91" s="82">
        <v>0</v>
      </c>
      <c r="N91" s="82">
        <v>0</v>
      </c>
      <c r="O91" s="83">
        <v>0</v>
      </c>
      <c r="P91" s="82">
        <f t="shared" si="6"/>
        <v>0.66949999999999998</v>
      </c>
      <c r="Q91" s="104">
        <v>3.7944</v>
      </c>
      <c r="R91" s="80">
        <v>3024</v>
      </c>
      <c r="S91" s="79" t="s">
        <v>262</v>
      </c>
      <c r="T91" s="99">
        <f t="shared" si="7"/>
        <v>2017.9151999999999</v>
      </c>
      <c r="U91" s="86"/>
      <c r="V91" s="96">
        <v>588662</v>
      </c>
      <c r="W91" s="79" t="s">
        <v>167</v>
      </c>
      <c r="X91" s="87"/>
      <c r="Y91" s="87"/>
    </row>
    <row r="92" spans="2:25" s="88" customFormat="1" x14ac:dyDescent="0.2">
      <c r="B92" s="79" t="s">
        <v>80</v>
      </c>
      <c r="C92" s="80" t="s">
        <v>5</v>
      </c>
      <c r="D92" s="80" t="s">
        <v>54</v>
      </c>
      <c r="E92" s="81">
        <v>36923</v>
      </c>
      <c r="F92" s="81">
        <v>36950</v>
      </c>
      <c r="G92" s="79" t="s">
        <v>66</v>
      </c>
      <c r="H92" s="85"/>
      <c r="I92" s="80" t="s">
        <v>65</v>
      </c>
      <c r="J92" s="78">
        <v>7.9000000000000008E-3</v>
      </c>
      <c r="K92" s="82">
        <v>0</v>
      </c>
      <c r="L92" s="82">
        <v>2.2000000000000001E-3</v>
      </c>
      <c r="M92" s="82">
        <v>0</v>
      </c>
      <c r="N92" s="82">
        <v>0</v>
      </c>
      <c r="O92" s="83">
        <v>0</v>
      </c>
      <c r="P92" s="82">
        <f>SUM(J92:N92)</f>
        <v>1.0100000000000001E-2</v>
      </c>
      <c r="Q92" s="95">
        <v>3.8083</v>
      </c>
      <c r="R92" s="80">
        <v>4368</v>
      </c>
      <c r="S92" s="79" t="s">
        <v>264</v>
      </c>
      <c r="T92" s="99">
        <f t="shared" si="7"/>
        <v>34.507200000000005</v>
      </c>
      <c r="U92" s="86"/>
      <c r="V92" s="96">
        <v>588685</v>
      </c>
      <c r="W92" s="79"/>
      <c r="X92" s="87"/>
      <c r="Y92" s="87"/>
    </row>
    <row r="93" spans="2:25" s="88" customFormat="1" ht="13.5" customHeight="1" x14ac:dyDescent="0.2">
      <c r="B93" s="79" t="s">
        <v>80</v>
      </c>
      <c r="C93" s="80" t="s">
        <v>5</v>
      </c>
      <c r="D93" s="80" t="s">
        <v>54</v>
      </c>
      <c r="E93" s="81">
        <v>36923</v>
      </c>
      <c r="F93" s="81">
        <v>36950</v>
      </c>
      <c r="G93" s="79" t="s">
        <v>64</v>
      </c>
      <c r="H93" s="85"/>
      <c r="I93" s="80" t="s">
        <v>65</v>
      </c>
      <c r="J93" s="78">
        <v>0.6673</v>
      </c>
      <c r="K93" s="82">
        <v>0</v>
      </c>
      <c r="L93" s="82">
        <v>2.2000000000000001E-3</v>
      </c>
      <c r="M93" s="82">
        <v>0</v>
      </c>
      <c r="N93" s="82">
        <v>0</v>
      </c>
      <c r="O93" s="83">
        <v>0</v>
      </c>
      <c r="P93" s="82">
        <f>SUM(J93:N93)</f>
        <v>0.66949999999999998</v>
      </c>
      <c r="Q93" s="95">
        <v>3.8083</v>
      </c>
      <c r="R93" s="80">
        <v>51</v>
      </c>
      <c r="S93" s="79" t="str">
        <f>+S92</f>
        <v>#022526</v>
      </c>
      <c r="T93" s="99">
        <f t="shared" si="7"/>
        <v>34.032299999999999</v>
      </c>
      <c r="U93" s="86"/>
      <c r="V93" s="96">
        <v>588685</v>
      </c>
      <c r="W93" s="79"/>
      <c r="X93" s="87"/>
      <c r="Y93" s="87"/>
    </row>
    <row r="94" spans="2:25" s="88" customFormat="1" x14ac:dyDescent="0.2">
      <c r="B94" s="79" t="s">
        <v>80</v>
      </c>
      <c r="C94" s="80" t="s">
        <v>5</v>
      </c>
      <c r="D94" s="80" t="s">
        <v>54</v>
      </c>
      <c r="E94" s="81">
        <v>36923</v>
      </c>
      <c r="F94" s="81">
        <v>36950</v>
      </c>
      <c r="G94" s="79" t="s">
        <v>66</v>
      </c>
      <c r="H94" s="85"/>
      <c r="I94" s="80" t="s">
        <v>65</v>
      </c>
      <c r="J94" s="78">
        <v>7.9000000000000008E-3</v>
      </c>
      <c r="K94" s="82">
        <v>0</v>
      </c>
      <c r="L94" s="82">
        <v>2.2000000000000001E-3</v>
      </c>
      <c r="M94" s="82">
        <v>0</v>
      </c>
      <c r="N94" s="82">
        <v>0</v>
      </c>
      <c r="O94" s="83">
        <v>0</v>
      </c>
      <c r="P94" s="82">
        <f t="shared" si="6"/>
        <v>1.0100000000000001E-2</v>
      </c>
      <c r="Q94" s="95">
        <v>3.8071000000000002</v>
      </c>
      <c r="R94" s="80">
        <v>110164</v>
      </c>
      <c r="S94" s="79" t="s">
        <v>263</v>
      </c>
      <c r="T94" s="99">
        <f t="shared" si="7"/>
        <v>870.29560000000004</v>
      </c>
      <c r="U94" s="86"/>
      <c r="V94" s="96">
        <v>588675</v>
      </c>
      <c r="W94" s="79"/>
      <c r="X94" s="87"/>
      <c r="Y94" s="87"/>
    </row>
    <row r="95" spans="2:25" s="88" customFormat="1" x14ac:dyDescent="0.2">
      <c r="B95" s="79" t="s">
        <v>80</v>
      </c>
      <c r="C95" s="80" t="s">
        <v>5</v>
      </c>
      <c r="D95" s="80" t="s">
        <v>54</v>
      </c>
      <c r="E95" s="81">
        <v>36923</v>
      </c>
      <c r="F95" s="81">
        <v>36950</v>
      </c>
      <c r="G95" s="79" t="s">
        <v>64</v>
      </c>
      <c r="H95" s="85"/>
      <c r="I95" s="80" t="s">
        <v>65</v>
      </c>
      <c r="J95" s="78">
        <v>0.6673</v>
      </c>
      <c r="K95" s="82">
        <v>0</v>
      </c>
      <c r="L95" s="82">
        <v>2.2000000000000001E-3</v>
      </c>
      <c r="M95" s="82">
        <v>0</v>
      </c>
      <c r="N95" s="82">
        <v>0</v>
      </c>
      <c r="O95" s="83">
        <v>0</v>
      </c>
      <c r="P95" s="82">
        <f t="shared" si="6"/>
        <v>0.66949999999999998</v>
      </c>
      <c r="Q95" s="95">
        <v>3.8071000000000002</v>
      </c>
      <c r="R95" s="80">
        <v>1296</v>
      </c>
      <c r="S95" s="79" t="s">
        <v>263</v>
      </c>
      <c r="T95" s="99">
        <f t="shared" si="7"/>
        <v>864.82079999999996</v>
      </c>
      <c r="U95" s="86"/>
      <c r="V95" s="96">
        <v>588675</v>
      </c>
      <c r="W95" s="79"/>
      <c r="X95" s="87"/>
      <c r="Y95" s="87"/>
    </row>
    <row r="96" spans="2:25" s="88" customFormat="1" x14ac:dyDescent="0.2">
      <c r="B96" s="79" t="s">
        <v>80</v>
      </c>
      <c r="C96" s="80" t="s">
        <v>5</v>
      </c>
      <c r="D96" s="80" t="s">
        <v>54</v>
      </c>
      <c r="E96" s="81">
        <v>36923</v>
      </c>
      <c r="F96" s="81">
        <v>37864</v>
      </c>
      <c r="G96" s="79" t="s">
        <v>67</v>
      </c>
      <c r="H96" s="85"/>
      <c r="I96" s="80" t="s">
        <v>69</v>
      </c>
      <c r="J96" s="78">
        <v>4.8099999999999997E-2</v>
      </c>
      <c r="K96" s="82">
        <v>0</v>
      </c>
      <c r="L96" s="82">
        <v>2.2000000000000001E-3</v>
      </c>
      <c r="M96" s="82">
        <v>0</v>
      </c>
      <c r="N96" s="82">
        <v>0</v>
      </c>
      <c r="O96" s="83">
        <v>0</v>
      </c>
      <c r="P96" s="82">
        <f t="shared" si="6"/>
        <v>5.0299999999999997E-2</v>
      </c>
      <c r="Q96" s="104">
        <v>3.7945000000000002</v>
      </c>
      <c r="R96" s="80">
        <v>13060</v>
      </c>
      <c r="S96" s="79" t="s">
        <v>261</v>
      </c>
      <c r="T96" s="99">
        <f t="shared" ref="T96:T102" si="8">+J96*R96</f>
        <v>628.18599999999992</v>
      </c>
      <c r="U96" s="86"/>
      <c r="V96" s="96">
        <v>588646</v>
      </c>
      <c r="W96" s="79"/>
      <c r="X96" s="87"/>
      <c r="Y96" s="87"/>
    </row>
    <row r="97" spans="2:25" s="88" customFormat="1" x14ac:dyDescent="0.2">
      <c r="B97" s="79" t="s">
        <v>80</v>
      </c>
      <c r="C97" s="80" t="s">
        <v>5</v>
      </c>
      <c r="D97" s="80" t="s">
        <v>54</v>
      </c>
      <c r="E97" s="81">
        <v>36923</v>
      </c>
      <c r="F97" s="81">
        <v>37864</v>
      </c>
      <c r="G97" s="79" t="s">
        <v>68</v>
      </c>
      <c r="H97" s="85"/>
      <c r="I97" s="80" t="s">
        <v>69</v>
      </c>
      <c r="J97" s="78">
        <v>0.48399999999999999</v>
      </c>
      <c r="K97" s="82">
        <v>0</v>
      </c>
      <c r="L97" s="82">
        <v>2.2000000000000001E-3</v>
      </c>
      <c r="M97" s="82">
        <v>0</v>
      </c>
      <c r="N97" s="82">
        <v>0</v>
      </c>
      <c r="O97" s="83">
        <v>0</v>
      </c>
      <c r="P97" s="82">
        <f t="shared" si="6"/>
        <v>0.48619999999999997</v>
      </c>
      <c r="Q97" s="104">
        <v>3.7945000000000002</v>
      </c>
      <c r="R97" s="80">
        <v>1298</v>
      </c>
      <c r="S97" s="79" t="s">
        <v>261</v>
      </c>
      <c r="T97" s="99">
        <f t="shared" si="8"/>
        <v>628.23199999999997</v>
      </c>
      <c r="U97" s="86"/>
      <c r="V97" s="96">
        <v>588646</v>
      </c>
      <c r="W97" s="79"/>
      <c r="X97" s="87"/>
      <c r="Y97" s="87"/>
    </row>
    <row r="98" spans="2:25" s="88" customFormat="1" x14ac:dyDescent="0.2">
      <c r="B98" s="79" t="s">
        <v>80</v>
      </c>
      <c r="C98" s="80" t="s">
        <v>5</v>
      </c>
      <c r="D98" s="80" t="s">
        <v>54</v>
      </c>
      <c r="E98" s="81">
        <v>36923</v>
      </c>
      <c r="F98" s="81">
        <v>36950</v>
      </c>
      <c r="G98" s="79" t="s">
        <v>67</v>
      </c>
      <c r="H98" s="85"/>
      <c r="I98" s="80" t="s">
        <v>69</v>
      </c>
      <c r="J98" s="78">
        <v>4.8099999999999997E-2</v>
      </c>
      <c r="K98" s="82">
        <v>0</v>
      </c>
      <c r="L98" s="82">
        <v>2.2000000000000001E-3</v>
      </c>
      <c r="M98" s="82">
        <v>0</v>
      </c>
      <c r="N98" s="82">
        <v>0</v>
      </c>
      <c r="O98" s="83">
        <v>0</v>
      </c>
      <c r="P98" s="82">
        <f t="shared" si="6"/>
        <v>5.0299999999999997E-2</v>
      </c>
      <c r="Q98" s="104">
        <v>3.8071999999999999</v>
      </c>
      <c r="R98" s="80">
        <v>5597</v>
      </c>
      <c r="S98" s="79" t="s">
        <v>265</v>
      </c>
      <c r="T98" s="99">
        <f t="shared" si="8"/>
        <v>269.21569999999997</v>
      </c>
      <c r="U98" s="86"/>
      <c r="V98" s="96">
        <v>588646</v>
      </c>
      <c r="W98" s="98" t="s">
        <v>167</v>
      </c>
      <c r="X98" s="87"/>
      <c r="Y98" s="87"/>
    </row>
    <row r="99" spans="2:25" s="88" customFormat="1" x14ac:dyDescent="0.2">
      <c r="B99" s="79" t="s">
        <v>80</v>
      </c>
      <c r="C99" s="80" t="s">
        <v>5</v>
      </c>
      <c r="D99" s="80" t="s">
        <v>54</v>
      </c>
      <c r="E99" s="81">
        <v>36923</v>
      </c>
      <c r="F99" s="81">
        <v>36950</v>
      </c>
      <c r="G99" s="79" t="s">
        <v>68</v>
      </c>
      <c r="H99" s="85"/>
      <c r="I99" s="80" t="s">
        <v>69</v>
      </c>
      <c r="J99" s="78">
        <v>0.48399999999999999</v>
      </c>
      <c r="K99" s="82">
        <v>0</v>
      </c>
      <c r="L99" s="82">
        <v>2.2000000000000001E-3</v>
      </c>
      <c r="M99" s="82">
        <v>0</v>
      </c>
      <c r="N99" s="82">
        <v>0</v>
      </c>
      <c r="O99" s="83">
        <v>0</v>
      </c>
      <c r="P99" s="82">
        <f t="shared" si="6"/>
        <v>0.48619999999999997</v>
      </c>
      <c r="Q99" s="104">
        <v>3.8071999999999999</v>
      </c>
      <c r="R99" s="80">
        <v>556</v>
      </c>
      <c r="S99" s="79" t="str">
        <f>+S98</f>
        <v>#022537</v>
      </c>
      <c r="T99" s="99">
        <f t="shared" si="8"/>
        <v>269.10399999999998</v>
      </c>
      <c r="U99" s="86"/>
      <c r="V99" s="96">
        <v>588646</v>
      </c>
      <c r="W99" s="98" t="s">
        <v>167</v>
      </c>
      <c r="X99" s="87"/>
      <c r="Y99" s="87"/>
    </row>
    <row r="100" spans="2:25" s="88" customFormat="1" x14ac:dyDescent="0.2">
      <c r="B100" s="79" t="s">
        <v>80</v>
      </c>
      <c r="C100" s="80" t="s">
        <v>5</v>
      </c>
      <c r="D100" s="80" t="s">
        <v>54</v>
      </c>
      <c r="E100" s="81">
        <v>36923</v>
      </c>
      <c r="F100" s="81">
        <v>36950</v>
      </c>
      <c r="G100" s="79" t="s">
        <v>67</v>
      </c>
      <c r="H100" s="85"/>
      <c r="I100" s="80" t="s">
        <v>69</v>
      </c>
      <c r="J100" s="78">
        <v>4.8099999999999997E-2</v>
      </c>
      <c r="K100" s="82">
        <v>0</v>
      </c>
      <c r="L100" s="82">
        <v>2.2000000000000001E-3</v>
      </c>
      <c r="M100" s="82">
        <v>0</v>
      </c>
      <c r="N100" s="82">
        <v>0</v>
      </c>
      <c r="O100" s="83">
        <v>0</v>
      </c>
      <c r="P100" s="82">
        <f>SUM(J100:N100)</f>
        <v>5.0299999999999997E-2</v>
      </c>
      <c r="Q100" s="104">
        <v>3.8083999999999998</v>
      </c>
      <c r="R100" s="80">
        <v>221</v>
      </c>
      <c r="S100" s="79" t="s">
        <v>266</v>
      </c>
      <c r="T100" s="99">
        <f>+J100*R100</f>
        <v>10.630099999999999</v>
      </c>
      <c r="U100" s="86"/>
      <c r="V100" s="96">
        <v>588716</v>
      </c>
      <c r="W100" s="98" t="s">
        <v>167</v>
      </c>
      <c r="X100" s="87"/>
      <c r="Y100" s="87"/>
    </row>
    <row r="101" spans="2:25" s="88" customFormat="1" x14ac:dyDescent="0.2">
      <c r="B101" s="79" t="s">
        <v>80</v>
      </c>
      <c r="C101" s="80" t="s">
        <v>5</v>
      </c>
      <c r="D101" s="80" t="s">
        <v>54</v>
      </c>
      <c r="E101" s="81">
        <v>36923</v>
      </c>
      <c r="F101" s="81">
        <v>36950</v>
      </c>
      <c r="G101" s="79" t="s">
        <v>68</v>
      </c>
      <c r="H101" s="85"/>
      <c r="I101" s="80" t="s">
        <v>69</v>
      </c>
      <c r="J101" s="78">
        <v>0.48399999999999999</v>
      </c>
      <c r="K101" s="82">
        <v>0</v>
      </c>
      <c r="L101" s="82">
        <v>2.2000000000000001E-3</v>
      </c>
      <c r="M101" s="82">
        <v>0</v>
      </c>
      <c r="N101" s="82">
        <v>0</v>
      </c>
      <c r="O101" s="83">
        <v>0</v>
      </c>
      <c r="P101" s="82">
        <f>SUM(J101:N101)</f>
        <v>0.48619999999999997</v>
      </c>
      <c r="Q101" s="104">
        <v>3.8083999999999998</v>
      </c>
      <c r="R101" s="80">
        <v>22</v>
      </c>
      <c r="S101" s="79" t="str">
        <f>+S100</f>
        <v>#022525</v>
      </c>
      <c r="T101" s="99">
        <f>+J101*R101</f>
        <v>10.648</v>
      </c>
      <c r="U101" s="86"/>
      <c r="V101" s="96">
        <v>588716</v>
      </c>
      <c r="W101" s="98" t="s">
        <v>167</v>
      </c>
      <c r="X101" s="87"/>
      <c r="Y101" s="87"/>
    </row>
    <row r="102" spans="2:25" s="88" customFormat="1" x14ac:dyDescent="0.2">
      <c r="B102" s="79" t="s">
        <v>80</v>
      </c>
      <c r="C102" s="80" t="s">
        <v>5</v>
      </c>
      <c r="D102" s="80" t="s">
        <v>54</v>
      </c>
      <c r="E102" s="81">
        <v>36923</v>
      </c>
      <c r="F102" s="81">
        <v>36950</v>
      </c>
      <c r="G102" s="79" t="s">
        <v>140</v>
      </c>
      <c r="H102" s="79" t="s">
        <v>61</v>
      </c>
      <c r="I102" s="80" t="s">
        <v>141</v>
      </c>
      <c r="J102" s="78">
        <f>14.9577/J1</f>
        <v>0.48250645161290323</v>
      </c>
      <c r="K102" s="82"/>
      <c r="L102" s="82"/>
      <c r="M102" s="82"/>
      <c r="N102" s="82"/>
      <c r="O102" s="83"/>
      <c r="P102" s="82"/>
      <c r="Q102" s="97">
        <v>3.8052999999999999</v>
      </c>
      <c r="R102" s="91">
        <v>11</v>
      </c>
      <c r="S102" s="98" t="s">
        <v>267</v>
      </c>
      <c r="T102" s="99">
        <f t="shared" si="8"/>
        <v>5.3075709677419356</v>
      </c>
      <c r="U102" s="100"/>
      <c r="V102" s="101">
        <v>588530</v>
      </c>
      <c r="W102" s="98" t="s">
        <v>167</v>
      </c>
      <c r="X102" s="102"/>
      <c r="Y102" s="102"/>
    </row>
    <row r="103" spans="2:25" s="88" customFormat="1" x14ac:dyDescent="0.2">
      <c r="B103" s="79" t="s">
        <v>80</v>
      </c>
      <c r="C103" s="80" t="s">
        <v>5</v>
      </c>
      <c r="D103" s="80" t="s">
        <v>54</v>
      </c>
      <c r="E103" s="81">
        <v>36923</v>
      </c>
      <c r="F103" s="81">
        <v>36950</v>
      </c>
      <c r="G103" s="79" t="s">
        <v>140</v>
      </c>
      <c r="H103" s="79" t="s">
        <v>61</v>
      </c>
      <c r="I103" s="80" t="s">
        <v>141</v>
      </c>
      <c r="J103" s="78">
        <f>14.9577/J1</f>
        <v>0.48250645161290323</v>
      </c>
      <c r="K103" s="82"/>
      <c r="L103" s="82"/>
      <c r="M103" s="82"/>
      <c r="N103" s="82"/>
      <c r="O103" s="83"/>
      <c r="P103" s="82"/>
      <c r="Q103" s="97">
        <v>3.8018000000000001</v>
      </c>
      <c r="R103" s="91">
        <v>919</v>
      </c>
      <c r="S103" s="98" t="s">
        <v>277</v>
      </c>
      <c r="T103" s="99">
        <f>+J103*R103*J1</f>
        <v>13746.1263</v>
      </c>
      <c r="U103" s="100"/>
      <c r="V103" s="101">
        <v>587380</v>
      </c>
      <c r="W103" s="98" t="s">
        <v>167</v>
      </c>
      <c r="X103" s="102"/>
      <c r="Y103" s="102"/>
    </row>
    <row r="104" spans="2:25" s="88" customFormat="1" x14ac:dyDescent="0.2">
      <c r="B104" s="79" t="s">
        <v>80</v>
      </c>
      <c r="C104" s="80" t="s">
        <v>5</v>
      </c>
      <c r="D104" s="80" t="s">
        <v>54</v>
      </c>
      <c r="E104" s="81">
        <v>36923</v>
      </c>
      <c r="F104" s="81">
        <v>37864</v>
      </c>
      <c r="G104" s="79" t="s">
        <v>166</v>
      </c>
      <c r="H104" s="79" t="s">
        <v>61</v>
      </c>
      <c r="I104" s="80" t="s">
        <v>168</v>
      </c>
      <c r="J104" s="103">
        <f>14.0775/J1</f>
        <v>0.4541129032258065</v>
      </c>
      <c r="K104" s="82"/>
      <c r="L104" s="82"/>
      <c r="M104" s="82"/>
      <c r="N104" s="82"/>
      <c r="O104" s="83"/>
      <c r="P104" s="82"/>
      <c r="Q104" s="97">
        <v>3.7989000000000002</v>
      </c>
      <c r="R104" s="91">
        <v>3519</v>
      </c>
      <c r="S104" s="98" t="s">
        <v>282</v>
      </c>
      <c r="T104" s="99">
        <f>+J104*R104*J1</f>
        <v>49538.722500000003</v>
      </c>
      <c r="U104" s="100"/>
      <c r="V104" s="101">
        <v>586853</v>
      </c>
      <c r="W104" s="98" t="s">
        <v>167</v>
      </c>
      <c r="X104" s="102"/>
      <c r="Y104" s="102"/>
    </row>
    <row r="105" spans="2:25" s="88" customFormat="1" x14ac:dyDescent="0.2">
      <c r="B105" s="79" t="s">
        <v>80</v>
      </c>
      <c r="C105" s="80" t="s">
        <v>5</v>
      </c>
      <c r="D105" s="80" t="s">
        <v>54</v>
      </c>
      <c r="E105" s="81">
        <v>36923</v>
      </c>
      <c r="F105" s="81">
        <v>36950</v>
      </c>
      <c r="G105" s="79" t="s">
        <v>166</v>
      </c>
      <c r="H105" s="79" t="s">
        <v>61</v>
      </c>
      <c r="I105" s="80" t="s">
        <v>168</v>
      </c>
      <c r="J105" s="103">
        <f>14.0775/J1</f>
        <v>0.4541129032258065</v>
      </c>
      <c r="K105" s="82"/>
      <c r="L105" s="82"/>
      <c r="M105" s="82"/>
      <c r="N105" s="82"/>
      <c r="O105" s="83"/>
      <c r="P105" s="82"/>
      <c r="Q105" s="97">
        <v>3.8020999999999998</v>
      </c>
      <c r="R105" s="91">
        <v>1508</v>
      </c>
      <c r="S105" s="98" t="s">
        <v>281</v>
      </c>
      <c r="T105" s="99">
        <f>+J105*R105*$J$1</f>
        <v>21228.870000000003</v>
      </c>
      <c r="U105" s="100"/>
      <c r="V105" s="101">
        <v>586887</v>
      </c>
      <c r="W105" s="98" t="s">
        <v>167</v>
      </c>
      <c r="X105" s="102"/>
      <c r="Y105" s="102"/>
    </row>
    <row r="106" spans="2:25" s="88" customFormat="1" x14ac:dyDescent="0.2">
      <c r="B106" s="79" t="s">
        <v>80</v>
      </c>
      <c r="C106" s="80" t="s">
        <v>5</v>
      </c>
      <c r="D106" s="80" t="s">
        <v>54</v>
      </c>
      <c r="E106" s="81">
        <v>36923</v>
      </c>
      <c r="F106" s="81">
        <v>36950</v>
      </c>
      <c r="G106" s="79" t="s">
        <v>166</v>
      </c>
      <c r="H106" s="79" t="s">
        <v>61</v>
      </c>
      <c r="I106" s="80" t="s">
        <v>168</v>
      </c>
      <c r="J106" s="103">
        <f>14.0775/J1</f>
        <v>0.4541129032258065</v>
      </c>
      <c r="K106" s="82"/>
      <c r="L106" s="82"/>
      <c r="M106" s="82"/>
      <c r="N106" s="82"/>
      <c r="O106" s="83"/>
      <c r="P106" s="82"/>
      <c r="Q106" s="97">
        <v>3.8056000000000001</v>
      </c>
      <c r="R106" s="91">
        <v>59</v>
      </c>
      <c r="S106" s="98" t="s">
        <v>268</v>
      </c>
      <c r="T106" s="99">
        <f>+J106*R106*$J$1</f>
        <v>830.5725000000001</v>
      </c>
      <c r="U106" s="100"/>
      <c r="V106" s="101">
        <v>588487</v>
      </c>
      <c r="W106" s="98" t="s">
        <v>167</v>
      </c>
      <c r="X106" s="102"/>
      <c r="Y106" s="102"/>
    </row>
    <row r="107" spans="2:25" s="88" customFormat="1" x14ac:dyDescent="0.2">
      <c r="B107" s="79" t="s">
        <v>80</v>
      </c>
      <c r="C107" s="80" t="s">
        <v>5</v>
      </c>
      <c r="D107" s="80" t="s">
        <v>54</v>
      </c>
      <c r="E107" s="81">
        <v>36923</v>
      </c>
      <c r="F107" s="81">
        <v>36950</v>
      </c>
      <c r="G107" s="79" t="s">
        <v>166</v>
      </c>
      <c r="H107" s="79" t="s">
        <v>61</v>
      </c>
      <c r="I107" s="80" t="s">
        <v>168</v>
      </c>
      <c r="J107" s="103">
        <f>11.9593/J1</f>
        <v>0.38578387096774197</v>
      </c>
      <c r="K107" s="82"/>
      <c r="L107" s="82"/>
      <c r="M107" s="82"/>
      <c r="N107" s="82"/>
      <c r="O107" s="83"/>
      <c r="P107" s="82"/>
      <c r="Q107" s="97">
        <v>3.8054000000000001</v>
      </c>
      <c r="R107" s="91">
        <v>46</v>
      </c>
      <c r="S107" s="98" t="s">
        <v>278</v>
      </c>
      <c r="T107" s="99">
        <f>+J107*R107*$J$1</f>
        <v>550.12780000000009</v>
      </c>
      <c r="U107" s="100"/>
      <c r="V107" s="101">
        <v>587320</v>
      </c>
      <c r="W107" s="98" t="s">
        <v>167</v>
      </c>
      <c r="X107" s="102"/>
      <c r="Y107" s="102"/>
    </row>
    <row r="108" spans="2:25" ht="13.5" thickBot="1" x14ac:dyDescent="0.25">
      <c r="B108" s="27"/>
      <c r="C108" s="3"/>
      <c r="D108" s="3"/>
      <c r="E108" s="4"/>
      <c r="F108" s="4"/>
      <c r="G108" s="1"/>
      <c r="H108" s="1"/>
      <c r="I108" s="3"/>
      <c r="J108" s="5"/>
      <c r="K108" s="5"/>
      <c r="L108" s="5"/>
      <c r="M108" s="5"/>
      <c r="N108" s="5"/>
      <c r="O108" s="41"/>
      <c r="P108" s="5"/>
      <c r="Q108" s="47"/>
      <c r="R108" s="48"/>
      <c r="S108" s="28"/>
      <c r="T108" s="66">
        <f>SUM(T62:T107)</f>
        <v>192974.02727096775</v>
      </c>
      <c r="U108" s="28"/>
      <c r="V108" s="50"/>
      <c r="W108" s="55"/>
      <c r="X108" s="35"/>
      <c r="Y108" s="35"/>
    </row>
    <row r="109" spans="2:25" ht="13.5" thickTop="1" x14ac:dyDescent="0.2">
      <c r="B109" s="27"/>
      <c r="C109" s="3"/>
      <c r="D109" s="3"/>
      <c r="E109" s="4"/>
      <c r="F109" s="4"/>
      <c r="G109" s="1"/>
      <c r="H109" s="1"/>
      <c r="I109" s="3"/>
      <c r="J109" s="5"/>
      <c r="K109" s="5"/>
      <c r="L109" s="5"/>
      <c r="M109" s="5"/>
      <c r="N109" s="5"/>
      <c r="O109" s="41"/>
      <c r="P109" s="5"/>
      <c r="Q109" s="47"/>
      <c r="R109" s="48"/>
      <c r="S109" s="28"/>
      <c r="T109" s="28"/>
      <c r="U109" s="55"/>
      <c r="V109" s="50"/>
      <c r="W109" s="55"/>
      <c r="X109" s="39"/>
      <c r="Y109" s="35"/>
    </row>
    <row r="110" spans="2:25" x14ac:dyDescent="0.2">
      <c r="B110" s="27"/>
      <c r="C110" s="3"/>
      <c r="D110" s="3"/>
      <c r="E110" s="4"/>
      <c r="F110" s="4"/>
      <c r="G110" s="1"/>
      <c r="H110" s="1"/>
      <c r="I110" s="3"/>
      <c r="J110" s="5"/>
      <c r="K110" s="5"/>
      <c r="L110" s="5"/>
      <c r="M110" s="5"/>
      <c r="N110" s="5"/>
      <c r="O110" s="41"/>
      <c r="P110" s="5"/>
      <c r="Q110" s="47"/>
      <c r="R110" s="48"/>
      <c r="S110" s="28"/>
      <c r="T110" s="28"/>
      <c r="U110" s="28"/>
      <c r="V110" s="50"/>
      <c r="W110" s="55"/>
      <c r="X110" s="35"/>
      <c r="Y110" s="35"/>
    </row>
    <row r="111" spans="2:25" x14ac:dyDescent="0.2">
      <c r="B111" s="27"/>
      <c r="C111" s="3"/>
      <c r="D111" s="3"/>
      <c r="E111" s="4"/>
      <c r="F111" s="4"/>
      <c r="G111" s="1"/>
      <c r="H111" s="1"/>
      <c r="I111" s="3"/>
      <c r="J111" s="5"/>
      <c r="K111" s="5"/>
      <c r="L111" s="5"/>
      <c r="M111" s="5"/>
      <c r="N111" s="5"/>
      <c r="O111" s="41"/>
      <c r="P111" s="5"/>
      <c r="Q111" s="47"/>
      <c r="R111" s="48"/>
      <c r="S111" s="28"/>
      <c r="T111" s="28"/>
      <c r="U111" s="28"/>
      <c r="V111" s="50"/>
      <c r="W111" s="55"/>
      <c r="X111" s="35"/>
      <c r="Y111" s="35"/>
    </row>
    <row r="112" spans="2:25" ht="13.5" thickBot="1" x14ac:dyDescent="0.25">
      <c r="B112" s="27"/>
      <c r="C112" s="3"/>
      <c r="D112" s="3"/>
      <c r="E112" s="36"/>
      <c r="F112" s="4"/>
      <c r="G112" s="1"/>
      <c r="H112" s="1"/>
      <c r="I112" s="3"/>
      <c r="J112" s="8"/>
      <c r="K112" s="5"/>
      <c r="L112" s="5"/>
      <c r="M112" s="5"/>
      <c r="N112" s="5"/>
      <c r="O112" s="41"/>
      <c r="P112" s="5"/>
      <c r="Q112" s="47"/>
      <c r="R112" s="48"/>
      <c r="S112" s="39"/>
      <c r="T112" s="128">
        <f>+T108+T57+T27</f>
        <v>639274.62589400937</v>
      </c>
      <c r="U112" s="55" t="s">
        <v>225</v>
      </c>
      <c r="V112" s="50"/>
      <c r="W112" s="55"/>
      <c r="X112" s="35"/>
      <c r="Y112" s="35"/>
    </row>
    <row r="113" spans="2:25" ht="13.5" thickTop="1" x14ac:dyDescent="0.2">
      <c r="B113" s="27"/>
      <c r="C113" s="3"/>
      <c r="D113" s="3"/>
      <c r="E113" s="36"/>
      <c r="F113" s="4"/>
      <c r="G113" s="1"/>
      <c r="H113" s="1"/>
      <c r="I113" s="3"/>
      <c r="J113" s="8"/>
      <c r="K113" s="5"/>
      <c r="L113" s="5"/>
      <c r="M113" s="5"/>
      <c r="N113" s="5"/>
      <c r="O113" s="41"/>
      <c r="P113" s="5"/>
      <c r="Q113" s="47"/>
      <c r="R113" s="48"/>
      <c r="S113" s="39"/>
      <c r="T113" s="28"/>
      <c r="U113" s="28"/>
      <c r="V113" s="50"/>
      <c r="W113" s="55"/>
      <c r="X113" s="35"/>
      <c r="Y113" s="35"/>
    </row>
    <row r="114" spans="2:25" x14ac:dyDescent="0.2">
      <c r="E114" s="38"/>
      <c r="Q114" s="34"/>
      <c r="R114" s="34"/>
      <c r="S114" s="34"/>
      <c r="T114" s="34"/>
      <c r="U114" s="34"/>
      <c r="V114" s="49"/>
      <c r="W114" s="57"/>
      <c r="X114" s="49"/>
    </row>
    <row r="115" spans="2:25" x14ac:dyDescent="0.2">
      <c r="E115" s="38"/>
      <c r="Q115" s="34"/>
      <c r="R115" s="34"/>
      <c r="S115" s="34"/>
      <c r="T115" s="34"/>
      <c r="U115" s="34"/>
      <c r="V115" s="49"/>
      <c r="W115" s="57"/>
      <c r="X115" s="49"/>
    </row>
    <row r="116" spans="2:25" x14ac:dyDescent="0.2">
      <c r="E116" s="38"/>
    </row>
    <row r="117" spans="2:25" x14ac:dyDescent="0.2">
      <c r="E117" s="38"/>
    </row>
    <row r="118" spans="2:25" x14ac:dyDescent="0.2">
      <c r="E118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workbookViewId="0">
      <selection activeCell="Q23" sqref="Q2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259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172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115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115</v>
      </c>
      <c r="T9" s="9"/>
      <c r="U9" s="54">
        <v>156569</v>
      </c>
      <c r="V9" s="1"/>
      <c r="W9" s="36"/>
      <c r="X9" s="36"/>
    </row>
    <row r="10" spans="2:24" s="88" customFormat="1" x14ac:dyDescent="0.2">
      <c r="B10" s="79" t="s">
        <v>80</v>
      </c>
      <c r="C10" s="80" t="s">
        <v>34</v>
      </c>
      <c r="D10" s="80" t="s">
        <v>36</v>
      </c>
      <c r="E10" s="81">
        <v>36923</v>
      </c>
      <c r="F10" s="81">
        <v>37287</v>
      </c>
      <c r="G10" s="79" t="s">
        <v>82</v>
      </c>
      <c r="H10" s="79" t="s">
        <v>84</v>
      </c>
      <c r="I10" s="80" t="s">
        <v>43</v>
      </c>
      <c r="J10" s="78">
        <f>6.285/J$1</f>
        <v>0.20274193548387098</v>
      </c>
      <c r="K10" s="82"/>
      <c r="L10" s="82"/>
      <c r="M10" s="82"/>
      <c r="N10" s="82"/>
      <c r="O10" s="83"/>
      <c r="P10" s="82"/>
      <c r="Q10" s="84">
        <v>70357</v>
      </c>
      <c r="R10" s="80">
        <v>1</v>
      </c>
      <c r="S10" s="79" t="s">
        <v>301</v>
      </c>
      <c r="T10" s="86">
        <f t="shared" ref="T10:T18" si="0">J10*J$1*R10</f>
        <v>6.2850000000000001</v>
      </c>
      <c r="U10" s="96">
        <v>575478</v>
      </c>
      <c r="V10" s="79"/>
      <c r="W10" s="87"/>
      <c r="X10" s="87"/>
    </row>
    <row r="11" spans="2:24" s="58" customFormat="1" x14ac:dyDescent="0.2">
      <c r="B11" s="1" t="s">
        <v>80</v>
      </c>
      <c r="C11" s="3" t="s">
        <v>34</v>
      </c>
      <c r="D11" s="3" t="s">
        <v>95</v>
      </c>
      <c r="E11" s="4">
        <v>36617</v>
      </c>
      <c r="F11" s="4" t="s">
        <v>96</v>
      </c>
      <c r="G11" s="1" t="s">
        <v>97</v>
      </c>
      <c r="H11" s="1"/>
      <c r="I11" s="3" t="s">
        <v>98</v>
      </c>
      <c r="J11" s="8"/>
      <c r="K11" s="5"/>
      <c r="L11" s="5"/>
      <c r="M11" s="5"/>
      <c r="N11" s="5"/>
      <c r="O11" s="41"/>
      <c r="P11" s="5"/>
      <c r="Q11" s="24">
        <v>66917</v>
      </c>
      <c r="R11" s="3"/>
      <c r="S11" s="1"/>
      <c r="T11" s="9">
        <f t="shared" si="0"/>
        <v>0</v>
      </c>
      <c r="U11" s="54">
        <v>228085</v>
      </c>
      <c r="V11" s="1"/>
      <c r="W11" s="36"/>
      <c r="X11" s="36"/>
    </row>
    <row r="12" spans="2:24" s="88" customFormat="1" x14ac:dyDescent="0.2">
      <c r="B12" s="79" t="s">
        <v>80</v>
      </c>
      <c r="C12" s="80" t="s">
        <v>34</v>
      </c>
      <c r="D12" s="80" t="s">
        <v>36</v>
      </c>
      <c r="E12" s="81">
        <v>36617</v>
      </c>
      <c r="F12" s="81">
        <v>36981</v>
      </c>
      <c r="G12" s="79" t="s">
        <v>82</v>
      </c>
      <c r="H12" s="79" t="s">
        <v>104</v>
      </c>
      <c r="I12" s="80" t="s">
        <v>43</v>
      </c>
      <c r="J12" s="78">
        <f t="shared" ref="J12:J17" si="1">6.431/$J$1</f>
        <v>0.20745161290322581</v>
      </c>
      <c r="K12" s="82"/>
      <c r="L12" s="82"/>
      <c r="M12" s="82"/>
      <c r="N12" s="82"/>
      <c r="O12" s="83"/>
      <c r="P12" s="82"/>
      <c r="Q12" s="84">
        <v>66939</v>
      </c>
      <c r="R12" s="80">
        <v>3</v>
      </c>
      <c r="S12" s="79" t="s">
        <v>4</v>
      </c>
      <c r="T12" s="86">
        <f t="shared" si="0"/>
        <v>19.292999999999999</v>
      </c>
      <c r="U12" s="96"/>
      <c r="V12" s="79"/>
      <c r="W12" s="87"/>
      <c r="X12" s="87"/>
    </row>
    <row r="13" spans="2:24" s="88" customFormat="1" x14ac:dyDescent="0.2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83</v>
      </c>
      <c r="I13" s="80" t="s">
        <v>43</v>
      </c>
      <c r="J13" s="78">
        <f t="shared" si="1"/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5</v>
      </c>
      <c r="S13" s="79" t="s">
        <v>4</v>
      </c>
      <c r="T13" s="86">
        <f t="shared" si="0"/>
        <v>32.155000000000001</v>
      </c>
      <c r="U13" s="96"/>
      <c r="V13" s="79"/>
      <c r="W13" s="87"/>
      <c r="X13" s="87"/>
    </row>
    <row r="14" spans="2:24" s="88" customFormat="1" x14ac:dyDescent="0.2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105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17</v>
      </c>
      <c r="S14" s="79" t="s">
        <v>4</v>
      </c>
      <c r="T14" s="86">
        <f t="shared" si="0"/>
        <v>109.327</v>
      </c>
      <c r="U14" s="96"/>
      <c r="V14" s="79"/>
      <c r="W14" s="87"/>
      <c r="X14" s="87"/>
    </row>
    <row r="15" spans="2:24" s="88" customFormat="1" x14ac:dyDescent="0.2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84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27</v>
      </c>
      <c r="S15" s="79" t="s">
        <v>4</v>
      </c>
      <c r="T15" s="86">
        <f t="shared" si="0"/>
        <v>173.637</v>
      </c>
      <c r="U15" s="96"/>
      <c r="V15" s="79"/>
      <c r="W15" s="87"/>
      <c r="X15" s="87"/>
    </row>
    <row r="16" spans="2:24" s="88" customFormat="1" x14ac:dyDescent="0.2">
      <c r="B16" s="79" t="s">
        <v>80</v>
      </c>
      <c r="C16" s="80" t="s">
        <v>34</v>
      </c>
      <c r="D16" s="80" t="s">
        <v>35</v>
      </c>
      <c r="E16" s="81">
        <v>36617</v>
      </c>
      <c r="F16" s="81">
        <v>36981</v>
      </c>
      <c r="G16" s="79" t="s">
        <v>137</v>
      </c>
      <c r="H16" s="79" t="s">
        <v>106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66940</v>
      </c>
      <c r="R16" s="80">
        <v>1</v>
      </c>
      <c r="S16" s="85" t="s">
        <v>99</v>
      </c>
      <c r="T16" s="86">
        <f t="shared" si="0"/>
        <v>6.431</v>
      </c>
      <c r="U16" s="96">
        <v>228134</v>
      </c>
      <c r="V16" s="79"/>
      <c r="W16" s="87"/>
      <c r="X16" s="87"/>
    </row>
    <row r="17" spans="2:24" s="88" customFormat="1" x14ac:dyDescent="0.2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137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99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58" customFormat="1" x14ac:dyDescent="0.2">
      <c r="B18" s="1" t="s">
        <v>80</v>
      </c>
      <c r="C18" s="3" t="s">
        <v>34</v>
      </c>
      <c r="D18" s="3" t="s">
        <v>44</v>
      </c>
      <c r="E18" s="4">
        <v>36800</v>
      </c>
      <c r="F18" s="4">
        <v>36981</v>
      </c>
      <c r="G18" s="1" t="s">
        <v>45</v>
      </c>
      <c r="H18" s="1" t="s">
        <v>51</v>
      </c>
      <c r="I18" s="3" t="s">
        <v>50</v>
      </c>
      <c r="J18" s="78">
        <f>6.059/$J$1</f>
        <v>0.19545161290322582</v>
      </c>
      <c r="K18" s="5">
        <v>1.2999999999999999E-2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>SUM(J18:N18)</f>
        <v>0.21785161290322586</v>
      </c>
      <c r="Q18" s="24">
        <v>67694</v>
      </c>
      <c r="R18" s="3">
        <v>108648</v>
      </c>
      <c r="S18" s="1" t="s">
        <v>6</v>
      </c>
      <c r="T18" s="9">
        <f t="shared" si="0"/>
        <v>658298.23199999996</v>
      </c>
      <c r="U18" s="54">
        <v>231723</v>
      </c>
      <c r="V18" s="1"/>
      <c r="W18" s="36"/>
      <c r="X18" s="36"/>
    </row>
    <row r="19" spans="2:24" s="58" customFormat="1" x14ac:dyDescent="0.2">
      <c r="B19" s="1" t="s">
        <v>80</v>
      </c>
      <c r="C19" s="3" t="s">
        <v>34</v>
      </c>
      <c r="D19" s="3" t="s">
        <v>44</v>
      </c>
      <c r="E19" s="4">
        <v>36617</v>
      </c>
      <c r="F19" s="4">
        <v>36981</v>
      </c>
      <c r="G19" s="1" t="s">
        <v>45</v>
      </c>
      <c r="H19" s="1" t="s">
        <v>48</v>
      </c>
      <c r="I19" s="3" t="s">
        <v>46</v>
      </c>
      <c r="J19" s="78">
        <v>1.524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>SUM(J19:N19)</f>
        <v>1.524</v>
      </c>
      <c r="Q19" s="24">
        <v>67712</v>
      </c>
      <c r="R19" s="3">
        <v>108648</v>
      </c>
      <c r="S19" s="1" t="s">
        <v>111</v>
      </c>
      <c r="T19" s="9">
        <f>J19*R19</f>
        <v>165579.552</v>
      </c>
      <c r="U19" s="54">
        <v>235876</v>
      </c>
      <c r="V19" s="1">
        <v>231698</v>
      </c>
      <c r="W19" s="36"/>
      <c r="X19" s="36"/>
    </row>
    <row r="20" spans="2:24" s="58" customFormat="1" x14ac:dyDescent="0.2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47</v>
      </c>
      <c r="I20" s="3" t="s">
        <v>46</v>
      </c>
      <c r="J20" s="78">
        <v>2.93E-2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2.93E-2</v>
      </c>
      <c r="Q20" s="24">
        <v>67712</v>
      </c>
      <c r="R20" s="3">
        <v>6050607</v>
      </c>
      <c r="S20" s="1" t="s">
        <v>111</v>
      </c>
      <c r="T20" s="9">
        <f>J20*R20</f>
        <v>177282.78510000001</v>
      </c>
      <c r="U20" s="54">
        <v>235876</v>
      </c>
      <c r="V20" s="1">
        <v>231698</v>
      </c>
      <c r="W20" s="36"/>
      <c r="X20" s="36"/>
    </row>
    <row r="21" spans="2:24" s="58" customFormat="1" x14ac:dyDescent="0.2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8">
        <v>0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0</v>
      </c>
      <c r="Q21" s="24">
        <v>67713</v>
      </c>
      <c r="R21" s="3">
        <v>0</v>
      </c>
      <c r="S21" s="1" t="s">
        <v>121</v>
      </c>
      <c r="T21" s="9">
        <f>J21*R21</f>
        <v>0</v>
      </c>
      <c r="U21" s="54">
        <v>235876</v>
      </c>
      <c r="V21" s="1"/>
      <c r="W21" s="36"/>
      <c r="X21" s="36"/>
    </row>
    <row r="22" spans="2:24" s="58" customFormat="1" x14ac:dyDescent="0.2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48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121</v>
      </c>
      <c r="T22" s="9">
        <f>J22*R22</f>
        <v>0</v>
      </c>
      <c r="U22" s="54">
        <v>235876</v>
      </c>
      <c r="V22" s="1"/>
      <c r="W22" s="36"/>
      <c r="X22" s="36"/>
    </row>
    <row r="23" spans="2:24" s="88" customFormat="1" x14ac:dyDescent="0.2">
      <c r="B23" s="79" t="s">
        <v>80</v>
      </c>
      <c r="C23" s="80" t="s">
        <v>34</v>
      </c>
      <c r="D23" s="80" t="s">
        <v>35</v>
      </c>
      <c r="E23" s="81">
        <v>36647</v>
      </c>
      <c r="F23" s="81">
        <v>37011</v>
      </c>
      <c r="G23" s="79" t="s">
        <v>196</v>
      </c>
      <c r="H23" s="79" t="s">
        <v>109</v>
      </c>
      <c r="I23" s="80" t="s">
        <v>43</v>
      </c>
      <c r="J23" s="78">
        <f>6.431/$J$1</f>
        <v>0.20745161290322581</v>
      </c>
      <c r="K23" s="82"/>
      <c r="L23" s="82"/>
      <c r="M23" s="82"/>
      <c r="N23" s="82"/>
      <c r="O23" s="83"/>
      <c r="P23" s="82"/>
      <c r="Q23" s="84">
        <v>68188</v>
      </c>
      <c r="R23" s="80">
        <v>1</v>
      </c>
      <c r="S23" s="79" t="s">
        <v>110</v>
      </c>
      <c r="T23" s="86">
        <f t="shared" ref="T23:T65" si="2">J23*J$1*R23</f>
        <v>6.431</v>
      </c>
      <c r="U23" s="96">
        <v>253195</v>
      </c>
      <c r="V23" s="79"/>
      <c r="W23" s="87"/>
      <c r="X23" s="87"/>
    </row>
    <row r="24" spans="2:24" s="109" customFormat="1" x14ac:dyDescent="0.2">
      <c r="B24" s="98" t="s">
        <v>80</v>
      </c>
      <c r="C24" s="91" t="s">
        <v>34</v>
      </c>
      <c r="D24" s="91" t="s">
        <v>56</v>
      </c>
      <c r="E24" s="106">
        <v>36647</v>
      </c>
      <c r="F24" s="106">
        <v>37011</v>
      </c>
      <c r="G24" s="98" t="s">
        <v>82</v>
      </c>
      <c r="H24" s="98" t="s">
        <v>197</v>
      </c>
      <c r="I24" s="91" t="s">
        <v>43</v>
      </c>
      <c r="J24" s="78">
        <f>6.431/$J$1</f>
        <v>0.20745161290322581</v>
      </c>
      <c r="K24" s="107"/>
      <c r="L24" s="107"/>
      <c r="M24" s="107"/>
      <c r="N24" s="107"/>
      <c r="O24" s="108"/>
      <c r="P24" s="107"/>
      <c r="Q24" s="90">
        <v>68257</v>
      </c>
      <c r="R24" s="91">
        <v>21</v>
      </c>
      <c r="S24" s="98" t="s">
        <v>113</v>
      </c>
      <c r="T24" s="86">
        <f t="shared" si="2"/>
        <v>135.05099999999999</v>
      </c>
      <c r="U24" s="101">
        <v>254718</v>
      </c>
      <c r="V24" s="98"/>
      <c r="W24" s="102"/>
      <c r="X24" s="102"/>
    </row>
    <row r="25" spans="2:24" s="88" customFormat="1" x14ac:dyDescent="0.2">
      <c r="B25" s="79" t="s">
        <v>80</v>
      </c>
      <c r="C25" s="80" t="s">
        <v>34</v>
      </c>
      <c r="D25" s="80" t="s">
        <v>36</v>
      </c>
      <c r="E25" s="81">
        <v>36656</v>
      </c>
      <c r="F25" s="81">
        <v>36950</v>
      </c>
      <c r="G25" s="79" t="s">
        <v>82</v>
      </c>
      <c r="H25" s="85" t="s">
        <v>84</v>
      </c>
      <c r="I25" s="80" t="s">
        <v>43</v>
      </c>
      <c r="J25" s="78">
        <f t="shared" ref="J25:J33" si="3">6.431/$J$1</f>
        <v>0.20745161290322581</v>
      </c>
      <c r="K25" s="82"/>
      <c r="L25" s="82"/>
      <c r="M25" s="82"/>
      <c r="N25" s="82"/>
      <c r="O25" s="83"/>
      <c r="P25" s="82"/>
      <c r="Q25" s="84">
        <v>68308</v>
      </c>
      <c r="R25" s="80">
        <v>4</v>
      </c>
      <c r="S25" s="79" t="s">
        <v>116</v>
      </c>
      <c r="T25" s="86">
        <f t="shared" si="2"/>
        <v>25.724</v>
      </c>
      <c r="U25" s="96">
        <v>262094</v>
      </c>
      <c r="V25" s="79"/>
      <c r="W25" s="87"/>
      <c r="X25" s="87"/>
    </row>
    <row r="26" spans="2:24" s="88" customFormat="1" x14ac:dyDescent="0.2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83</v>
      </c>
      <c r="I26" s="80" t="s">
        <v>43</v>
      </c>
      <c r="J26" s="78">
        <f t="shared" si="3"/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5</v>
      </c>
      <c r="S26" s="79" t="s">
        <v>116</v>
      </c>
      <c r="T26" s="86">
        <f t="shared" si="2"/>
        <v>32.155000000000001</v>
      </c>
      <c r="U26" s="96">
        <v>262094</v>
      </c>
      <c r="V26" s="79"/>
      <c r="W26" s="87"/>
      <c r="X26" s="87"/>
    </row>
    <row r="27" spans="2:24" s="88" customFormat="1" x14ac:dyDescent="0.2">
      <c r="B27" s="79" t="s">
        <v>80</v>
      </c>
      <c r="C27" s="80" t="s">
        <v>34</v>
      </c>
      <c r="D27" s="80" t="s">
        <v>41</v>
      </c>
      <c r="E27" s="81">
        <v>36678</v>
      </c>
      <c r="F27" s="81">
        <v>37042</v>
      </c>
      <c r="G27" s="79" t="s">
        <v>42</v>
      </c>
      <c r="H27" s="79" t="s">
        <v>198</v>
      </c>
      <c r="I27" s="80" t="s">
        <v>43</v>
      </c>
      <c r="J27" s="78">
        <f t="shared" si="3"/>
        <v>0.20745161290322581</v>
      </c>
      <c r="K27" s="82">
        <v>1.32E-2</v>
      </c>
      <c r="L27" s="82">
        <v>2.2000000000000001E-3</v>
      </c>
      <c r="M27" s="82">
        <v>7.1999999999999998E-3</v>
      </c>
      <c r="N27" s="82">
        <v>0</v>
      </c>
      <c r="O27" s="83">
        <v>2.1160000000000002E-2</v>
      </c>
      <c r="P27" s="82">
        <f t="shared" ref="P27:P33" si="4">SUM(J27:N27)</f>
        <v>0.23005161290322582</v>
      </c>
      <c r="Q27" s="84">
        <v>68359</v>
      </c>
      <c r="R27" s="80">
        <v>285</v>
      </c>
      <c r="S27" s="79" t="s">
        <v>120</v>
      </c>
      <c r="T27" s="86">
        <f t="shared" si="2"/>
        <v>1832.835</v>
      </c>
      <c r="U27" s="96">
        <v>271307</v>
      </c>
      <c r="V27" s="79"/>
      <c r="W27" s="87"/>
      <c r="X27" s="87"/>
    </row>
    <row r="28" spans="2:24" s="88" customFormat="1" x14ac:dyDescent="0.2">
      <c r="B28" s="79" t="s">
        <v>80</v>
      </c>
      <c r="C28" s="80" t="s">
        <v>34</v>
      </c>
      <c r="D28" s="80" t="s">
        <v>40</v>
      </c>
      <c r="E28" s="81">
        <v>36678</v>
      </c>
      <c r="F28" s="81">
        <v>37042</v>
      </c>
      <c r="G28" s="79" t="s">
        <v>42</v>
      </c>
      <c r="H28" s="79" t="s">
        <v>199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si="4"/>
        <v>0.23005161290322582</v>
      </c>
      <c r="Q28" s="84">
        <v>68384</v>
      </c>
      <c r="R28" s="80">
        <v>23</v>
      </c>
      <c r="S28" s="79" t="s">
        <v>119</v>
      </c>
      <c r="T28" s="86">
        <f t="shared" si="2"/>
        <v>147.91300000000001</v>
      </c>
      <c r="U28" s="96">
        <v>280570</v>
      </c>
      <c r="V28" s="79"/>
      <c r="W28" s="87"/>
      <c r="X28" s="87"/>
    </row>
    <row r="29" spans="2:24" s="88" customFormat="1" x14ac:dyDescent="0.2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200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88</v>
      </c>
      <c r="S29" s="79" t="s">
        <v>119</v>
      </c>
      <c r="T29" s="86">
        <f>J29*J$1*R29</f>
        <v>565.928</v>
      </c>
      <c r="U29" s="96">
        <v>280570</v>
      </c>
      <c r="V29" s="79"/>
      <c r="W29" s="87"/>
      <c r="X29" s="87"/>
    </row>
    <row r="30" spans="2:24" s="88" customFormat="1" x14ac:dyDescent="0.2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201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19</v>
      </c>
      <c r="S30" s="79" t="s">
        <v>119</v>
      </c>
      <c r="T30" s="86">
        <f>J30*J$1*R30</f>
        <v>122.18900000000001</v>
      </c>
      <c r="U30" s="96">
        <v>280570</v>
      </c>
      <c r="V30" s="79"/>
      <c r="W30" s="87"/>
      <c r="X30" s="87"/>
    </row>
    <row r="31" spans="2:24" s="88" customFormat="1" x14ac:dyDescent="0.2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105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88</v>
      </c>
      <c r="S31" s="79" t="s">
        <v>119</v>
      </c>
      <c r="T31" s="86">
        <f>J31*J$1*R31</f>
        <v>565.928</v>
      </c>
      <c r="U31" s="96">
        <v>280570</v>
      </c>
      <c r="V31" s="79"/>
      <c r="W31" s="87"/>
      <c r="X31" s="87"/>
    </row>
    <row r="32" spans="2:24" s="88" customFormat="1" x14ac:dyDescent="0.2">
      <c r="B32" s="79" t="s">
        <v>80</v>
      </c>
      <c r="C32" s="80" t="s">
        <v>34</v>
      </c>
      <c r="D32" s="80" t="s">
        <v>41</v>
      </c>
      <c r="E32" s="81">
        <v>36708</v>
      </c>
      <c r="F32" s="81">
        <v>37072</v>
      </c>
      <c r="G32" s="79" t="s">
        <v>42</v>
      </c>
      <c r="H32" s="79" t="s">
        <v>197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68616</v>
      </c>
      <c r="R32" s="80">
        <v>900</v>
      </c>
      <c r="S32" s="79" t="s">
        <v>122</v>
      </c>
      <c r="T32" s="86">
        <f t="shared" si="2"/>
        <v>5787.9</v>
      </c>
      <c r="U32" s="96">
        <v>309723</v>
      </c>
      <c r="V32" s="79" t="s">
        <v>123</v>
      </c>
      <c r="W32" s="87"/>
      <c r="X32" s="87"/>
    </row>
    <row r="33" spans="2:25" s="88" customFormat="1" x14ac:dyDescent="0.2">
      <c r="B33" s="79" t="s">
        <v>80</v>
      </c>
      <c r="C33" s="80" t="s">
        <v>34</v>
      </c>
      <c r="D33" s="80" t="s">
        <v>40</v>
      </c>
      <c r="E33" s="81">
        <v>36708</v>
      </c>
      <c r="F33" s="81">
        <v>37072</v>
      </c>
      <c r="G33" s="79" t="s">
        <v>42</v>
      </c>
      <c r="H33" s="79" t="s">
        <v>199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68635</v>
      </c>
      <c r="R33" s="80">
        <v>1</v>
      </c>
      <c r="S33" s="79" t="s">
        <v>124</v>
      </c>
      <c r="T33" s="86">
        <f t="shared" si="2"/>
        <v>6.431</v>
      </c>
      <c r="U33" s="96">
        <v>312333</v>
      </c>
      <c r="V33" s="79"/>
      <c r="W33" s="87"/>
      <c r="X33" s="87"/>
    </row>
    <row r="34" spans="2:25" s="88" customFormat="1" x14ac:dyDescent="0.2">
      <c r="B34" s="79" t="s">
        <v>80</v>
      </c>
      <c r="C34" s="80" t="s">
        <v>34</v>
      </c>
      <c r="D34" s="80" t="s">
        <v>77</v>
      </c>
      <c r="E34" s="81">
        <v>36831</v>
      </c>
      <c r="F34" s="81">
        <v>37195</v>
      </c>
      <c r="G34" s="79" t="s">
        <v>152</v>
      </c>
      <c r="H34" s="79" t="s">
        <v>153</v>
      </c>
      <c r="I34" s="80" t="s">
        <v>43</v>
      </c>
      <c r="J34" s="78">
        <f>5.171/J$1</f>
        <v>0.16680645161290322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ref="P34:P40" si="5">SUM(J34:N34)</f>
        <v>0.18940645161290323</v>
      </c>
      <c r="Q34" s="84">
        <v>68915</v>
      </c>
      <c r="R34" s="80">
        <v>2400</v>
      </c>
      <c r="S34" s="79" t="s">
        <v>151</v>
      </c>
      <c r="T34" s="86">
        <f t="shared" si="2"/>
        <v>12410.400000000001</v>
      </c>
      <c r="U34" s="89" t="s">
        <v>161</v>
      </c>
      <c r="V34" s="79"/>
      <c r="W34" s="87"/>
      <c r="X34" s="87"/>
    </row>
    <row r="35" spans="2:25" s="88" customFormat="1" x14ac:dyDescent="0.2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52</v>
      </c>
      <c r="H35" s="79" t="s">
        <v>154</v>
      </c>
      <c r="I35" s="80" t="s">
        <v>43</v>
      </c>
      <c r="J35" s="78">
        <f>5.18/J$1</f>
        <v>0.16709677419354838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si="5"/>
        <v>0.18969677419354838</v>
      </c>
      <c r="Q35" s="84">
        <v>68916</v>
      </c>
      <c r="R35" s="80">
        <v>1915</v>
      </c>
      <c r="S35" s="79" t="s">
        <v>155</v>
      </c>
      <c r="T35" s="86">
        <f t="shared" si="2"/>
        <v>9919.6999999999989</v>
      </c>
      <c r="U35" s="89" t="s">
        <v>162</v>
      </c>
      <c r="V35" s="79"/>
      <c r="W35" s="87"/>
      <c r="X35" s="87"/>
    </row>
    <row r="36" spans="2:25" s="88" customFormat="1" x14ac:dyDescent="0.2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154</v>
      </c>
      <c r="I36" s="80" t="s">
        <v>43</v>
      </c>
      <c r="J36" s="78">
        <f>5.1807/J$1</f>
        <v>0.16711935483870968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0.18971935483870969</v>
      </c>
      <c r="Q36" s="84">
        <v>68917</v>
      </c>
      <c r="R36" s="80">
        <v>85</v>
      </c>
      <c r="S36" s="79" t="s">
        <v>155</v>
      </c>
      <c r="T36" s="86">
        <f t="shared" si="2"/>
        <v>440.35949999999997</v>
      </c>
      <c r="U36" s="89" t="s">
        <v>163</v>
      </c>
      <c r="V36" s="79"/>
      <c r="W36" s="87"/>
      <c r="X36" s="87"/>
    </row>
    <row r="37" spans="2:25" s="88" customFormat="1" x14ac:dyDescent="0.2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158</v>
      </c>
      <c r="H37" s="79" t="s">
        <v>157</v>
      </c>
      <c r="I37" s="80" t="s">
        <v>43</v>
      </c>
      <c r="J37" s="78">
        <f>5.171/J$1</f>
        <v>0.16680645161290322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0.18940645161290323</v>
      </c>
      <c r="Q37" s="84">
        <v>68918</v>
      </c>
      <c r="R37" s="80">
        <v>1000</v>
      </c>
      <c r="S37" s="79" t="s">
        <v>156</v>
      </c>
      <c r="T37" s="86">
        <f t="shared" si="2"/>
        <v>5171</v>
      </c>
      <c r="U37" s="89" t="s">
        <v>164</v>
      </c>
      <c r="V37" s="79"/>
      <c r="W37" s="87"/>
      <c r="X37" s="87"/>
    </row>
    <row r="38" spans="2:25" s="88" customFormat="1" x14ac:dyDescent="0.2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52</v>
      </c>
      <c r="H38" s="79" t="s">
        <v>157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2000</v>
      </c>
      <c r="S38" s="79" t="s">
        <v>156</v>
      </c>
      <c r="T38" s="86">
        <f t="shared" si="2"/>
        <v>10342</v>
      </c>
      <c r="U38" s="89" t="s">
        <v>164</v>
      </c>
      <c r="V38" s="79"/>
      <c r="W38" s="87"/>
      <c r="X38" s="87"/>
    </row>
    <row r="39" spans="2:25" s="88" customFormat="1" x14ac:dyDescent="0.2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53</v>
      </c>
      <c r="H39" s="79" t="s">
        <v>157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5000</v>
      </c>
      <c r="S39" s="79" t="s">
        <v>156</v>
      </c>
      <c r="T39" s="86">
        <f t="shared" si="2"/>
        <v>25855</v>
      </c>
      <c r="U39" s="89" t="s">
        <v>164</v>
      </c>
      <c r="V39" s="79"/>
      <c r="W39" s="87"/>
      <c r="X39" s="87"/>
    </row>
    <row r="40" spans="2:25" s="88" customFormat="1" x14ac:dyDescent="0.2">
      <c r="B40" s="79" t="s">
        <v>80</v>
      </c>
      <c r="C40" s="80" t="s">
        <v>34</v>
      </c>
      <c r="D40" s="80" t="s">
        <v>40</v>
      </c>
      <c r="E40" s="81">
        <v>36739</v>
      </c>
      <c r="F40" s="81">
        <v>37103</v>
      </c>
      <c r="G40" s="79" t="s">
        <v>42</v>
      </c>
      <c r="H40" s="79" t="s">
        <v>133</v>
      </c>
      <c r="I40" s="80" t="s">
        <v>43</v>
      </c>
      <c r="J40" s="78">
        <f>6.431/J$1</f>
        <v>0.20745161290322581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0.23005161290322582</v>
      </c>
      <c r="Q40" s="84">
        <v>68926</v>
      </c>
      <c r="R40" s="80">
        <v>2</v>
      </c>
      <c r="S40" s="79" t="s">
        <v>0</v>
      </c>
      <c r="T40" s="86">
        <f t="shared" si="2"/>
        <v>12.862</v>
      </c>
      <c r="U40" s="96">
        <v>345125</v>
      </c>
      <c r="V40" s="79"/>
      <c r="W40" s="87"/>
      <c r="X40" s="87"/>
    </row>
    <row r="41" spans="2:25" s="88" customFormat="1" x14ac:dyDescent="0.2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138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>SUM(J41:N41)</f>
        <v>0.23005161290322582</v>
      </c>
      <c r="Q41" s="84">
        <v>68926</v>
      </c>
      <c r="R41" s="80">
        <v>2</v>
      </c>
      <c r="S41" s="79" t="s">
        <v>0</v>
      </c>
      <c r="T41" s="86">
        <f>J41*J$1*R41</f>
        <v>12.862</v>
      </c>
      <c r="U41" s="96">
        <v>345125</v>
      </c>
      <c r="V41" s="79"/>
      <c r="W41" s="87"/>
      <c r="X41" s="87"/>
    </row>
    <row r="42" spans="2:25" s="88" customFormat="1" x14ac:dyDescent="0.2">
      <c r="B42" s="98" t="s">
        <v>80</v>
      </c>
      <c r="C42" s="91" t="s">
        <v>34</v>
      </c>
      <c r="D42" s="91" t="s">
        <v>56</v>
      </c>
      <c r="E42" s="106">
        <v>36739</v>
      </c>
      <c r="F42" s="106">
        <v>37103</v>
      </c>
      <c r="G42" s="98" t="s">
        <v>82</v>
      </c>
      <c r="H42" s="98" t="s">
        <v>202</v>
      </c>
      <c r="I42" s="91" t="s">
        <v>43</v>
      </c>
      <c r="J42" s="78">
        <f>6.431/$J$1</f>
        <v>0.20745161290322581</v>
      </c>
      <c r="K42" s="107"/>
      <c r="L42" s="107"/>
      <c r="M42" s="107"/>
      <c r="N42" s="107"/>
      <c r="O42" s="108"/>
      <c r="P42" s="107"/>
      <c r="Q42" s="90">
        <v>68928</v>
      </c>
      <c r="R42" s="91">
        <v>47</v>
      </c>
      <c r="S42" s="98" t="s">
        <v>3</v>
      </c>
      <c r="T42" s="86">
        <f t="shared" si="2"/>
        <v>302.25700000000001</v>
      </c>
      <c r="U42" s="101">
        <v>351966</v>
      </c>
      <c r="V42" s="98"/>
      <c r="W42" s="102"/>
      <c r="X42" s="102"/>
      <c r="Y42" s="109"/>
    </row>
    <row r="43" spans="2:25" s="88" customFormat="1" x14ac:dyDescent="0.2">
      <c r="B43" s="98" t="s">
        <v>80</v>
      </c>
      <c r="C43" s="91" t="s">
        <v>34</v>
      </c>
      <c r="D43" s="91" t="s">
        <v>36</v>
      </c>
      <c r="E43" s="106">
        <v>36770</v>
      </c>
      <c r="F43" s="106">
        <v>37134</v>
      </c>
      <c r="G43" s="98" t="s">
        <v>82</v>
      </c>
      <c r="H43" s="98" t="s">
        <v>134</v>
      </c>
      <c r="I43" s="91" t="s">
        <v>43</v>
      </c>
      <c r="J43" s="78">
        <f>6.431/$J$1</f>
        <v>0.20745161290322581</v>
      </c>
      <c r="K43" s="107"/>
      <c r="L43" s="107"/>
      <c r="M43" s="107"/>
      <c r="N43" s="107"/>
      <c r="O43" s="108"/>
      <c r="P43" s="107"/>
      <c r="Q43" s="90">
        <v>69144</v>
      </c>
      <c r="R43" s="91">
        <v>4</v>
      </c>
      <c r="S43" s="98" t="s">
        <v>127</v>
      </c>
      <c r="T43" s="86">
        <f t="shared" si="2"/>
        <v>25.724</v>
      </c>
      <c r="U43" s="101"/>
      <c r="V43" s="98"/>
      <c r="W43" s="102"/>
      <c r="X43" s="102"/>
      <c r="Y43" s="109"/>
    </row>
    <row r="44" spans="2:25" s="88" customFormat="1" x14ac:dyDescent="0.2">
      <c r="B44" s="98" t="s">
        <v>80</v>
      </c>
      <c r="C44" s="91" t="s">
        <v>34</v>
      </c>
      <c r="D44" s="91" t="s">
        <v>36</v>
      </c>
      <c r="E44" s="106">
        <v>36770</v>
      </c>
      <c r="F44" s="106">
        <v>37134</v>
      </c>
      <c r="G44" s="98" t="s">
        <v>82</v>
      </c>
      <c r="H44" s="98" t="s">
        <v>133</v>
      </c>
      <c r="I44" s="91" t="s">
        <v>43</v>
      </c>
      <c r="J44" s="78">
        <f>6.431/$J$1</f>
        <v>0.20745161290322581</v>
      </c>
      <c r="K44" s="107"/>
      <c r="L44" s="107"/>
      <c r="M44" s="107"/>
      <c r="N44" s="107"/>
      <c r="O44" s="108"/>
      <c r="P44" s="107"/>
      <c r="Q44" s="90">
        <v>69144</v>
      </c>
      <c r="R44" s="91">
        <v>23</v>
      </c>
      <c r="S44" s="98" t="s">
        <v>127</v>
      </c>
      <c r="T44" s="86">
        <f>J44*J$1*R44</f>
        <v>147.91300000000001</v>
      </c>
      <c r="U44" s="101"/>
      <c r="V44" s="98"/>
      <c r="W44" s="102"/>
      <c r="X44" s="102"/>
      <c r="Y44" s="109"/>
    </row>
    <row r="45" spans="2:25" s="88" customFormat="1" x14ac:dyDescent="0.2">
      <c r="B45" s="98" t="s">
        <v>80</v>
      </c>
      <c r="C45" s="91" t="s">
        <v>34</v>
      </c>
      <c r="D45" s="91" t="s">
        <v>36</v>
      </c>
      <c r="E45" s="106">
        <v>36770</v>
      </c>
      <c r="F45" s="106">
        <v>37134</v>
      </c>
      <c r="G45" s="98" t="s">
        <v>82</v>
      </c>
      <c r="H45" s="98" t="s">
        <v>203</v>
      </c>
      <c r="I45" s="91" t="s">
        <v>43</v>
      </c>
      <c r="J45" s="78">
        <f>6.431/$J$1</f>
        <v>0.20745161290322581</v>
      </c>
      <c r="K45" s="107"/>
      <c r="L45" s="107"/>
      <c r="M45" s="107"/>
      <c r="N45" s="107"/>
      <c r="O45" s="108"/>
      <c r="P45" s="107"/>
      <c r="Q45" s="90">
        <v>69144</v>
      </c>
      <c r="R45" s="91">
        <v>4</v>
      </c>
      <c r="S45" s="98" t="s">
        <v>127</v>
      </c>
      <c r="T45" s="86">
        <f>J45*J$1*R45</f>
        <v>25.724</v>
      </c>
      <c r="U45" s="101"/>
      <c r="V45" s="98"/>
      <c r="W45" s="102"/>
      <c r="X45" s="102"/>
      <c r="Y45" s="109"/>
    </row>
    <row r="46" spans="2:25" s="88" customFormat="1" x14ac:dyDescent="0.2">
      <c r="B46" s="98" t="s">
        <v>80</v>
      </c>
      <c r="C46" s="91" t="s">
        <v>34</v>
      </c>
      <c r="D46" s="91" t="s">
        <v>36</v>
      </c>
      <c r="E46" s="106">
        <v>36770</v>
      </c>
      <c r="F46" s="106">
        <v>37134</v>
      </c>
      <c r="G46" s="98" t="s">
        <v>82</v>
      </c>
      <c r="H46" s="98" t="s">
        <v>135</v>
      </c>
      <c r="I46" s="91" t="s">
        <v>43</v>
      </c>
      <c r="J46" s="78">
        <f>6.431/$J$1</f>
        <v>0.20745161290322581</v>
      </c>
      <c r="K46" s="107"/>
      <c r="L46" s="107"/>
      <c r="M46" s="107"/>
      <c r="N46" s="107"/>
      <c r="O46" s="108"/>
      <c r="P46" s="107"/>
      <c r="Q46" s="90">
        <v>69144</v>
      </c>
      <c r="R46" s="91">
        <v>31</v>
      </c>
      <c r="S46" s="98" t="s">
        <v>127</v>
      </c>
      <c r="T46" s="86">
        <f>J46*J$1*R46</f>
        <v>199.36099999999999</v>
      </c>
      <c r="U46" s="101"/>
      <c r="V46" s="98"/>
      <c r="W46" s="102"/>
      <c r="X46" s="102"/>
      <c r="Y46" s="109"/>
    </row>
    <row r="47" spans="2:25" s="109" customFormat="1" x14ac:dyDescent="0.2">
      <c r="B47" s="79" t="s">
        <v>80</v>
      </c>
      <c r="C47" s="80" t="s">
        <v>34</v>
      </c>
      <c r="D47" s="80" t="s">
        <v>77</v>
      </c>
      <c r="E47" s="81">
        <v>36831</v>
      </c>
      <c r="F47" s="81">
        <v>37195</v>
      </c>
      <c r="G47" s="79" t="s">
        <v>53</v>
      </c>
      <c r="H47" s="79" t="s">
        <v>153</v>
      </c>
      <c r="I47" s="80" t="s">
        <v>43</v>
      </c>
      <c r="J47" s="78">
        <f>5.171/J$1</f>
        <v>0.16680645161290322</v>
      </c>
      <c r="K47" s="82">
        <v>1.32E-2</v>
      </c>
      <c r="L47" s="82">
        <v>2.2000000000000001E-3</v>
      </c>
      <c r="M47" s="82">
        <v>7.1999999999999998E-3</v>
      </c>
      <c r="N47" s="82">
        <v>0</v>
      </c>
      <c r="O47" s="83">
        <v>2.1160000000000002E-2</v>
      </c>
      <c r="P47" s="82">
        <f>SUM(J47:N47)</f>
        <v>0.18940645161290323</v>
      </c>
      <c r="Q47" s="84">
        <v>69148</v>
      </c>
      <c r="R47" s="80">
        <v>500</v>
      </c>
      <c r="S47" s="79" t="s">
        <v>159</v>
      </c>
      <c r="T47" s="86">
        <f t="shared" si="2"/>
        <v>2585.5</v>
      </c>
      <c r="U47" s="89" t="s">
        <v>165</v>
      </c>
      <c r="V47" s="79"/>
      <c r="W47" s="87"/>
      <c r="X47" s="87"/>
      <c r="Y47" s="88"/>
    </row>
    <row r="48" spans="2:25" s="109" customFormat="1" x14ac:dyDescent="0.2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52</v>
      </c>
      <c r="H48" s="79" t="s">
        <v>154</v>
      </c>
      <c r="I48" s="80" t="s">
        <v>43</v>
      </c>
      <c r="J48" s="78">
        <f>5.18/J$1</f>
        <v>0.16709677419354838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0.18969677419354838</v>
      </c>
      <c r="Q48" s="84">
        <v>69149</v>
      </c>
      <c r="R48" s="80">
        <v>1000</v>
      </c>
      <c r="S48" s="79" t="s">
        <v>160</v>
      </c>
      <c r="T48" s="86">
        <f t="shared" si="2"/>
        <v>5180</v>
      </c>
      <c r="U48" s="89"/>
      <c r="V48" s="79"/>
      <c r="W48" s="87"/>
      <c r="X48" s="87"/>
      <c r="Y48" s="88"/>
    </row>
    <row r="49" spans="2:24" s="109" customFormat="1" x14ac:dyDescent="0.2">
      <c r="B49" s="98" t="s">
        <v>80</v>
      </c>
      <c r="C49" s="91" t="s">
        <v>34</v>
      </c>
      <c r="D49" s="91" t="s">
        <v>36</v>
      </c>
      <c r="E49" s="106">
        <v>36800</v>
      </c>
      <c r="F49" s="106">
        <v>37164</v>
      </c>
      <c r="G49" s="98" t="s">
        <v>82</v>
      </c>
      <c r="H49" s="98" t="s">
        <v>134</v>
      </c>
      <c r="I49" s="91" t="s">
        <v>43</v>
      </c>
      <c r="J49" s="78">
        <f>6.431/$J$1</f>
        <v>0.20745161290322581</v>
      </c>
      <c r="K49" s="107"/>
      <c r="L49" s="107"/>
      <c r="M49" s="107"/>
      <c r="N49" s="107"/>
      <c r="O49" s="108"/>
      <c r="P49" s="107"/>
      <c r="Q49" s="90">
        <v>69424</v>
      </c>
      <c r="R49" s="91">
        <v>1</v>
      </c>
      <c r="S49" s="98" t="s">
        <v>131</v>
      </c>
      <c r="T49" s="86">
        <f t="shared" si="2"/>
        <v>6.431</v>
      </c>
      <c r="U49" s="101">
        <v>418221</v>
      </c>
      <c r="V49" s="98"/>
      <c r="W49" s="102"/>
      <c r="X49" s="102"/>
    </row>
    <row r="50" spans="2:24" s="109" customFormat="1" x14ac:dyDescent="0.2">
      <c r="B50" s="98" t="s">
        <v>80</v>
      </c>
      <c r="C50" s="91" t="s">
        <v>34</v>
      </c>
      <c r="D50" s="91" t="s">
        <v>36</v>
      </c>
      <c r="E50" s="106">
        <v>36800</v>
      </c>
      <c r="F50" s="106">
        <v>37164</v>
      </c>
      <c r="G50" s="98" t="s">
        <v>82</v>
      </c>
      <c r="H50" s="98" t="s">
        <v>133</v>
      </c>
      <c r="I50" s="91" t="s">
        <v>43</v>
      </c>
      <c r="J50" s="78">
        <f>6.431/$J$1</f>
        <v>0.20745161290322581</v>
      </c>
      <c r="K50" s="107"/>
      <c r="L50" s="107"/>
      <c r="M50" s="107"/>
      <c r="N50" s="107"/>
      <c r="O50" s="108"/>
      <c r="P50" s="107"/>
      <c r="Q50" s="90">
        <v>69424</v>
      </c>
      <c r="R50" s="91">
        <v>1</v>
      </c>
      <c r="S50" s="98" t="s">
        <v>131</v>
      </c>
      <c r="T50" s="86">
        <f>J50*J$1*R50</f>
        <v>6.431</v>
      </c>
      <c r="U50" s="101">
        <v>418221</v>
      </c>
      <c r="V50" s="98"/>
      <c r="W50" s="102"/>
      <c r="X50" s="102"/>
    </row>
    <row r="51" spans="2:24" s="109" customFormat="1" x14ac:dyDescent="0.2">
      <c r="B51" s="98" t="s">
        <v>80</v>
      </c>
      <c r="C51" s="91" t="s">
        <v>34</v>
      </c>
      <c r="D51" s="91" t="s">
        <v>36</v>
      </c>
      <c r="E51" s="106">
        <v>36800</v>
      </c>
      <c r="F51" s="106">
        <v>37164</v>
      </c>
      <c r="G51" s="98" t="s">
        <v>82</v>
      </c>
      <c r="H51" s="98" t="s">
        <v>135</v>
      </c>
      <c r="I51" s="91" t="s">
        <v>43</v>
      </c>
      <c r="J51" s="78">
        <f>6.431/$J$1</f>
        <v>0.20745161290322581</v>
      </c>
      <c r="K51" s="107"/>
      <c r="L51" s="107"/>
      <c r="M51" s="107"/>
      <c r="N51" s="107"/>
      <c r="O51" s="108"/>
      <c r="P51" s="107"/>
      <c r="Q51" s="90">
        <v>69424</v>
      </c>
      <c r="R51" s="91">
        <v>11</v>
      </c>
      <c r="S51" s="98" t="s">
        <v>131</v>
      </c>
      <c r="T51" s="86">
        <f>J51*J$1*R51</f>
        <v>70.741</v>
      </c>
      <c r="U51" s="101">
        <v>418221</v>
      </c>
      <c r="V51" s="98"/>
      <c r="W51" s="102"/>
      <c r="X51" s="102"/>
    </row>
    <row r="52" spans="2:24" s="88" customFormat="1" x14ac:dyDescent="0.2">
      <c r="B52" s="79" t="s">
        <v>80</v>
      </c>
      <c r="C52" s="80" t="s">
        <v>34</v>
      </c>
      <c r="D52" s="80" t="s">
        <v>77</v>
      </c>
      <c r="E52" s="81">
        <v>36831</v>
      </c>
      <c r="F52" s="81">
        <v>37195</v>
      </c>
      <c r="G52" s="79" t="s">
        <v>173</v>
      </c>
      <c r="H52" s="79" t="s">
        <v>153</v>
      </c>
      <c r="I52" s="80" t="s">
        <v>43</v>
      </c>
      <c r="J52" s="78">
        <f>5.171/J$1</f>
        <v>0.16680645161290322</v>
      </c>
      <c r="K52" s="82">
        <v>1.32E-2</v>
      </c>
      <c r="L52" s="82">
        <v>2.2000000000000001E-3</v>
      </c>
      <c r="M52" s="82">
        <v>7.4999999999999997E-3</v>
      </c>
      <c r="N52" s="82">
        <v>0</v>
      </c>
      <c r="O52" s="83">
        <v>2.1160000000000002E-2</v>
      </c>
      <c r="P52" s="82">
        <f t="shared" ref="P52:P61" si="6">SUM(J52:N52)</f>
        <v>0.18970645161290323</v>
      </c>
      <c r="Q52" s="84">
        <v>69693</v>
      </c>
      <c r="R52" s="80">
        <v>1600</v>
      </c>
      <c r="S52" s="85" t="s">
        <v>174</v>
      </c>
      <c r="T52" s="86">
        <f t="shared" si="2"/>
        <v>8273.6</v>
      </c>
      <c r="U52" s="89" t="s">
        <v>139</v>
      </c>
      <c r="V52" s="86"/>
      <c r="W52" s="87"/>
      <c r="X52" s="87"/>
    </row>
    <row r="53" spans="2:24" s="88" customFormat="1" x14ac:dyDescent="0.2">
      <c r="B53" s="79" t="s">
        <v>80</v>
      </c>
      <c r="C53" s="80" t="s">
        <v>34</v>
      </c>
      <c r="D53" s="80" t="s">
        <v>49</v>
      </c>
      <c r="E53" s="81">
        <v>36831</v>
      </c>
      <c r="F53" s="81">
        <v>37195</v>
      </c>
      <c r="G53" s="79" t="s">
        <v>144</v>
      </c>
      <c r="H53" s="79" t="s">
        <v>204</v>
      </c>
      <c r="I53" s="80" t="s">
        <v>43</v>
      </c>
      <c r="J53" s="78">
        <f t="shared" ref="J53:J65" si="7">6.431/J$1</f>
        <v>0.20745161290322581</v>
      </c>
      <c r="K53" s="82">
        <v>1.32E-2</v>
      </c>
      <c r="L53" s="82">
        <v>2.2000000000000001E-3</v>
      </c>
      <c r="M53" s="82">
        <v>7.1999999999999998E-3</v>
      </c>
      <c r="N53" s="82">
        <v>0</v>
      </c>
      <c r="O53" s="83">
        <v>2.1160000000000002E-2</v>
      </c>
      <c r="P53" s="82">
        <f t="shared" si="6"/>
        <v>0.23005161290322582</v>
      </c>
      <c r="Q53" s="84">
        <v>69707</v>
      </c>
      <c r="R53" s="80">
        <v>4018</v>
      </c>
      <c r="S53" s="79" t="s">
        <v>145</v>
      </c>
      <c r="T53" s="86">
        <f t="shared" si="2"/>
        <v>25839.758000000002</v>
      </c>
      <c r="U53" s="89" t="s">
        <v>146</v>
      </c>
      <c r="V53" s="79"/>
      <c r="W53" s="87"/>
      <c r="X53" s="87"/>
    </row>
    <row r="54" spans="2:24" s="88" customFormat="1" x14ac:dyDescent="0.2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42</v>
      </c>
      <c r="H54" s="79" t="s">
        <v>205</v>
      </c>
      <c r="I54" s="80" t="s">
        <v>43</v>
      </c>
      <c r="J54" s="78">
        <f t="shared" si="7"/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69708</v>
      </c>
      <c r="R54" s="80">
        <v>2759</v>
      </c>
      <c r="S54" s="79" t="s">
        <v>147</v>
      </c>
      <c r="T54" s="86">
        <f t="shared" si="2"/>
        <v>17743.129000000001</v>
      </c>
      <c r="U54" s="89" t="s">
        <v>148</v>
      </c>
      <c r="V54" s="79"/>
      <c r="W54" s="87"/>
      <c r="X54" s="87"/>
    </row>
    <row r="55" spans="2:24" s="88" customFormat="1" x14ac:dyDescent="0.2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137</v>
      </c>
      <c r="H55" s="79" t="s">
        <v>205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2795</v>
      </c>
      <c r="S55" s="79" t="s">
        <v>147</v>
      </c>
      <c r="T55" s="86">
        <f t="shared" si="2"/>
        <v>17974.645</v>
      </c>
      <c r="U55" s="89" t="s">
        <v>148</v>
      </c>
      <c r="V55" s="79"/>
      <c r="W55" s="87"/>
      <c r="X55" s="87"/>
    </row>
    <row r="56" spans="2:24" s="88" customFormat="1" x14ac:dyDescent="0.2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136</v>
      </c>
      <c r="H56" s="79" t="s">
        <v>205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3630</v>
      </c>
      <c r="S56" s="79" t="s">
        <v>147</v>
      </c>
      <c r="T56" s="86">
        <f t="shared" si="2"/>
        <v>23344.53</v>
      </c>
      <c r="U56" s="89" t="s">
        <v>148</v>
      </c>
      <c r="V56" s="79"/>
      <c r="W56" s="87"/>
      <c r="X56" s="87"/>
    </row>
    <row r="57" spans="2:24" s="88" customFormat="1" x14ac:dyDescent="0.2">
      <c r="B57" s="79" t="s">
        <v>80</v>
      </c>
      <c r="C57" s="80" t="s">
        <v>34</v>
      </c>
      <c r="D57" s="80" t="s">
        <v>40</v>
      </c>
      <c r="E57" s="81">
        <v>36831</v>
      </c>
      <c r="F57" s="81">
        <v>37195</v>
      </c>
      <c r="G57" s="79" t="s">
        <v>42</v>
      </c>
      <c r="H57" s="79" t="s">
        <v>134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69709</v>
      </c>
      <c r="R57" s="80">
        <v>13</v>
      </c>
      <c r="S57" s="79" t="s">
        <v>149</v>
      </c>
      <c r="T57" s="86">
        <f t="shared" si="2"/>
        <v>83.602999999999994</v>
      </c>
      <c r="U57" s="89" t="s">
        <v>150</v>
      </c>
      <c r="V57" s="79"/>
      <c r="W57" s="87"/>
      <c r="X57" s="87"/>
    </row>
    <row r="58" spans="2:24" s="88" customFormat="1" x14ac:dyDescent="0.2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138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14</v>
      </c>
      <c r="S58" s="79" t="s">
        <v>149</v>
      </c>
      <c r="T58" s="86">
        <f t="shared" si="2"/>
        <v>90.034000000000006</v>
      </c>
      <c r="U58" s="89" t="s">
        <v>150</v>
      </c>
      <c r="V58" s="79"/>
      <c r="W58" s="87"/>
      <c r="X58" s="87"/>
    </row>
    <row r="59" spans="2:24" s="88" customFormat="1" x14ac:dyDescent="0.2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135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>SUM(J59:N59)</f>
        <v>0.23005161290322582</v>
      </c>
      <c r="Q59" s="84">
        <v>69709</v>
      </c>
      <c r="R59" s="80">
        <v>36</v>
      </c>
      <c r="S59" s="79" t="s">
        <v>149</v>
      </c>
      <c r="T59" s="86">
        <f t="shared" si="2"/>
        <v>231.51599999999999</v>
      </c>
      <c r="U59" s="89" t="s">
        <v>150</v>
      </c>
      <c r="V59" s="79"/>
      <c r="W59" s="87"/>
      <c r="X59" s="87"/>
    </row>
    <row r="60" spans="2:24" s="88" customFormat="1" x14ac:dyDescent="0.2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133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 t="shared" si="6"/>
        <v>0.23005161290322582</v>
      </c>
      <c r="Q60" s="84">
        <v>69709</v>
      </c>
      <c r="R60" s="80">
        <v>63</v>
      </c>
      <c r="S60" s="79" t="s">
        <v>149</v>
      </c>
      <c r="T60" s="86">
        <f t="shared" si="2"/>
        <v>405.15300000000002</v>
      </c>
      <c r="U60" s="89" t="s">
        <v>150</v>
      </c>
      <c r="V60" s="79"/>
      <c r="W60" s="87"/>
      <c r="X60" s="87"/>
    </row>
    <row r="61" spans="2:24" s="88" customFormat="1" x14ac:dyDescent="0.2">
      <c r="B61" s="79" t="s">
        <v>80</v>
      </c>
      <c r="C61" s="80" t="s">
        <v>34</v>
      </c>
      <c r="D61" s="80" t="s">
        <v>44</v>
      </c>
      <c r="E61" s="81">
        <v>36831</v>
      </c>
      <c r="F61" s="81">
        <v>37195</v>
      </c>
      <c r="G61" s="79" t="s">
        <v>42</v>
      </c>
      <c r="H61" s="79" t="s">
        <v>169</v>
      </c>
      <c r="I61" s="80" t="s">
        <v>43</v>
      </c>
      <c r="J61" s="78">
        <f>6.354/J$1</f>
        <v>0.20496774193548387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0.22756774193548387</v>
      </c>
      <c r="Q61" s="84">
        <v>69823</v>
      </c>
      <c r="R61" s="80">
        <v>1000</v>
      </c>
      <c r="S61" s="79" t="s">
        <v>170</v>
      </c>
      <c r="T61" s="86">
        <f t="shared" si="2"/>
        <v>6354</v>
      </c>
      <c r="U61" s="89" t="s">
        <v>171</v>
      </c>
      <c r="V61" s="79"/>
      <c r="W61" s="87"/>
      <c r="X61" s="87"/>
    </row>
    <row r="62" spans="2:24" s="88" customFormat="1" x14ac:dyDescent="0.2">
      <c r="B62" s="79" t="s">
        <v>80</v>
      </c>
      <c r="C62" s="80" t="s">
        <v>34</v>
      </c>
      <c r="D62" s="80" t="s">
        <v>181</v>
      </c>
      <c r="E62" s="81">
        <v>36861</v>
      </c>
      <c r="F62" s="81">
        <v>37225</v>
      </c>
      <c r="G62" s="79" t="s">
        <v>42</v>
      </c>
      <c r="H62" s="79" t="s">
        <v>134</v>
      </c>
      <c r="I62" s="80" t="s">
        <v>43</v>
      </c>
      <c r="J62" s="78">
        <f t="shared" si="7"/>
        <v>0.20745161290322581</v>
      </c>
      <c r="K62" s="82"/>
      <c r="L62" s="82"/>
      <c r="M62" s="82"/>
      <c r="N62" s="82"/>
      <c r="O62" s="83"/>
      <c r="P62" s="82"/>
      <c r="Q62" s="84">
        <v>69948</v>
      </c>
      <c r="R62" s="80">
        <v>1</v>
      </c>
      <c r="S62" s="79" t="s">
        <v>182</v>
      </c>
      <c r="T62" s="86">
        <f>J62*J$1*R62</f>
        <v>6.431</v>
      </c>
      <c r="U62" s="89">
        <v>490966</v>
      </c>
      <c r="V62" s="79"/>
      <c r="W62" s="87"/>
      <c r="X62" s="87"/>
    </row>
    <row r="63" spans="2:24" s="88" customFormat="1" x14ac:dyDescent="0.2">
      <c r="B63" s="79" t="s">
        <v>80</v>
      </c>
      <c r="C63" s="80" t="s">
        <v>34</v>
      </c>
      <c r="D63" s="80" t="s">
        <v>181</v>
      </c>
      <c r="E63" s="81">
        <v>36861</v>
      </c>
      <c r="F63" s="81">
        <v>37225</v>
      </c>
      <c r="G63" s="79" t="s">
        <v>42</v>
      </c>
      <c r="H63" s="79" t="s">
        <v>138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182</v>
      </c>
      <c r="T63" s="86">
        <f>J63*J$1*R63</f>
        <v>6.431</v>
      </c>
      <c r="U63" s="89">
        <v>490966</v>
      </c>
      <c r="V63" s="79"/>
      <c r="W63" s="87"/>
      <c r="X63" s="87"/>
    </row>
    <row r="64" spans="2:24" s="88" customFormat="1" x14ac:dyDescent="0.2">
      <c r="B64" s="79" t="s">
        <v>80</v>
      </c>
      <c r="C64" s="80" t="s">
        <v>34</v>
      </c>
      <c r="D64" s="80" t="s">
        <v>216</v>
      </c>
      <c r="E64" s="81">
        <v>36894</v>
      </c>
      <c r="F64" s="81">
        <v>37287</v>
      </c>
      <c r="G64" s="79" t="s">
        <v>42</v>
      </c>
      <c r="H64" s="79" t="s">
        <v>138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70285</v>
      </c>
      <c r="R64" s="80">
        <v>1</v>
      </c>
      <c r="S64" s="79" t="s">
        <v>217</v>
      </c>
      <c r="T64" s="86">
        <f>J64*J$1*R64</f>
        <v>6.431</v>
      </c>
      <c r="U64" s="89">
        <v>553660</v>
      </c>
      <c r="V64" s="79"/>
      <c r="W64" s="87"/>
      <c r="X64" s="87"/>
    </row>
    <row r="65" spans="2:24" s="88" customFormat="1" x14ac:dyDescent="0.2">
      <c r="B65" s="79" t="s">
        <v>80</v>
      </c>
      <c r="C65" s="80" t="s">
        <v>34</v>
      </c>
      <c r="D65" s="80" t="s">
        <v>181</v>
      </c>
      <c r="E65" s="81">
        <v>36861</v>
      </c>
      <c r="F65" s="81">
        <v>37225</v>
      </c>
      <c r="G65" s="79" t="s">
        <v>42</v>
      </c>
      <c r="H65" s="79" t="s">
        <v>135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69948</v>
      </c>
      <c r="R65" s="80">
        <v>1</v>
      </c>
      <c r="S65" s="79" t="s">
        <v>182</v>
      </c>
      <c r="T65" s="86">
        <f t="shared" si="2"/>
        <v>6.431</v>
      </c>
      <c r="U65" s="89">
        <v>490966</v>
      </c>
      <c r="V65" s="79"/>
      <c r="W65" s="87"/>
      <c r="X65" s="87"/>
    </row>
    <row r="66" spans="2:24" x14ac:dyDescent="0.2">
      <c r="T66" s="9"/>
    </row>
    <row r="67" spans="2:24" x14ac:dyDescent="0.2">
      <c r="B67" s="10" t="s">
        <v>6</v>
      </c>
      <c r="C67" s="11" t="s">
        <v>6</v>
      </c>
      <c r="D67" s="11" t="s">
        <v>6</v>
      </c>
      <c r="E67" s="13" t="s">
        <v>6</v>
      </c>
      <c r="F67" s="13" t="s">
        <v>6</v>
      </c>
      <c r="G67" s="10" t="s">
        <v>6</v>
      </c>
      <c r="H67" s="30" t="s">
        <v>6</v>
      </c>
      <c r="I67" s="11" t="s">
        <v>6</v>
      </c>
      <c r="J67" s="14"/>
      <c r="K67" s="15"/>
      <c r="L67" s="15"/>
      <c r="M67" s="15"/>
      <c r="N67" s="15"/>
      <c r="O67" s="43"/>
      <c r="P67" s="15"/>
      <c r="Q67" s="26" t="s">
        <v>6</v>
      </c>
      <c r="R67" s="11"/>
      <c r="S67" s="10" t="s">
        <v>6</v>
      </c>
      <c r="T67" s="22">
        <f>SUM(T8:T65)</f>
        <v>1183822.5706</v>
      </c>
      <c r="U67" s="53"/>
      <c r="V67" s="30"/>
      <c r="W67" s="36"/>
      <c r="X67" s="36"/>
    </row>
    <row r="68" spans="2:24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1"/>
      <c r="P68" s="5"/>
      <c r="Q68" s="47"/>
      <c r="R68" s="48"/>
      <c r="S68" s="28"/>
      <c r="T68" s="28"/>
      <c r="U68" s="50"/>
      <c r="V68" s="55"/>
      <c r="W68" s="35"/>
      <c r="X68" s="35"/>
    </row>
    <row r="69" spans="2:24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66">
        <f>SUM(T67)</f>
        <v>1183822.5706</v>
      </c>
      <c r="U70" s="50" t="s">
        <v>206</v>
      </c>
      <c r="V70" s="55"/>
      <c r="W70" s="35"/>
      <c r="X70" s="35"/>
    </row>
    <row r="71" spans="2:24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V71" s="55"/>
      <c r="W71" s="39"/>
      <c r="X71" s="35"/>
    </row>
    <row r="72" spans="2:24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28">
        <v>10000</v>
      </c>
      <c r="U72" s="127" t="s">
        <v>223</v>
      </c>
      <c r="V72" s="55"/>
      <c r="W72" s="35"/>
      <c r="X72" s="35"/>
    </row>
    <row r="73" spans="2:24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/>
      <c r="U73" s="50"/>
      <c r="V73" s="55"/>
      <c r="W73" s="35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1"/>
      <c r="P74" s="5"/>
      <c r="Q74" s="47"/>
      <c r="R74" s="48"/>
      <c r="S74" s="39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">
      <c r="Q76" s="34"/>
      <c r="R76" s="34"/>
      <c r="S76" s="34"/>
      <c r="T76" s="34"/>
      <c r="U76" s="49"/>
      <c r="V76" s="57"/>
      <c r="W76" s="49"/>
    </row>
    <row r="77" spans="2:24" x14ac:dyDescent="0.2">
      <c r="Q77" s="34"/>
      <c r="R77" s="34"/>
      <c r="S77" s="34"/>
      <c r="T77" s="34"/>
      <c r="U77" s="49"/>
      <c r="V77" s="57"/>
      <c r="W77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2000-12-07T17:26:11Z</cp:lastPrinted>
  <dcterms:created xsi:type="dcterms:W3CDTF">1998-07-21T12:15:25Z</dcterms:created>
  <dcterms:modified xsi:type="dcterms:W3CDTF">2014-09-03T12:29:41Z</dcterms:modified>
</cp:coreProperties>
</file>