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5" yWindow="-45" windowWidth="15090" windowHeight="5340" tabRatio="602"/>
  </bookViews>
  <sheets>
    <sheet name="Ces Retail" sheetId="19" r:id="rId1"/>
    <sheet name="Ces Wholesale" sheetId="18" r:id="rId2"/>
  </sheets>
  <calcPr calcId="152511"/>
</workbook>
</file>

<file path=xl/calcChain.xml><?xml version="1.0" encoding="utf-8"?>
<calcChain xmlns="http://schemas.openxmlformats.org/spreadsheetml/2006/main">
  <c r="I12" i="19" l="1"/>
  <c r="S12" i="19" s="1"/>
  <c r="O12" i="19"/>
  <c r="I13" i="19"/>
  <c r="S13" i="19" s="1"/>
  <c r="O13" i="19"/>
  <c r="I14" i="19"/>
  <c r="S14" i="19" s="1"/>
  <c r="I15" i="19"/>
  <c r="O15" i="19" s="1"/>
  <c r="I16" i="19"/>
  <c r="O16" i="19" s="1"/>
  <c r="S16" i="19"/>
  <c r="I17" i="19"/>
  <c r="O17" i="19"/>
  <c r="S17" i="19"/>
  <c r="I18" i="19"/>
  <c r="O18" i="19" s="1"/>
  <c r="S18" i="19"/>
  <c r="I19" i="19"/>
  <c r="S19" i="19" s="1"/>
  <c r="O19" i="19"/>
  <c r="I20" i="19"/>
  <c r="O20" i="19"/>
  <c r="S20" i="19"/>
  <c r="I21" i="19"/>
  <c r="O21" i="19"/>
  <c r="S21" i="19"/>
  <c r="I22" i="19"/>
  <c r="S22" i="19" s="1"/>
  <c r="I23" i="19"/>
  <c r="O23" i="19" s="1"/>
  <c r="I24" i="19"/>
  <c r="O24" i="19" s="1"/>
  <c r="S24" i="19"/>
  <c r="I25" i="19"/>
  <c r="O25" i="19"/>
  <c r="S25" i="19"/>
  <c r="Q26" i="19"/>
  <c r="T26" i="19"/>
  <c r="I28" i="19"/>
  <c r="S28" i="19" s="1"/>
  <c r="O28" i="19"/>
  <c r="I29" i="19"/>
  <c r="O29" i="19"/>
  <c r="S29" i="19"/>
  <c r="I30" i="19"/>
  <c r="O30" i="19"/>
  <c r="S30" i="19"/>
  <c r="I31" i="19"/>
  <c r="S31" i="19" s="1"/>
  <c r="I32" i="19"/>
  <c r="O32" i="19" s="1"/>
  <c r="I33" i="19"/>
  <c r="O33" i="19" s="1"/>
  <c r="S33" i="19"/>
  <c r="O34" i="19"/>
  <c r="S34" i="19"/>
  <c r="I35" i="19"/>
  <c r="O35" i="19" s="1"/>
  <c r="I36" i="19"/>
  <c r="O36" i="19" s="1"/>
  <c r="S36" i="19"/>
  <c r="I37" i="19"/>
  <c r="O37" i="19"/>
  <c r="S37" i="19"/>
  <c r="I38" i="19"/>
  <c r="O38" i="19" s="1"/>
  <c r="S38" i="19"/>
  <c r="I39" i="19"/>
  <c r="S39" i="19" s="1"/>
  <c r="O39" i="19"/>
  <c r="Q40" i="19"/>
  <c r="T40" i="19"/>
  <c r="V41" i="19"/>
  <c r="I42" i="19"/>
  <c r="O42" i="19" s="1"/>
  <c r="S42" i="19"/>
  <c r="I43" i="19"/>
  <c r="O43" i="19"/>
  <c r="S43" i="19"/>
  <c r="I44" i="19"/>
  <c r="O44" i="19"/>
  <c r="S44" i="19"/>
  <c r="I45" i="19"/>
  <c r="S45" i="19" s="1"/>
  <c r="O45" i="19"/>
  <c r="I46" i="19"/>
  <c r="O46" i="19"/>
  <c r="S46" i="19"/>
  <c r="I47" i="19"/>
  <c r="S47" i="19" s="1"/>
  <c r="O47" i="19"/>
  <c r="I48" i="19"/>
  <c r="S48" i="19" s="1"/>
  <c r="I49" i="19"/>
  <c r="O49" i="19" s="1"/>
  <c r="S49" i="19"/>
  <c r="I50" i="19"/>
  <c r="O50" i="19" s="1"/>
  <c r="S50" i="19"/>
  <c r="O51" i="19"/>
  <c r="S51" i="19"/>
  <c r="I52" i="19"/>
  <c r="O52" i="19" s="1"/>
  <c r="S52" i="19"/>
  <c r="I53" i="19"/>
  <c r="O53" i="19" s="1"/>
  <c r="S53" i="19"/>
  <c r="I54" i="19"/>
  <c r="O54" i="19"/>
  <c r="S54" i="19"/>
  <c r="I55" i="19"/>
  <c r="O55" i="19"/>
  <c r="S55" i="19"/>
  <c r="I56" i="19"/>
  <c r="S56" i="19" s="1"/>
  <c r="O56" i="19"/>
  <c r="I57" i="19"/>
  <c r="O57" i="19"/>
  <c r="S57" i="19"/>
  <c r="I58" i="19"/>
  <c r="S58" i="19" s="1"/>
  <c r="O58" i="19"/>
  <c r="I59" i="19"/>
  <c r="S59" i="19" s="1"/>
  <c r="I60" i="19"/>
  <c r="O60" i="19" s="1"/>
  <c r="S60" i="19"/>
  <c r="I61" i="19"/>
  <c r="O61" i="19" s="1"/>
  <c r="S61" i="19"/>
  <c r="I62" i="19"/>
  <c r="O62" i="19"/>
  <c r="S62" i="19"/>
  <c r="I63" i="19"/>
  <c r="O63" i="19"/>
  <c r="S63" i="19"/>
  <c r="I64" i="19"/>
  <c r="S64" i="19" s="1"/>
  <c r="O64" i="19"/>
  <c r="I65" i="19"/>
  <c r="O65" i="19"/>
  <c r="S65" i="19"/>
  <c r="I66" i="19"/>
  <c r="S66" i="19" s="1"/>
  <c r="O66" i="19"/>
  <c r="I67" i="19"/>
  <c r="S67" i="19" s="1"/>
  <c r="I68" i="19"/>
  <c r="O68" i="19" s="1"/>
  <c r="S68" i="19"/>
  <c r="I69" i="19"/>
  <c r="O69" i="19" s="1"/>
  <c r="S69" i="19"/>
  <c r="I70" i="19"/>
  <c r="O70" i="19"/>
  <c r="S70" i="19"/>
  <c r="I71" i="19"/>
  <c r="O71" i="19"/>
  <c r="S71" i="19"/>
  <c r="I72" i="19"/>
  <c r="S72" i="19" s="1"/>
  <c r="O72" i="19"/>
  <c r="O73" i="19"/>
  <c r="S73" i="19"/>
  <c r="Q74" i="19"/>
  <c r="S74" i="19"/>
  <c r="T74" i="19"/>
  <c r="V75" i="19"/>
  <c r="I76" i="19"/>
  <c r="S76" i="19" s="1"/>
  <c r="I77" i="19"/>
  <c r="O77" i="19" s="1"/>
  <c r="S77" i="19"/>
  <c r="I78" i="19"/>
  <c r="O78" i="19" s="1"/>
  <c r="S78" i="19"/>
  <c r="I79" i="19"/>
  <c r="O79" i="19" s="1"/>
  <c r="S79" i="19"/>
  <c r="I80" i="19"/>
  <c r="O80" i="19"/>
  <c r="S80" i="19"/>
  <c r="I81" i="19"/>
  <c r="S81" i="19" s="1"/>
  <c r="O81" i="19"/>
  <c r="I82" i="19"/>
  <c r="O82" i="19"/>
  <c r="S82" i="19"/>
  <c r="I83" i="19"/>
  <c r="S83" i="19" s="1"/>
  <c r="O83" i="19"/>
  <c r="I84" i="19"/>
  <c r="S84" i="19" s="1"/>
  <c r="I85" i="19"/>
  <c r="O85" i="19" s="1"/>
  <c r="S85" i="19"/>
  <c r="I86" i="19"/>
  <c r="O86" i="19" s="1"/>
  <c r="S86" i="19"/>
  <c r="I87" i="19"/>
  <c r="O87" i="19"/>
  <c r="S87" i="19"/>
  <c r="I88" i="19"/>
  <c r="O88" i="19"/>
  <c r="S88" i="19"/>
  <c r="I89" i="19"/>
  <c r="S89" i="19" s="1"/>
  <c r="O89" i="19"/>
  <c r="I90" i="19"/>
  <c r="O90" i="19"/>
  <c r="S90" i="19"/>
  <c r="I91" i="19"/>
  <c r="O91" i="19" s="1"/>
  <c r="O92" i="19"/>
  <c r="S92" i="19"/>
  <c r="O93" i="19"/>
  <c r="S93" i="19"/>
  <c r="Q94" i="19"/>
  <c r="V95" i="19"/>
  <c r="O96" i="19"/>
  <c r="S96" i="19"/>
  <c r="O97" i="19"/>
  <c r="S97" i="19"/>
  <c r="O98" i="19"/>
  <c r="S98" i="19"/>
  <c r="O99" i="19"/>
  <c r="S99" i="19"/>
  <c r="V102" i="19"/>
  <c r="O103" i="19"/>
  <c r="S103" i="19"/>
  <c r="O104" i="19"/>
  <c r="S104" i="19"/>
  <c r="O105" i="19"/>
  <c r="S105" i="19"/>
  <c r="O106" i="19"/>
  <c r="S106" i="19"/>
  <c r="O107" i="19"/>
  <c r="S107" i="19"/>
  <c r="O108" i="19"/>
  <c r="S108" i="19"/>
  <c r="O109" i="19"/>
  <c r="S109" i="19"/>
  <c r="O110" i="19"/>
  <c r="S110" i="19"/>
  <c r="O111" i="19"/>
  <c r="S111" i="19"/>
  <c r="O112" i="19"/>
  <c r="S112" i="19"/>
  <c r="Q113" i="19"/>
  <c r="V114" i="19"/>
  <c r="O115" i="19"/>
  <c r="S115" i="19"/>
  <c r="O116" i="19"/>
  <c r="S116" i="19"/>
  <c r="O117" i="19"/>
  <c r="S117" i="19"/>
  <c r="O118" i="19"/>
  <c r="S118" i="19"/>
  <c r="O119" i="19"/>
  <c r="S119" i="19"/>
  <c r="O120" i="19"/>
  <c r="S120" i="19"/>
  <c r="Q121" i="19"/>
  <c r="V122" i="19"/>
  <c r="O123" i="19"/>
  <c r="S123" i="19"/>
  <c r="O124" i="19"/>
  <c r="S124" i="19"/>
  <c r="O125" i="19"/>
  <c r="Q125" i="19"/>
  <c r="S125" i="19" s="1"/>
  <c r="I126" i="19"/>
  <c r="O126" i="19"/>
  <c r="S126" i="19"/>
  <c r="I127" i="19"/>
  <c r="S127" i="19" s="1"/>
  <c r="O127" i="19"/>
  <c r="I128" i="19"/>
  <c r="S128" i="19" s="1"/>
  <c r="Q128" i="19"/>
  <c r="I129" i="19"/>
  <c r="O129" i="19"/>
  <c r="S129" i="19"/>
  <c r="I130" i="19"/>
  <c r="S130" i="19" s="1"/>
  <c r="O130" i="19"/>
  <c r="I131" i="19"/>
  <c r="O131" i="19"/>
  <c r="Q131" i="19"/>
  <c r="S131" i="19"/>
  <c r="I132" i="19"/>
  <c r="O132" i="19" s="1"/>
  <c r="S132" i="19"/>
  <c r="I133" i="19"/>
  <c r="O133" i="19"/>
  <c r="S133" i="19"/>
  <c r="I134" i="19"/>
  <c r="S134" i="19" s="1"/>
  <c r="O134" i="19"/>
  <c r="Q134" i="19"/>
  <c r="I135" i="19"/>
  <c r="O135" i="19" s="1"/>
  <c r="I136" i="19"/>
  <c r="O136" i="19"/>
  <c r="S136" i="19"/>
  <c r="O137" i="19"/>
  <c r="S137" i="19"/>
  <c r="O138" i="19"/>
  <c r="S138" i="19"/>
  <c r="O139" i="19"/>
  <c r="S139" i="19"/>
  <c r="O140" i="19"/>
  <c r="S140" i="19"/>
  <c r="I141" i="19"/>
  <c r="O141" i="19" s="1"/>
  <c r="S141" i="19"/>
  <c r="I142" i="19"/>
  <c r="O142" i="19"/>
  <c r="S142" i="19"/>
  <c r="I143" i="19"/>
  <c r="O143" i="19"/>
  <c r="S143" i="19"/>
  <c r="I144" i="19"/>
  <c r="S144" i="19" s="1"/>
  <c r="O144" i="19"/>
  <c r="I12" i="18"/>
  <c r="O12" i="18"/>
  <c r="S12" i="18"/>
  <c r="I13" i="18"/>
  <c r="S13" i="18" s="1"/>
  <c r="O13" i="18"/>
  <c r="I14" i="18"/>
  <c r="O14" i="18" s="1"/>
  <c r="I15" i="18"/>
  <c r="O15" i="18"/>
  <c r="S15" i="18"/>
  <c r="O16" i="18"/>
  <c r="S16" i="18"/>
  <c r="I17" i="18"/>
  <c r="S17" i="18" s="1"/>
  <c r="O18" i="18"/>
  <c r="S18" i="18"/>
  <c r="Q20" i="18"/>
  <c r="T20" i="18"/>
  <c r="V21" i="18"/>
  <c r="I22" i="18"/>
  <c r="O22" i="18"/>
  <c r="S22" i="18"/>
  <c r="O23" i="18"/>
  <c r="S23" i="18"/>
  <c r="S33" i="18" s="1"/>
  <c r="O24" i="18"/>
  <c r="S24" i="18"/>
  <c r="O25" i="18"/>
  <c r="S25" i="18"/>
  <c r="O26" i="18"/>
  <c r="S26" i="18"/>
  <c r="O27" i="18"/>
  <c r="S27" i="18"/>
  <c r="I28" i="18"/>
  <c r="O28" i="18" s="1"/>
  <c r="S28" i="18"/>
  <c r="I29" i="18"/>
  <c r="O29" i="18"/>
  <c r="S29" i="18"/>
  <c r="I30" i="18"/>
  <c r="O30" i="18"/>
  <c r="S30" i="18"/>
  <c r="O31" i="18"/>
  <c r="S31" i="18"/>
  <c r="O32" i="18"/>
  <c r="S32" i="18"/>
  <c r="Q33" i="18"/>
  <c r="T33" i="18"/>
  <c r="V34" i="18"/>
  <c r="I35" i="18"/>
  <c r="S35" i="18" s="1"/>
  <c r="O35" i="18"/>
  <c r="S40" i="19" l="1"/>
  <c r="S14" i="18"/>
  <c r="S20" i="18" s="1"/>
  <c r="S135" i="19"/>
  <c r="O17" i="18"/>
  <c r="O128" i="19"/>
  <c r="O84" i="19"/>
  <c r="O76" i="19"/>
  <c r="O67" i="19"/>
  <c r="O59" i="19"/>
  <c r="O48" i="19"/>
  <c r="O31" i="19"/>
  <c r="O22" i="19"/>
  <c r="O14" i="19"/>
  <c r="S91" i="19"/>
  <c r="S35" i="19"/>
  <c r="S32" i="19"/>
  <c r="S23" i="19"/>
  <c r="S15" i="19"/>
  <c r="S26" i="19" s="1"/>
</calcChain>
</file>

<file path=xl/sharedStrings.xml><?xml version="1.0" encoding="utf-8"?>
<sst xmlns="http://schemas.openxmlformats.org/spreadsheetml/2006/main" count="1256" uniqueCount="292">
  <si>
    <t>Demand</t>
  </si>
  <si>
    <t>Transco</t>
  </si>
  <si>
    <t>Tenn</t>
  </si>
  <si>
    <t xml:space="preserve"> </t>
  </si>
  <si>
    <t>buy/sell</t>
  </si>
  <si>
    <t>pipe</t>
  </si>
  <si>
    <t>customer</t>
  </si>
  <si>
    <t>dates</t>
  </si>
  <si>
    <t>rec</t>
  </si>
  <si>
    <t>del</t>
  </si>
  <si>
    <t>recall</t>
  </si>
  <si>
    <t>dem</t>
  </si>
  <si>
    <t>com</t>
  </si>
  <si>
    <t>aca</t>
  </si>
  <si>
    <t>gri</t>
  </si>
  <si>
    <t>s/c</t>
  </si>
  <si>
    <t>fuel %</t>
  </si>
  <si>
    <t>total</t>
  </si>
  <si>
    <t>K#</t>
  </si>
  <si>
    <t>vol</t>
  </si>
  <si>
    <t>comment</t>
  </si>
  <si>
    <t>demand</t>
  </si>
  <si>
    <t>Days</t>
  </si>
  <si>
    <t>Boston Gas</t>
  </si>
  <si>
    <t>Access</t>
  </si>
  <si>
    <t>FT-1</t>
  </si>
  <si>
    <t>CDS</t>
  </si>
  <si>
    <t>M3</t>
  </si>
  <si>
    <t>TETCO</t>
  </si>
  <si>
    <t>CNG</t>
  </si>
  <si>
    <t>AFT-1</t>
  </si>
  <si>
    <t>AFT-13</t>
  </si>
  <si>
    <t>max demand</t>
  </si>
  <si>
    <t>M2</t>
  </si>
  <si>
    <t>Leach</t>
  </si>
  <si>
    <t>Algonquin</t>
  </si>
  <si>
    <t>St 30</t>
  </si>
  <si>
    <t>Sitara</t>
  </si>
  <si>
    <t>Agency</t>
  </si>
  <si>
    <t>Items have been checked</t>
  </si>
  <si>
    <t>Need to verify</t>
  </si>
  <si>
    <t>CES East Desk Transportation Capacity for Jan, 2000</t>
  </si>
  <si>
    <t>WC560</t>
  </si>
  <si>
    <t>WC537</t>
  </si>
  <si>
    <t>CES</t>
  </si>
  <si>
    <t>WC537/560 Discounted offshore FT transortation, reimbursed full IT rate by Pennzoil, volumetric demand charge.  CES pays $.0648 for all Pennzoil production from this block.</t>
  </si>
  <si>
    <t>Col Gulf</t>
  </si>
  <si>
    <t>Rayne</t>
  </si>
  <si>
    <t>CES Contact:  John Hodge 713-693-2801</t>
  </si>
  <si>
    <t>ENA Structuring Contact:  Mark Breese 3-6751</t>
  </si>
  <si>
    <t>Entered from Structuring's Worksheet.</t>
  </si>
  <si>
    <t>Comments:</t>
  </si>
  <si>
    <t>Questions</t>
  </si>
  <si>
    <t>Commodity and fuel  on sheet looks like CGAS .  CGLF rate and fuel is $.017 and 2.988%</t>
  </si>
  <si>
    <t>Bought to serve retail requirements, feeds K#65026</t>
  </si>
  <si>
    <t>Mainline capacity</t>
  </si>
  <si>
    <t>24,000 - NGPL Chalkely, 16,000 - Venice</t>
  </si>
  <si>
    <t>20,000 - Sonat Shadyside, 20,000 - FGT</t>
  </si>
  <si>
    <t>Onshore capacity - 16,000 of Venice capacity.</t>
  </si>
  <si>
    <t>12,000 - Erath, 12,000 - Henry, 6,000 - Venice</t>
  </si>
  <si>
    <t>Onshore capacity - 6,000 day Venice receipt, CES has exclusive right of termination.</t>
  </si>
  <si>
    <t>8,285 - Mobil Lowry, 8,774 - Erath, 3,200 - Henry, 5,395 - Venice</t>
  </si>
  <si>
    <t>Onshore capacity - 5,395 venice capacity.</t>
  </si>
  <si>
    <t>Venice</t>
  </si>
  <si>
    <t>Onshore capacity - 20,000 day Venice receipt, CES has exclusive right of termination.</t>
  </si>
  <si>
    <t>Col Gas</t>
  </si>
  <si>
    <t>McClelland Aggregate</t>
  </si>
  <si>
    <t>CPA</t>
  </si>
  <si>
    <t>Delivery to CPA Op. Area 8</t>
  </si>
  <si>
    <t>Delivery to CPA Op. Area 9</t>
  </si>
  <si>
    <t>Maumee</t>
  </si>
  <si>
    <t>COH</t>
  </si>
  <si>
    <t>Primary receipt Toledo agg., ROFR, total MDQ is 20,000 day, contract will be split between retail and wholesale with 15,000/day going to Retail-Mass Markets.</t>
  </si>
  <si>
    <t>BG&amp;E</t>
  </si>
  <si>
    <t>For Retail</t>
  </si>
  <si>
    <t>Broad run</t>
  </si>
  <si>
    <t>Bought to serve retail requirements.</t>
  </si>
  <si>
    <t>McClelland Aggregate - 2289, Delmont - 525, Leach - 6805</t>
  </si>
  <si>
    <t>CMD</t>
  </si>
  <si>
    <t>Toledo Agg</t>
  </si>
  <si>
    <t>Primary to Op 5, ROFR</t>
  </si>
  <si>
    <t>Primary to contrained Op 7, ROFR</t>
  </si>
  <si>
    <t>Primary delivery to constrained area on TCO 5-7.  For Retail needs.</t>
  </si>
  <si>
    <t>CES/CALP</t>
  </si>
  <si>
    <t>CALP</t>
  </si>
  <si>
    <t>Act Demand</t>
  </si>
  <si>
    <t>Est Demand</t>
  </si>
  <si>
    <t>2000 GRI Changes  $.0075 ==&gt; $.0072     and $.23 ==&gt; $.20</t>
  </si>
  <si>
    <t>CES Wholesale East Desk Transportation Capacity for Jan, 2000</t>
  </si>
  <si>
    <t>12/18/99 could not find contract 62039 in Navigator.</t>
  </si>
  <si>
    <t>Moved contract 65027 from Wholesale to Retail.</t>
  </si>
  <si>
    <t>Type</t>
  </si>
  <si>
    <t>CES / CMD</t>
  </si>
  <si>
    <t>CES / CVA</t>
  </si>
  <si>
    <t>801 - Leach</t>
  </si>
  <si>
    <t>FTS</t>
  </si>
  <si>
    <t>CMD-08</t>
  </si>
  <si>
    <t>#24364, 1dt to 19-26, 1dt to 19-27</t>
  </si>
  <si>
    <t>CGV-30</t>
  </si>
  <si>
    <t>#24579</t>
  </si>
  <si>
    <t>#24603, 1dt to 19-26, 1dt to 19-27</t>
  </si>
  <si>
    <t>#24886</t>
  </si>
  <si>
    <t>CMD-08, CMD-04</t>
  </si>
  <si>
    <t>#24891</t>
  </si>
  <si>
    <t>CES / COH</t>
  </si>
  <si>
    <t>STOW</t>
  </si>
  <si>
    <t>FSS</t>
  </si>
  <si>
    <t>MSQ</t>
  </si>
  <si>
    <t>MDWQ</t>
  </si>
  <si>
    <t>#24854</t>
  </si>
  <si>
    <t>#25201</t>
  </si>
  <si>
    <t>#25501</t>
  </si>
  <si>
    <t>#25527</t>
  </si>
  <si>
    <t>#25699</t>
  </si>
  <si>
    <t>#25712</t>
  </si>
  <si>
    <t>#25955</t>
  </si>
  <si>
    <t>#25965</t>
  </si>
  <si>
    <t>#26150</t>
  </si>
  <si>
    <t>#26503</t>
  </si>
  <si>
    <t>COH-08</t>
  </si>
  <si>
    <t>#26577</t>
  </si>
  <si>
    <t>#26726</t>
  </si>
  <si>
    <t>CES / CPA</t>
  </si>
  <si>
    <t>CPA-08</t>
  </si>
  <si>
    <t>#26754</t>
  </si>
  <si>
    <t>#26753</t>
  </si>
  <si>
    <t>CPA-04</t>
  </si>
  <si>
    <t>CES / BG&amp;E</t>
  </si>
  <si>
    <t>BG&amp;E-10</t>
  </si>
  <si>
    <t>COH-07</t>
  </si>
  <si>
    <t>#26694</t>
  </si>
  <si>
    <t>#27127</t>
  </si>
  <si>
    <t>COH-03</t>
  </si>
  <si>
    <t>SST</t>
  </si>
  <si>
    <t>#26984</t>
  </si>
  <si>
    <t>COH-03, COH-07, COH-05, COH-08</t>
  </si>
  <si>
    <t>#24857</t>
  </si>
  <si>
    <t>Retail or wholesale??</t>
  </si>
  <si>
    <t>Killed 141165.  See deal 140435</t>
  </si>
  <si>
    <t>Killed 141160.  See deal 140436.</t>
  </si>
  <si>
    <t>See deal 140434.</t>
  </si>
  <si>
    <t>See deal 140433</t>
  </si>
  <si>
    <t>Contract not showing up in Navigator.  Replaced with 65402.</t>
  </si>
  <si>
    <t>Cust / LDC</t>
  </si>
  <si>
    <t>021 Lambertville</t>
  </si>
  <si>
    <t>AFT-1B</t>
  </si>
  <si>
    <t>NYSEG</t>
  </si>
  <si>
    <t>00251 Brookfield</t>
  </si>
  <si>
    <t>00084 NYSEG-Southeast</t>
  </si>
  <si>
    <t>AFT-1 FT-2</t>
  </si>
  <si>
    <t>CES/Agency</t>
  </si>
  <si>
    <t>00210 Norwood</t>
  </si>
  <si>
    <t>0027 Everett</t>
  </si>
  <si>
    <t>00205 Mendon</t>
  </si>
  <si>
    <t>00023 East Braintree</t>
  </si>
  <si>
    <t>00052 Ponkapoag</t>
  </si>
  <si>
    <t>00089 Medford</t>
  </si>
  <si>
    <t>00032 Waltham</t>
  </si>
  <si>
    <t>60003 Cornwell</t>
  </si>
  <si>
    <t>60002 Leidy</t>
  </si>
  <si>
    <t>FTNN</t>
  </si>
  <si>
    <t>5a1015</t>
  </si>
  <si>
    <t>#10403</t>
  </si>
  <si>
    <t>60001 Lebanon</t>
  </si>
  <si>
    <t>40208 Oakford</t>
  </si>
  <si>
    <t>#12372</t>
  </si>
  <si>
    <t>5A1982</t>
  </si>
  <si>
    <t>20700 NYSEG</t>
  </si>
  <si>
    <t>CEM/Agency</t>
  </si>
  <si>
    <t>#12599</t>
  </si>
  <si>
    <t>5A2083</t>
  </si>
  <si>
    <t>GSSTE</t>
  </si>
  <si>
    <t>Storage Demand</t>
  </si>
  <si>
    <t>Storage Capacity</t>
  </si>
  <si>
    <t>#10410</t>
  </si>
  <si>
    <t>NIMO</t>
  </si>
  <si>
    <t>50004 Finnefrock</t>
  </si>
  <si>
    <t>20500 NIMO</t>
  </si>
  <si>
    <t>#12154</t>
  </si>
  <si>
    <t>5A1866</t>
  </si>
  <si>
    <t>60004 Finnefrock</t>
  </si>
  <si>
    <t>MARQ</t>
  </si>
  <si>
    <t>734462 Cygnet</t>
  </si>
  <si>
    <t>23N-7 Sandusky</t>
  </si>
  <si>
    <t>#22429</t>
  </si>
  <si>
    <t>A3 Maumee</t>
  </si>
  <si>
    <t>23-4 COH-07 Alliance</t>
  </si>
  <si>
    <t>#22422</t>
  </si>
  <si>
    <t>C-16 Delmont</t>
  </si>
  <si>
    <t>21 NYSEG-02</t>
  </si>
  <si>
    <t>#26995</t>
  </si>
  <si>
    <t>F4 Monclova</t>
  </si>
  <si>
    <t>#26722</t>
  </si>
  <si>
    <t>#27252</t>
  </si>
  <si>
    <t>O&amp;R</t>
  </si>
  <si>
    <t>011306 Channel Agua Dulco</t>
  </si>
  <si>
    <t>020293 O&amp;R</t>
  </si>
  <si>
    <t>FT-A</t>
  </si>
  <si>
    <t>020221 NYSEG</t>
  </si>
  <si>
    <t>001366 UTOS Exchange</t>
  </si>
  <si>
    <t>Atlanta</t>
  </si>
  <si>
    <t>Various</t>
  </si>
  <si>
    <t>020042 East Lobelville</t>
  </si>
  <si>
    <t>???</t>
  </si>
  <si>
    <t>Released month to month</t>
  </si>
  <si>
    <t>011717 Chalkley</t>
  </si>
  <si>
    <t>020852 Portland</t>
  </si>
  <si>
    <t>FTS-1</t>
  </si>
  <si>
    <t>CVA</t>
  </si>
  <si>
    <t>FTS-2</t>
  </si>
  <si>
    <t>Boston</t>
  </si>
  <si>
    <t>Leidy</t>
  </si>
  <si>
    <t>Perulack</t>
  </si>
  <si>
    <t>Bechtelsville</t>
  </si>
  <si>
    <t>SS-1</t>
  </si>
  <si>
    <t>MDIQ=63, MDWQ=170</t>
  </si>
  <si>
    <t>Capacity</t>
  </si>
  <si>
    <t>Texas Gas</t>
  </si>
  <si>
    <t>1247 Lebanon CNG</t>
  </si>
  <si>
    <t xml:space="preserve">FT </t>
  </si>
  <si>
    <t>FT</t>
  </si>
  <si>
    <t>T013445</t>
  </si>
  <si>
    <t>T014311</t>
  </si>
  <si>
    <t>T014571</t>
  </si>
  <si>
    <t>Zone SL</t>
  </si>
  <si>
    <t>Zone 1</t>
  </si>
  <si>
    <t>Lilco</t>
  </si>
  <si>
    <t>FT -R</t>
  </si>
  <si>
    <t>3.3014 / 1.1703</t>
  </si>
  <si>
    <t>#17800; Lilco bills CES the demand charge</t>
  </si>
  <si>
    <t>St 45</t>
  </si>
  <si>
    <t>Z3</t>
  </si>
  <si>
    <t>6484 Atlanta</t>
  </si>
  <si>
    <t>#17860</t>
  </si>
  <si>
    <t>3.3039 / 1.1703</t>
  </si>
  <si>
    <t>#17829</t>
  </si>
  <si>
    <t>6971 St 85</t>
  </si>
  <si>
    <t>3.3109 / 2.7425</t>
  </si>
  <si>
    <t>FTCHR</t>
  </si>
  <si>
    <t>FTSR</t>
  </si>
  <si>
    <t>3.3085 / 2.7423</t>
  </si>
  <si>
    <t>3.3053 / 1.1703</t>
  </si>
  <si>
    <t>#17815</t>
  </si>
  <si>
    <t>S Jersey</t>
  </si>
  <si>
    <t>St 65</t>
  </si>
  <si>
    <t>6583 S Jersey</t>
  </si>
  <si>
    <t>#17792</t>
  </si>
  <si>
    <t>PSNC</t>
  </si>
  <si>
    <t>6608 PSNC</t>
  </si>
  <si>
    <t>FTR</t>
  </si>
  <si>
    <t>volumetric</t>
  </si>
  <si>
    <t>3.3022 / 2.1432</t>
  </si>
  <si>
    <t>00211 Hanover</t>
  </si>
  <si>
    <t>3.3096 / 1.1703</t>
  </si>
  <si>
    <t>6325 Wharton Nat Fuel</t>
  </si>
  <si>
    <t>6561 Algon Centerville</t>
  </si>
  <si>
    <t>2.4899 / 2.1439</t>
  </si>
  <si>
    <t>FTL-R</t>
  </si>
  <si>
    <t>#10723</t>
  </si>
  <si>
    <t>2.7160 / 2.1439</t>
  </si>
  <si>
    <t>#12633</t>
  </si>
  <si>
    <t>#13683</t>
  </si>
  <si>
    <t>2.8607 / 2.1439</t>
  </si>
  <si>
    <t>WSR Demand</t>
  </si>
  <si>
    <t>WSR</t>
  </si>
  <si>
    <t>3.3115 / 2.7479</t>
  </si>
  <si>
    <t>WSR Capacity</t>
  </si>
  <si>
    <t>ESR Capacity</t>
  </si>
  <si>
    <t>ESR Demand</t>
  </si>
  <si>
    <t>ESR</t>
  </si>
  <si>
    <t>3.3114 / 2.7502</t>
  </si>
  <si>
    <t>#17886, sheet 27A</t>
  </si>
  <si>
    <t>#17885, sheet 27A</t>
  </si>
  <si>
    <t>#17871, Sheet no 37M - Cherokee Expansion</t>
  </si>
  <si>
    <t>143914 / 143913</t>
  </si>
  <si>
    <t>143915 / 143913</t>
  </si>
  <si>
    <t>143916 / 143913</t>
  </si>
  <si>
    <t>143917 / 143913</t>
  </si>
  <si>
    <t>#17847, Sheet no 37F, Southern Expansion 7C converted to 284 FT.</t>
  </si>
  <si>
    <t>143918 / 143919</t>
  </si>
  <si>
    <t>143921 / 143920</t>
  </si>
  <si>
    <t>143922 / 143925</t>
  </si>
  <si>
    <t>143926 / 143927</t>
  </si>
  <si>
    <t>143929 / 143928</t>
  </si>
  <si>
    <t>143930 / 143928</t>
  </si>
  <si>
    <t>143931 / 143928</t>
  </si>
  <si>
    <t>143933 / 143932</t>
  </si>
  <si>
    <t>12/27/99 this still needs to be set up.</t>
  </si>
  <si>
    <t>5A2181</t>
  </si>
  <si>
    <t>5A2182</t>
  </si>
  <si>
    <t>#12744, Nimo East</t>
  </si>
  <si>
    <t>#12743, Nimo West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</si>
</sst>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(&quot;$&quot;* #,##0.00_);_(&quot;$&quot;* \(#,##0.00\);_(&quot;$&quot;* &quot;-&quot;??_);_(@_)"/>
    <numFmt numFmtId="167" formatCode="_(&quot;$&quot;* #,##0.0000_);_(&quot;$&quot;* \(#,##0.0000\);_(&quot;$&quot;* &quot;-&quot;??_);_(@_)"/>
    <numFmt numFmtId="168" formatCode="&quot;$&quot;#,##0.0000_);[Red]\(&quot;$&quot;#,##0.0000\)"/>
    <numFmt numFmtId="169" formatCode="#,##0.00000"/>
    <numFmt numFmtId="170" formatCode="0.000%"/>
    <numFmt numFmtId="187" formatCode="_(&quot;$&quot;* #,##0.000_);_(&quot;$&quot;* \(#,##0.000\);_(&quot;$&quot;* &quot;-&quot;??_);_(@_)"/>
  </numFmts>
  <fonts count="7" x14ac:knownFonts="1">
    <font>
      <sz val="10"/>
      <name val="Arial"/>
    </font>
    <font>
      <sz val="10"/>
      <name val="Arial"/>
    </font>
    <font>
      <sz val="8"/>
      <name val="Arial"/>
      <family val="2"/>
    </font>
    <font>
      <b/>
      <sz val="8"/>
      <name val="Arial"/>
    </font>
    <font>
      <b/>
      <u/>
      <sz val="8"/>
      <name val="Arial"/>
    </font>
    <font>
      <b/>
      <sz val="8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5">
    <xf numFmtId="0" fontId="0" fillId="0" borderId="0" xfId="0"/>
    <xf numFmtId="38" fontId="2" fillId="0" borderId="0" xfId="0" applyNumberFormat="1" applyFont="1" applyFill="1" applyAlignment="1">
      <alignment horizontal="left"/>
    </xf>
    <xf numFmtId="38" fontId="3" fillId="0" borderId="0" xfId="0" applyNumberFormat="1" applyFont="1" applyFill="1" applyAlignment="1">
      <alignment horizontal="center"/>
    </xf>
    <xf numFmtId="38" fontId="2" fillId="0" borderId="0" xfId="0" applyNumberFormat="1" applyFont="1" applyFill="1" applyAlignment="1">
      <alignment horizontal="center"/>
    </xf>
    <xf numFmtId="14" fontId="2" fillId="0" borderId="0" xfId="0" applyNumberFormat="1" applyFont="1" applyFill="1" applyAlignment="1">
      <alignment horizontal="center"/>
    </xf>
    <xf numFmtId="168" fontId="2" fillId="0" borderId="0" xfId="0" applyNumberFormat="1" applyFont="1" applyFill="1" applyAlignment="1">
      <alignment horizontal="center"/>
    </xf>
    <xf numFmtId="38" fontId="3" fillId="0" borderId="0" xfId="0" applyNumberFormat="1" applyFont="1" applyFill="1" applyAlignment="1">
      <alignment horizontal="left"/>
    </xf>
    <xf numFmtId="3" fontId="2" fillId="0" borderId="0" xfId="0" applyNumberFormat="1" applyFont="1" applyFill="1" applyAlignment="1">
      <alignment horizontal="center"/>
    </xf>
    <xf numFmtId="169" fontId="2" fillId="0" borderId="0" xfId="0" applyNumberFormat="1" applyFont="1" applyFill="1" applyAlignment="1">
      <alignment horizontal="center"/>
    </xf>
    <xf numFmtId="38" fontId="2" fillId="0" borderId="0" xfId="0" applyNumberFormat="1" applyFont="1" applyFill="1" applyAlignment="1">
      <alignment horizontal="right"/>
    </xf>
    <xf numFmtId="38" fontId="2" fillId="0" borderId="1" xfId="0" applyNumberFormat="1" applyFont="1" applyFill="1" applyBorder="1" applyAlignment="1">
      <alignment horizontal="left"/>
    </xf>
    <xf numFmtId="38" fontId="3" fillId="0" borderId="1" xfId="0" applyNumberFormat="1" applyFont="1" applyFill="1" applyBorder="1" applyAlignment="1">
      <alignment horizontal="center"/>
    </xf>
    <xf numFmtId="38" fontId="2" fillId="0" borderId="1" xfId="0" applyNumberFormat="1" applyFont="1" applyFill="1" applyBorder="1" applyAlignment="1">
      <alignment horizontal="center"/>
    </xf>
    <xf numFmtId="14" fontId="2" fillId="0" borderId="1" xfId="0" applyNumberFormat="1" applyFont="1" applyFill="1" applyBorder="1" applyAlignment="1">
      <alignment horizontal="center"/>
    </xf>
    <xf numFmtId="169" fontId="2" fillId="0" borderId="1" xfId="0" applyNumberFormat="1" applyFont="1" applyFill="1" applyBorder="1" applyAlignment="1">
      <alignment horizontal="center"/>
    </xf>
    <xf numFmtId="168" fontId="2" fillId="0" borderId="1" xfId="0" applyNumberFormat="1" applyFont="1" applyFill="1" applyBorder="1" applyAlignment="1">
      <alignment horizontal="center"/>
    </xf>
    <xf numFmtId="38" fontId="2" fillId="0" borderId="1" xfId="0" applyNumberFormat="1" applyFont="1" applyFill="1" applyBorder="1" applyAlignment="1">
      <alignment horizontal="right"/>
    </xf>
    <xf numFmtId="16" fontId="4" fillId="0" borderId="0" xfId="0" applyNumberFormat="1" applyFont="1" applyFill="1" applyAlignment="1">
      <alignment horizontal="left"/>
    </xf>
    <xf numFmtId="16" fontId="4" fillId="0" borderId="0" xfId="0" applyNumberFormat="1" applyFont="1" applyFill="1" applyAlignment="1">
      <alignment horizontal="center"/>
    </xf>
    <xf numFmtId="14" fontId="4" fillId="0" borderId="0" xfId="0" applyNumberFormat="1" applyFont="1" applyFill="1" applyAlignment="1">
      <alignment horizontal="center"/>
    </xf>
    <xf numFmtId="169" fontId="4" fillId="0" borderId="0" xfId="0" applyNumberFormat="1" applyFont="1" applyFill="1" applyAlignment="1">
      <alignment horizontal="center"/>
    </xf>
    <xf numFmtId="1" fontId="4" fillId="0" borderId="0" xfId="0" applyNumberFormat="1" applyFont="1" applyFill="1" applyAlignment="1">
      <alignment horizontal="center"/>
    </xf>
    <xf numFmtId="38" fontId="4" fillId="0" borderId="0" xfId="0" applyNumberFormat="1" applyFont="1" applyFill="1" applyAlignment="1">
      <alignment horizontal="right"/>
    </xf>
    <xf numFmtId="38" fontId="3" fillId="0" borderId="1" xfId="0" applyNumberFormat="1" applyFont="1" applyFill="1" applyBorder="1" applyAlignment="1">
      <alignment horizontal="right"/>
    </xf>
    <xf numFmtId="168" fontId="2" fillId="0" borderId="0" xfId="0" applyNumberFormat="1" applyFont="1" applyFill="1" applyBorder="1" applyAlignment="1">
      <alignment horizontal="center"/>
    </xf>
    <xf numFmtId="1" fontId="2" fillId="0" borderId="0" xfId="0" applyNumberFormat="1" applyFont="1" applyFill="1" applyAlignment="1">
      <alignment horizontal="center"/>
    </xf>
    <xf numFmtId="0" fontId="0" fillId="0" borderId="0" xfId="0" applyFill="1"/>
    <xf numFmtId="1" fontId="3" fillId="0" borderId="1" xfId="0" applyNumberFormat="1" applyFont="1" applyFill="1" applyBorder="1" applyAlignment="1">
      <alignment horizontal="center"/>
    </xf>
    <xf numFmtId="0" fontId="0" fillId="0" borderId="0" xfId="0" applyFill="1" applyAlignment="1">
      <alignment horizontal="left"/>
    </xf>
    <xf numFmtId="38" fontId="2" fillId="0" borderId="0" xfId="0" applyNumberFormat="1" applyFont="1" applyFill="1" applyBorder="1" applyAlignment="1">
      <alignment horizontal="right"/>
    </xf>
    <xf numFmtId="38" fontId="2" fillId="0" borderId="0" xfId="0" quotePrefix="1" applyNumberFormat="1" applyFont="1" applyFill="1" applyAlignment="1">
      <alignment horizontal="left"/>
    </xf>
    <xf numFmtId="38" fontId="3" fillId="0" borderId="1" xfId="0" applyNumberFormat="1" applyFont="1" applyFill="1" applyBorder="1" applyAlignment="1">
      <alignment horizontal="left"/>
    </xf>
    <xf numFmtId="168" fontId="3" fillId="0" borderId="0" xfId="0" applyNumberFormat="1" applyFont="1" applyFill="1" applyAlignment="1">
      <alignment horizontal="center"/>
    </xf>
    <xf numFmtId="49" fontId="3" fillId="0" borderId="0" xfId="0" applyNumberFormat="1" applyFont="1" applyFill="1" applyAlignment="1">
      <alignment horizontal="left"/>
    </xf>
    <xf numFmtId="38" fontId="3" fillId="0" borderId="0" xfId="0" applyNumberFormat="1" applyFont="1" applyFill="1" applyBorder="1" applyAlignment="1">
      <alignment horizontal="right"/>
    </xf>
    <xf numFmtId="0" fontId="0" fillId="0" borderId="0" xfId="0" applyFill="1" applyBorder="1"/>
    <xf numFmtId="0" fontId="2" fillId="0" borderId="0" xfId="0" applyNumberFormat="1" applyFont="1" applyFill="1" applyBorder="1" applyAlignment="1">
      <alignment horizontal="center"/>
    </xf>
    <xf numFmtId="0" fontId="2" fillId="0" borderId="0" xfId="0" applyNumberFormat="1" applyFont="1" applyFill="1" applyAlignment="1">
      <alignment horizontal="center"/>
    </xf>
    <xf numFmtId="0" fontId="5" fillId="0" borderId="0" xfId="0" applyNumberFormat="1" applyFont="1" applyFill="1" applyBorder="1" applyAlignment="1">
      <alignment horizontal="center"/>
    </xf>
    <xf numFmtId="0" fontId="0" fillId="0" borderId="0" xfId="0" applyNumberFormat="1" applyFill="1"/>
    <xf numFmtId="38" fontId="2" fillId="0" borderId="0" xfId="0" quotePrefix="1" applyNumberFormat="1" applyFont="1" applyFill="1" applyBorder="1" applyAlignment="1">
      <alignment horizontal="right"/>
    </xf>
    <xf numFmtId="38" fontId="2" fillId="0" borderId="0" xfId="0" applyNumberFormat="1" applyFont="1" applyFill="1" applyBorder="1" applyAlignment="1">
      <alignment horizontal="center"/>
    </xf>
    <xf numFmtId="38" fontId="5" fillId="0" borderId="0" xfId="0" applyNumberFormat="1" applyFont="1" applyFill="1" applyAlignment="1">
      <alignment horizontal="left"/>
    </xf>
    <xf numFmtId="38" fontId="2" fillId="2" borderId="0" xfId="0" applyNumberFormat="1" applyFont="1" applyFill="1" applyAlignment="1">
      <alignment horizontal="left"/>
    </xf>
    <xf numFmtId="38" fontId="2" fillId="3" borderId="0" xfId="0" applyNumberFormat="1" applyFont="1" applyFill="1" applyAlignment="1">
      <alignment horizontal="left"/>
    </xf>
    <xf numFmtId="38" fontId="2" fillId="4" borderId="0" xfId="0" applyNumberFormat="1" applyFont="1" applyFill="1" applyAlignment="1">
      <alignment horizontal="left"/>
    </xf>
    <xf numFmtId="38" fontId="2" fillId="4" borderId="0" xfId="0" applyNumberFormat="1" applyFont="1" applyFill="1" applyAlignment="1">
      <alignment horizontal="center"/>
    </xf>
    <xf numFmtId="0" fontId="6" fillId="2" borderId="0" xfId="0" applyFont="1" applyFill="1"/>
    <xf numFmtId="170" fontId="2" fillId="0" borderId="0" xfId="0" applyNumberFormat="1" applyFont="1" applyFill="1" applyAlignment="1">
      <alignment horizontal="center"/>
    </xf>
    <xf numFmtId="170" fontId="4" fillId="0" borderId="0" xfId="0" applyNumberFormat="1" applyFont="1" applyFill="1" applyAlignment="1">
      <alignment horizontal="center"/>
    </xf>
    <xf numFmtId="170" fontId="2" fillId="0" borderId="1" xfId="0" applyNumberFormat="1" applyFont="1" applyFill="1" applyBorder="1" applyAlignment="1">
      <alignment horizontal="center"/>
    </xf>
    <xf numFmtId="170" fontId="2" fillId="0" borderId="0" xfId="0" quotePrefix="1" applyNumberFormat="1" applyFont="1" applyFill="1" applyAlignment="1">
      <alignment horizontal="left"/>
    </xf>
    <xf numFmtId="170" fontId="0" fillId="0" borderId="0" xfId="0" applyNumberFormat="1" applyFill="1"/>
    <xf numFmtId="14" fontId="2" fillId="4" borderId="0" xfId="0" applyNumberFormat="1" applyFont="1" applyFill="1" applyAlignment="1">
      <alignment horizontal="center"/>
    </xf>
    <xf numFmtId="169" fontId="2" fillId="4" borderId="0" xfId="0" applyNumberFormat="1" applyFont="1" applyFill="1" applyAlignment="1">
      <alignment horizontal="center"/>
    </xf>
    <xf numFmtId="168" fontId="2" fillId="4" borderId="0" xfId="0" applyNumberFormat="1" applyFont="1" applyFill="1" applyAlignment="1">
      <alignment horizontal="center"/>
    </xf>
    <xf numFmtId="170" fontId="2" fillId="4" borderId="0" xfId="0" applyNumberFormat="1" applyFont="1" applyFill="1" applyAlignment="1">
      <alignment horizontal="center"/>
    </xf>
    <xf numFmtId="38" fontId="2" fillId="4" borderId="0" xfId="0" applyNumberFormat="1" applyFont="1" applyFill="1" applyAlignment="1">
      <alignment horizontal="right"/>
    </xf>
    <xf numFmtId="0" fontId="2" fillId="4" borderId="0" xfId="0" applyNumberFormat="1" applyFont="1" applyFill="1" applyAlignment="1">
      <alignment horizontal="center"/>
    </xf>
    <xf numFmtId="1" fontId="2" fillId="4" borderId="0" xfId="0" applyNumberFormat="1" applyFont="1" applyFill="1" applyAlignment="1">
      <alignment horizontal="center"/>
    </xf>
    <xf numFmtId="0" fontId="6" fillId="4" borderId="0" xfId="0" applyFont="1" applyFill="1"/>
    <xf numFmtId="168" fontId="5" fillId="0" borderId="0" xfId="0" applyNumberFormat="1" applyFont="1" applyFill="1" applyAlignment="1">
      <alignment horizontal="left"/>
    </xf>
    <xf numFmtId="1" fontId="2" fillId="0" borderId="0" xfId="0" applyNumberFormat="1" applyFont="1" applyFill="1" applyBorder="1" applyAlignment="1">
      <alignment horizontal="center"/>
    </xf>
    <xf numFmtId="38" fontId="3" fillId="0" borderId="0" xfId="0" applyNumberFormat="1" applyFont="1" applyFill="1" applyBorder="1" applyAlignment="1">
      <alignment horizontal="center"/>
    </xf>
    <xf numFmtId="0" fontId="0" fillId="0" borderId="0" xfId="0" applyNumberFormat="1" applyFill="1" applyBorder="1"/>
    <xf numFmtId="170" fontId="2" fillId="3" borderId="0" xfId="0" applyNumberFormat="1" applyFont="1" applyFill="1" applyAlignment="1">
      <alignment horizontal="center"/>
    </xf>
    <xf numFmtId="168" fontId="2" fillId="3" borderId="0" xfId="0" applyNumberFormat="1" applyFont="1" applyFill="1" applyAlignment="1">
      <alignment horizontal="center"/>
    </xf>
    <xf numFmtId="169" fontId="2" fillId="2" borderId="0" xfId="0" applyNumberFormat="1" applyFont="1" applyFill="1" applyAlignment="1">
      <alignment horizontal="center"/>
    </xf>
    <xf numFmtId="0" fontId="2" fillId="0" borderId="0" xfId="0" applyNumberFormat="1" applyFont="1" applyFill="1" applyBorder="1" applyAlignment="1">
      <alignment horizontal="right"/>
    </xf>
    <xf numFmtId="0" fontId="3" fillId="0" borderId="0" xfId="0" applyNumberFormat="1" applyFont="1" applyFill="1" applyBorder="1" applyAlignment="1">
      <alignment horizontal="right"/>
    </xf>
    <xf numFmtId="0" fontId="4" fillId="0" borderId="0" xfId="0" applyNumberFormat="1" applyFont="1" applyFill="1" applyAlignment="1">
      <alignment horizontal="right"/>
    </xf>
    <xf numFmtId="0" fontId="2" fillId="4" borderId="0" xfId="0" applyNumberFormat="1" applyFont="1" applyFill="1" applyAlignment="1">
      <alignment horizontal="right"/>
    </xf>
    <xf numFmtId="0" fontId="3" fillId="0" borderId="1" xfId="0" applyNumberFormat="1" applyFont="1" applyFill="1" applyBorder="1" applyAlignment="1">
      <alignment horizontal="right"/>
    </xf>
    <xf numFmtId="0" fontId="2" fillId="0" borderId="0" xfId="0" applyNumberFormat="1" applyFont="1" applyFill="1" applyAlignment="1">
      <alignment horizontal="right"/>
    </xf>
    <xf numFmtId="0" fontId="2" fillId="0" borderId="0" xfId="0" quotePrefix="1" applyNumberFormat="1" applyFont="1" applyFill="1" applyBorder="1" applyAlignment="1">
      <alignment horizontal="right"/>
    </xf>
    <xf numFmtId="38" fontId="2" fillId="3" borderId="0" xfId="0" applyNumberFormat="1" applyFont="1" applyFill="1" applyAlignment="1">
      <alignment horizontal="center"/>
    </xf>
    <xf numFmtId="14" fontId="2" fillId="3" borderId="0" xfId="0" applyNumberFormat="1" applyFont="1" applyFill="1" applyAlignment="1">
      <alignment horizontal="center"/>
    </xf>
    <xf numFmtId="169" fontId="2" fillId="3" borderId="0" xfId="0" applyNumberFormat="1" applyFont="1" applyFill="1" applyAlignment="1">
      <alignment horizontal="center"/>
    </xf>
    <xf numFmtId="1" fontId="2" fillId="3" borderId="0" xfId="0" applyNumberFormat="1" applyFont="1" applyFill="1" applyAlignment="1">
      <alignment horizontal="center"/>
    </xf>
    <xf numFmtId="38" fontId="2" fillId="3" borderId="0" xfId="0" applyNumberFormat="1" applyFont="1" applyFill="1" applyAlignment="1">
      <alignment horizontal="right"/>
    </xf>
    <xf numFmtId="0" fontId="2" fillId="3" borderId="0" xfId="0" applyNumberFormat="1" applyFont="1" applyFill="1" applyAlignment="1">
      <alignment horizontal="right"/>
    </xf>
    <xf numFmtId="0" fontId="2" fillId="3" borderId="0" xfId="0" applyNumberFormat="1" applyFont="1" applyFill="1" applyAlignment="1">
      <alignment horizontal="center"/>
    </xf>
    <xf numFmtId="0" fontId="6" fillId="3" borderId="0" xfId="0" applyFont="1" applyFill="1"/>
    <xf numFmtId="0" fontId="2" fillId="2" borderId="0" xfId="0" applyNumberFormat="1" applyFont="1" applyFill="1" applyAlignment="1">
      <alignment horizontal="right"/>
    </xf>
    <xf numFmtId="38" fontId="2" fillId="2" borderId="0" xfId="0" applyNumberFormat="1" applyFont="1" applyFill="1" applyAlignment="1">
      <alignment horizontal="center"/>
    </xf>
    <xf numFmtId="14" fontId="2" fillId="2" borderId="0" xfId="0" applyNumberFormat="1" applyFont="1" applyFill="1" applyAlignment="1">
      <alignment horizontal="center"/>
    </xf>
    <xf numFmtId="168" fontId="2" fillId="2" borderId="0" xfId="0" applyNumberFormat="1" applyFont="1" applyFill="1" applyAlignment="1">
      <alignment horizontal="center"/>
    </xf>
    <xf numFmtId="170" fontId="2" fillId="2" borderId="0" xfId="0" applyNumberFormat="1" applyFont="1" applyFill="1" applyAlignment="1">
      <alignment horizontal="center"/>
    </xf>
    <xf numFmtId="1" fontId="2" fillId="2" borderId="0" xfId="0" applyNumberFormat="1" applyFont="1" applyFill="1" applyAlignment="1">
      <alignment horizontal="center"/>
    </xf>
    <xf numFmtId="38" fontId="2" fillId="2" borderId="0" xfId="0" applyNumberFormat="1" applyFont="1" applyFill="1" applyAlignment="1">
      <alignment horizontal="right"/>
    </xf>
    <xf numFmtId="0" fontId="2" fillId="2" borderId="0" xfId="0" applyNumberFormat="1" applyFont="1" applyFill="1" applyAlignment="1">
      <alignment horizontal="center"/>
    </xf>
    <xf numFmtId="38" fontId="2" fillId="0" borderId="0" xfId="0" applyNumberFormat="1" applyFont="1" applyFill="1" applyAlignment="1"/>
    <xf numFmtId="167" fontId="2" fillId="0" borderId="0" xfId="1" applyNumberFormat="1" applyFont="1" applyFill="1" applyAlignment="1">
      <alignment horizontal="right"/>
    </xf>
    <xf numFmtId="187" fontId="2" fillId="0" borderId="0" xfId="1" quotePrefix="1" applyNumberFormat="1" applyFont="1" applyFill="1" applyBorder="1" applyAlignment="1">
      <alignment horizontal="right"/>
    </xf>
    <xf numFmtId="0" fontId="2" fillId="2" borderId="0" xfId="0" applyNumberFormat="1" applyFont="1" applyFill="1" applyAlignment="1">
      <alignment horizontal="left"/>
    </xf>
    <xf numFmtId="38" fontId="2" fillId="2" borderId="0" xfId="0" quotePrefix="1" applyNumberFormat="1" applyFont="1" applyFill="1" applyAlignment="1">
      <alignment horizontal="left"/>
    </xf>
    <xf numFmtId="40" fontId="2" fillId="2" borderId="0" xfId="0" applyNumberFormat="1" applyFont="1" applyFill="1" applyAlignment="1">
      <alignment horizontal="right"/>
    </xf>
    <xf numFmtId="38" fontId="2" fillId="0" borderId="0" xfId="0" applyNumberFormat="1" applyFont="1" applyFill="1" applyBorder="1" applyAlignment="1">
      <alignment horizontal="left"/>
    </xf>
    <xf numFmtId="38" fontId="2" fillId="3" borderId="0" xfId="0" quotePrefix="1" applyNumberFormat="1" applyFont="1" applyFill="1" applyAlignment="1">
      <alignment horizontal="left"/>
    </xf>
    <xf numFmtId="38" fontId="4" fillId="0" borderId="0" xfId="0" applyNumberFormat="1" applyFont="1" applyFill="1" applyAlignment="1">
      <alignment horizontal="left"/>
    </xf>
    <xf numFmtId="38" fontId="2" fillId="0" borderId="0" xfId="0" quotePrefix="1" applyNumberFormat="1" applyFont="1" applyFill="1" applyBorder="1" applyAlignment="1">
      <alignment horizontal="left"/>
    </xf>
    <xf numFmtId="0" fontId="0" fillId="0" borderId="0" xfId="0" applyFill="1" applyBorder="1" applyAlignment="1">
      <alignment horizontal="left"/>
    </xf>
    <xf numFmtId="1" fontId="2" fillId="2" borderId="0" xfId="0" quotePrefix="1" applyNumberFormat="1" applyFont="1" applyFill="1" applyAlignment="1">
      <alignment horizontal="center"/>
    </xf>
    <xf numFmtId="0" fontId="2" fillId="2" borderId="0" xfId="0" quotePrefix="1" applyNumberFormat="1" applyFont="1" applyFill="1" applyAlignment="1">
      <alignment horizontal="right"/>
    </xf>
    <xf numFmtId="0" fontId="2" fillId="3" borderId="0" xfId="0" applyNumberFormat="1" applyFont="1" applyFill="1" applyAlignment="1">
      <alignment horizontal="lef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57"/>
  <sheetViews>
    <sheetView tabSelected="1" workbookViewId="0">
      <selection activeCell="Q28" sqref="Q28:Q29"/>
    </sheetView>
  </sheetViews>
  <sheetFormatPr defaultRowHeight="12.75" x14ac:dyDescent="0.2"/>
  <cols>
    <col min="1" max="1" width="10" style="26" customWidth="1"/>
    <col min="2" max="2" width="9.140625" style="26"/>
    <col min="3" max="3" width="10.5703125" style="26" customWidth="1"/>
    <col min="4" max="5" width="7.7109375" style="26" customWidth="1"/>
    <col min="6" max="6" width="12.42578125" style="28" customWidth="1"/>
    <col min="7" max="7" width="10.7109375" style="28" customWidth="1"/>
    <col min="8" max="8" width="13" style="26" customWidth="1"/>
    <col min="9" max="9" width="8.85546875" style="26" customWidth="1"/>
    <col min="10" max="13" width="9.140625" style="26" customWidth="1"/>
    <col min="14" max="14" width="9.140625" style="52" customWidth="1"/>
    <col min="15" max="15" width="9.140625" style="26" customWidth="1"/>
    <col min="16" max="16" width="12.7109375" style="26" customWidth="1"/>
    <col min="17" max="17" width="10.85546875" style="26" customWidth="1"/>
    <col min="18" max="18" width="10.140625" style="26" customWidth="1"/>
    <col min="19" max="20" width="9.140625" style="26"/>
    <col min="21" max="21" width="15.28515625" style="39" customWidth="1"/>
    <col min="22" max="22" width="42.28515625" style="28" customWidth="1"/>
    <col min="23" max="24" width="9.140625" style="39"/>
    <col min="25" max="25" width="12.42578125" style="26" customWidth="1"/>
    <col min="26" max="16384" width="9.140625" style="26"/>
  </cols>
  <sheetData>
    <row r="1" spans="1:24" x14ac:dyDescent="0.2">
      <c r="A1" s="42" t="s">
        <v>41</v>
      </c>
      <c r="B1" s="3"/>
      <c r="C1" s="3"/>
      <c r="D1" s="4"/>
      <c r="E1" s="4"/>
      <c r="F1" s="1"/>
      <c r="G1" s="1"/>
      <c r="H1" s="3" t="s">
        <v>22</v>
      </c>
      <c r="I1" s="7">
        <v>31</v>
      </c>
      <c r="J1" s="61" t="s">
        <v>48</v>
      </c>
      <c r="K1" s="5"/>
      <c r="L1" s="5"/>
      <c r="M1" s="5"/>
      <c r="N1" s="48"/>
      <c r="O1" s="5"/>
      <c r="P1" s="25"/>
      <c r="Q1" s="2"/>
      <c r="R1" s="29"/>
      <c r="S1" s="29"/>
      <c r="T1" s="29"/>
      <c r="U1" s="68"/>
      <c r="V1" s="97"/>
      <c r="W1" s="36"/>
      <c r="X1" s="36"/>
    </row>
    <row r="2" spans="1:24" x14ac:dyDescent="0.2">
      <c r="A2" s="43" t="s">
        <v>39</v>
      </c>
      <c r="B2" s="43"/>
      <c r="C2" s="43"/>
      <c r="D2" s="4"/>
      <c r="E2" s="4"/>
      <c r="F2" s="1"/>
      <c r="G2" s="1"/>
      <c r="H2" s="3"/>
      <c r="I2" s="7"/>
      <c r="J2" s="61" t="s">
        <v>49</v>
      </c>
      <c r="K2" s="5"/>
      <c r="L2" s="5"/>
      <c r="M2" s="5"/>
      <c r="N2" s="48"/>
      <c r="O2" s="5"/>
      <c r="P2" s="25"/>
      <c r="Q2" s="2"/>
      <c r="R2" s="29"/>
      <c r="S2" s="29"/>
      <c r="T2" s="29"/>
      <c r="U2" s="68"/>
      <c r="V2" s="97"/>
      <c r="W2" s="36"/>
      <c r="X2" s="36"/>
    </row>
    <row r="3" spans="1:24" x14ac:dyDescent="0.2">
      <c r="A3" s="44" t="s">
        <v>40</v>
      </c>
      <c r="B3" s="44"/>
      <c r="C3" s="44"/>
      <c r="D3" s="4"/>
      <c r="E3" s="4"/>
      <c r="F3" s="6" t="s">
        <v>3</v>
      </c>
      <c r="G3" s="1" t="s">
        <v>3</v>
      </c>
      <c r="H3" s="2" t="s">
        <v>3</v>
      </c>
      <c r="I3" s="8"/>
      <c r="J3" s="32" t="s">
        <v>3</v>
      </c>
      <c r="K3" s="5"/>
      <c r="L3" s="32" t="s">
        <v>3</v>
      </c>
      <c r="M3" s="5"/>
      <c r="N3" s="48"/>
      <c r="O3" s="32" t="s">
        <v>3</v>
      </c>
      <c r="P3" s="25"/>
      <c r="Q3" s="2"/>
      <c r="R3" s="29"/>
      <c r="S3" s="29"/>
      <c r="T3" s="29"/>
      <c r="U3" s="68"/>
      <c r="V3" s="97"/>
      <c r="W3" s="36"/>
      <c r="X3" s="36"/>
    </row>
    <row r="4" spans="1:24" x14ac:dyDescent="0.2">
      <c r="A4" s="45"/>
      <c r="B4" s="46"/>
      <c r="C4" s="46"/>
      <c r="D4" s="4"/>
      <c r="E4" s="4"/>
      <c r="F4" s="33"/>
      <c r="G4" s="1"/>
      <c r="H4" s="33"/>
      <c r="I4" s="8"/>
      <c r="J4" s="33"/>
      <c r="K4" s="5"/>
      <c r="L4" s="33"/>
      <c r="M4" s="2"/>
      <c r="N4" s="48"/>
      <c r="O4" s="2"/>
      <c r="P4" s="25"/>
      <c r="Q4" s="2"/>
      <c r="R4" s="29"/>
      <c r="S4" s="34"/>
      <c r="T4" s="34"/>
      <c r="U4" s="69"/>
      <c r="V4" s="97"/>
      <c r="W4" s="36"/>
      <c r="X4" s="36"/>
    </row>
    <row r="5" spans="1:24" x14ac:dyDescent="0.2">
      <c r="A5" s="1" t="s">
        <v>51</v>
      </c>
      <c r="B5" s="3"/>
      <c r="C5" s="1"/>
      <c r="D5" s="4"/>
      <c r="E5" s="4"/>
      <c r="F5" s="33"/>
      <c r="G5" s="1"/>
      <c r="H5" s="33"/>
      <c r="I5" s="8"/>
      <c r="J5" s="33"/>
      <c r="K5" s="5"/>
      <c r="L5" s="33"/>
      <c r="M5" s="2"/>
      <c r="N5" s="48"/>
      <c r="O5" s="2"/>
      <c r="P5" s="25"/>
      <c r="Q5" s="2"/>
      <c r="R5" s="29"/>
      <c r="S5" s="34"/>
      <c r="T5" s="34"/>
      <c r="U5" s="69"/>
      <c r="V5" s="97"/>
      <c r="W5" s="36"/>
      <c r="X5" s="36"/>
    </row>
    <row r="6" spans="1:24" x14ac:dyDescent="0.2">
      <c r="A6" s="1"/>
      <c r="B6" s="3"/>
      <c r="C6" s="3"/>
      <c r="D6" s="4"/>
      <c r="E6" s="4"/>
      <c r="F6" s="33"/>
      <c r="G6" s="1"/>
      <c r="H6" s="33"/>
      <c r="I6" s="8"/>
      <c r="J6" s="33"/>
      <c r="K6" s="5"/>
      <c r="L6" s="33"/>
      <c r="M6" s="2"/>
      <c r="N6" s="48"/>
      <c r="O6" s="2"/>
      <c r="P6" s="25"/>
      <c r="Q6" s="2"/>
      <c r="R6" s="29"/>
      <c r="S6" s="34"/>
      <c r="T6" s="34"/>
      <c r="U6" s="69"/>
      <c r="V6" s="97"/>
      <c r="W6" s="36"/>
      <c r="X6" s="36"/>
    </row>
    <row r="7" spans="1:24" x14ac:dyDescent="0.2">
      <c r="A7" s="1"/>
      <c r="B7" s="3"/>
      <c r="C7" s="3"/>
      <c r="D7" s="4"/>
      <c r="E7" s="4"/>
      <c r="F7" s="33"/>
      <c r="G7" s="1"/>
      <c r="H7" s="33"/>
      <c r="I7" s="8"/>
      <c r="J7" s="33"/>
      <c r="K7" s="5"/>
      <c r="L7" s="33"/>
      <c r="M7" s="2"/>
      <c r="N7" s="48"/>
      <c r="O7" s="2"/>
      <c r="P7" s="25"/>
      <c r="Q7" s="2"/>
      <c r="R7" s="29"/>
      <c r="S7" s="34"/>
      <c r="T7" s="34"/>
      <c r="U7" s="69"/>
      <c r="V7" s="97"/>
      <c r="W7" s="36"/>
      <c r="X7" s="36"/>
    </row>
    <row r="8" spans="1:24" x14ac:dyDescent="0.2">
      <c r="A8" s="1"/>
      <c r="B8" s="3"/>
      <c r="C8" s="3"/>
      <c r="D8" s="4"/>
      <c r="E8" s="4"/>
      <c r="F8" s="33"/>
      <c r="G8" s="1"/>
      <c r="H8" s="33"/>
      <c r="I8" s="8"/>
      <c r="J8" s="33"/>
      <c r="K8" s="5"/>
      <c r="L8" s="33"/>
      <c r="M8" s="2"/>
      <c r="N8" s="48"/>
      <c r="O8" s="2"/>
      <c r="P8" s="25"/>
      <c r="Q8" s="2"/>
      <c r="R8" s="29"/>
      <c r="S8" s="34"/>
      <c r="T8" s="34"/>
      <c r="U8" s="69"/>
      <c r="V8" s="97"/>
      <c r="W8" s="36"/>
      <c r="X8" s="36"/>
    </row>
    <row r="9" spans="1:24" x14ac:dyDescent="0.2">
      <c r="A9" s="1"/>
      <c r="B9" s="3"/>
      <c r="C9" s="3"/>
      <c r="D9" s="4"/>
      <c r="E9" s="4"/>
      <c r="F9" s="33"/>
      <c r="G9" s="1"/>
      <c r="H9" s="33"/>
      <c r="I9" s="8"/>
      <c r="J9" s="33"/>
      <c r="K9" s="5"/>
      <c r="L9" s="33"/>
      <c r="M9" s="2"/>
      <c r="N9" s="48"/>
      <c r="O9" s="2"/>
      <c r="P9" s="25"/>
      <c r="Q9" s="2"/>
      <c r="R9" s="29"/>
      <c r="S9" s="34"/>
      <c r="T9" s="34"/>
      <c r="U9" s="69"/>
      <c r="V9" s="97"/>
      <c r="W9" s="36"/>
      <c r="X9" s="36"/>
    </row>
    <row r="10" spans="1:24" x14ac:dyDescent="0.2">
      <c r="A10" s="1"/>
      <c r="B10" s="3"/>
      <c r="C10" s="3"/>
      <c r="D10" s="4"/>
      <c r="E10" s="4"/>
      <c r="F10" s="33"/>
      <c r="G10" s="1"/>
      <c r="H10" s="33"/>
      <c r="I10" s="8"/>
      <c r="J10" s="33"/>
      <c r="K10" s="5"/>
      <c r="L10" s="33"/>
      <c r="M10" s="2"/>
      <c r="N10" s="48"/>
      <c r="O10" s="2"/>
      <c r="P10" s="25"/>
      <c r="Q10" s="2"/>
      <c r="R10" s="29"/>
      <c r="S10" s="34"/>
      <c r="T10" s="34"/>
      <c r="U10" s="69"/>
      <c r="V10" s="97"/>
      <c r="W10" s="36"/>
      <c r="X10" s="36"/>
    </row>
    <row r="11" spans="1:24" x14ac:dyDescent="0.2">
      <c r="A11" s="17" t="s">
        <v>4</v>
      </c>
      <c r="B11" s="18" t="s">
        <v>5</v>
      </c>
      <c r="C11" s="18" t="s">
        <v>143</v>
      </c>
      <c r="D11" s="19" t="s">
        <v>7</v>
      </c>
      <c r="E11" s="19"/>
      <c r="F11" s="17" t="s">
        <v>8</v>
      </c>
      <c r="G11" s="17" t="s">
        <v>9</v>
      </c>
      <c r="H11" s="18" t="s">
        <v>91</v>
      </c>
      <c r="I11" s="20" t="s">
        <v>11</v>
      </c>
      <c r="J11" s="18" t="s">
        <v>12</v>
      </c>
      <c r="K11" s="18" t="s">
        <v>13</v>
      </c>
      <c r="L11" s="18" t="s">
        <v>14</v>
      </c>
      <c r="M11" s="18" t="s">
        <v>15</v>
      </c>
      <c r="N11" s="49" t="s">
        <v>16</v>
      </c>
      <c r="O11" s="18" t="s">
        <v>17</v>
      </c>
      <c r="P11" s="21" t="s">
        <v>18</v>
      </c>
      <c r="Q11" s="18" t="s">
        <v>19</v>
      </c>
      <c r="R11" s="17" t="s">
        <v>20</v>
      </c>
      <c r="S11" s="22" t="s">
        <v>86</v>
      </c>
      <c r="T11" s="22" t="s">
        <v>85</v>
      </c>
      <c r="U11" s="70" t="s">
        <v>37</v>
      </c>
      <c r="V11" s="99" t="s">
        <v>52</v>
      </c>
      <c r="W11" s="37"/>
      <c r="X11" s="37"/>
    </row>
    <row r="12" spans="1:24" s="47" customFormat="1" x14ac:dyDescent="0.2">
      <c r="A12" s="43" t="s">
        <v>150</v>
      </c>
      <c r="B12" s="84" t="s">
        <v>35</v>
      </c>
      <c r="C12" s="84" t="s">
        <v>23</v>
      </c>
      <c r="D12" s="85">
        <v>35977</v>
      </c>
      <c r="E12" s="85">
        <v>36830</v>
      </c>
      <c r="F12" s="95" t="s">
        <v>144</v>
      </c>
      <c r="G12" s="43" t="s">
        <v>152</v>
      </c>
      <c r="H12" s="84" t="s">
        <v>145</v>
      </c>
      <c r="I12" s="67">
        <f>6.7854/I$1</f>
        <v>0.21888387096774195</v>
      </c>
      <c r="J12" s="86">
        <v>1.12E-2</v>
      </c>
      <c r="K12" s="86">
        <v>2.2000000000000001E-3</v>
      </c>
      <c r="L12" s="86">
        <v>7.1999999999999998E-3</v>
      </c>
      <c r="M12" s="86">
        <v>0</v>
      </c>
      <c r="N12" s="87">
        <v>1.11E-2</v>
      </c>
      <c r="O12" s="86">
        <f t="shared" ref="O12:O25" si="0">SUM(I12:M12)</f>
        <v>0.23948387096774196</v>
      </c>
      <c r="P12" s="88">
        <v>770407</v>
      </c>
      <c r="Q12" s="84">
        <v>69</v>
      </c>
      <c r="R12" s="43"/>
      <c r="S12" s="89">
        <f t="shared" ref="S12:S25" si="1">I12*I$1*Q12</f>
        <v>468.19260000000003</v>
      </c>
      <c r="T12" s="89"/>
      <c r="U12" s="83">
        <v>142005</v>
      </c>
      <c r="V12" s="43"/>
      <c r="W12" s="90"/>
      <c r="X12" s="90"/>
    </row>
    <row r="13" spans="1:24" s="47" customFormat="1" x14ac:dyDescent="0.2">
      <c r="A13" s="43" t="s">
        <v>150</v>
      </c>
      <c r="B13" s="84" t="s">
        <v>35</v>
      </c>
      <c r="C13" s="84" t="s">
        <v>23</v>
      </c>
      <c r="D13" s="85">
        <v>35977</v>
      </c>
      <c r="E13" s="85">
        <v>40117</v>
      </c>
      <c r="F13" s="95" t="s">
        <v>144</v>
      </c>
      <c r="G13" s="95" t="s">
        <v>151</v>
      </c>
      <c r="H13" s="84" t="s">
        <v>31</v>
      </c>
      <c r="I13" s="67">
        <f t="shared" ref="I13:I25" si="2">6.7854/I$1</f>
        <v>0.21888387096774195</v>
      </c>
      <c r="J13" s="86">
        <v>1.12E-2</v>
      </c>
      <c r="K13" s="86">
        <v>2.2000000000000001E-3</v>
      </c>
      <c r="L13" s="86">
        <v>7.1999999999999998E-3</v>
      </c>
      <c r="M13" s="86">
        <v>0</v>
      </c>
      <c r="N13" s="87">
        <v>1.11E-2</v>
      </c>
      <c r="O13" s="86">
        <f t="shared" si="0"/>
        <v>0.23948387096774196</v>
      </c>
      <c r="P13" s="88">
        <v>770409</v>
      </c>
      <c r="Q13" s="84">
        <v>64</v>
      </c>
      <c r="R13" s="43"/>
      <c r="S13" s="89">
        <f t="shared" si="1"/>
        <v>434.26560000000001</v>
      </c>
      <c r="T13" s="89"/>
      <c r="U13" s="83">
        <v>142007</v>
      </c>
      <c r="V13" s="43"/>
      <c r="W13" s="90"/>
      <c r="X13" s="90"/>
    </row>
    <row r="14" spans="1:24" s="47" customFormat="1" x14ac:dyDescent="0.2">
      <c r="A14" s="43" t="s">
        <v>150</v>
      </c>
      <c r="B14" s="84" t="s">
        <v>35</v>
      </c>
      <c r="C14" s="84" t="s">
        <v>23</v>
      </c>
      <c r="D14" s="85">
        <v>35977</v>
      </c>
      <c r="E14" s="85">
        <v>41213</v>
      </c>
      <c r="F14" s="95" t="s">
        <v>153</v>
      </c>
      <c r="G14" s="95" t="s">
        <v>151</v>
      </c>
      <c r="H14" s="84" t="s">
        <v>149</v>
      </c>
      <c r="I14" s="67">
        <f t="shared" si="2"/>
        <v>0.21888387096774195</v>
      </c>
      <c r="J14" s="86">
        <v>1.12E-2</v>
      </c>
      <c r="K14" s="86">
        <v>2.2000000000000001E-3</v>
      </c>
      <c r="L14" s="86">
        <v>7.1999999999999998E-3</v>
      </c>
      <c r="M14" s="86">
        <v>0</v>
      </c>
      <c r="N14" s="87">
        <v>1.11E-2</v>
      </c>
      <c r="O14" s="86">
        <f t="shared" si="0"/>
        <v>0.23948387096774196</v>
      </c>
      <c r="P14" s="88">
        <v>770412</v>
      </c>
      <c r="Q14" s="84">
        <v>46</v>
      </c>
      <c r="R14" s="43"/>
      <c r="S14" s="89">
        <f t="shared" si="1"/>
        <v>312.1284</v>
      </c>
      <c r="T14" s="89"/>
      <c r="U14" s="83">
        <v>142009</v>
      </c>
      <c r="V14" s="43"/>
      <c r="W14" s="90"/>
      <c r="X14" s="90"/>
    </row>
    <row r="15" spans="1:24" s="47" customFormat="1" x14ac:dyDescent="0.2">
      <c r="A15" s="43" t="s">
        <v>150</v>
      </c>
      <c r="B15" s="84" t="s">
        <v>35</v>
      </c>
      <c r="C15" s="84" t="s">
        <v>23</v>
      </c>
      <c r="D15" s="85">
        <v>36130</v>
      </c>
      <c r="E15" s="85">
        <v>36830</v>
      </c>
      <c r="F15" s="95" t="s">
        <v>144</v>
      </c>
      <c r="G15" s="95" t="s">
        <v>154</v>
      </c>
      <c r="H15" s="84" t="s">
        <v>145</v>
      </c>
      <c r="I15" s="67">
        <f t="shared" si="2"/>
        <v>0.21888387096774195</v>
      </c>
      <c r="J15" s="86">
        <v>1.12E-2</v>
      </c>
      <c r="K15" s="86">
        <v>2.2000000000000001E-3</v>
      </c>
      <c r="L15" s="86">
        <v>7.1999999999999998E-3</v>
      </c>
      <c r="M15" s="86">
        <v>0</v>
      </c>
      <c r="N15" s="87">
        <v>1.11E-2</v>
      </c>
      <c r="O15" s="86">
        <f t="shared" si="0"/>
        <v>0.23948387096774196</v>
      </c>
      <c r="P15" s="88">
        <v>770612</v>
      </c>
      <c r="Q15" s="84">
        <v>12</v>
      </c>
      <c r="R15" s="43"/>
      <c r="S15" s="89">
        <f t="shared" si="1"/>
        <v>81.424800000000005</v>
      </c>
      <c r="T15" s="89"/>
      <c r="U15" s="83">
        <v>142010</v>
      </c>
      <c r="V15" s="43"/>
      <c r="W15" s="90"/>
      <c r="X15" s="90"/>
    </row>
    <row r="16" spans="1:24" s="47" customFormat="1" x14ac:dyDescent="0.2">
      <c r="A16" s="43" t="s">
        <v>150</v>
      </c>
      <c r="B16" s="84" t="s">
        <v>35</v>
      </c>
      <c r="C16" s="84" t="s">
        <v>23</v>
      </c>
      <c r="D16" s="85">
        <v>36130</v>
      </c>
      <c r="E16" s="85">
        <v>40117</v>
      </c>
      <c r="F16" s="95" t="s">
        <v>144</v>
      </c>
      <c r="G16" s="95" t="s">
        <v>151</v>
      </c>
      <c r="H16" s="84" t="s">
        <v>31</v>
      </c>
      <c r="I16" s="67">
        <f t="shared" si="2"/>
        <v>0.21888387096774195</v>
      </c>
      <c r="J16" s="86">
        <v>1.12E-2</v>
      </c>
      <c r="K16" s="86">
        <v>2.2000000000000001E-3</v>
      </c>
      <c r="L16" s="86">
        <v>7.1999999999999998E-3</v>
      </c>
      <c r="M16" s="86">
        <v>0</v>
      </c>
      <c r="N16" s="87">
        <v>1.11E-2</v>
      </c>
      <c r="O16" s="86">
        <f t="shared" si="0"/>
        <v>0.23948387096774196</v>
      </c>
      <c r="P16" s="88">
        <v>770614</v>
      </c>
      <c r="Q16" s="84">
        <v>11</v>
      </c>
      <c r="R16" s="43"/>
      <c r="S16" s="89">
        <f t="shared" si="1"/>
        <v>74.639399999999995</v>
      </c>
      <c r="T16" s="89"/>
      <c r="U16" s="83">
        <v>142012</v>
      </c>
      <c r="V16" s="43"/>
      <c r="W16" s="90"/>
      <c r="X16" s="90"/>
    </row>
    <row r="17" spans="1:24" s="47" customFormat="1" x14ac:dyDescent="0.2">
      <c r="A17" s="43" t="s">
        <v>150</v>
      </c>
      <c r="B17" s="84" t="s">
        <v>35</v>
      </c>
      <c r="C17" s="84" t="s">
        <v>23</v>
      </c>
      <c r="D17" s="85">
        <v>36130</v>
      </c>
      <c r="E17" s="85">
        <v>41213</v>
      </c>
      <c r="F17" s="95" t="s">
        <v>153</v>
      </c>
      <c r="G17" s="95" t="s">
        <v>151</v>
      </c>
      <c r="H17" s="84" t="s">
        <v>149</v>
      </c>
      <c r="I17" s="67">
        <f t="shared" si="2"/>
        <v>0.21888387096774195</v>
      </c>
      <c r="J17" s="86">
        <v>1.12E-2</v>
      </c>
      <c r="K17" s="86">
        <v>2.2000000000000001E-3</v>
      </c>
      <c r="L17" s="86">
        <v>7.1999999999999998E-3</v>
      </c>
      <c r="M17" s="86">
        <v>0</v>
      </c>
      <c r="N17" s="87">
        <v>1.11E-2</v>
      </c>
      <c r="O17" s="86">
        <f t="shared" si="0"/>
        <v>0.23948387096774196</v>
      </c>
      <c r="P17" s="88">
        <v>770617</v>
      </c>
      <c r="Q17" s="84">
        <v>8</v>
      </c>
      <c r="R17" s="43"/>
      <c r="S17" s="89">
        <f t="shared" si="1"/>
        <v>54.283200000000001</v>
      </c>
      <c r="T17" s="89"/>
      <c r="U17" s="83">
        <v>142013</v>
      </c>
      <c r="V17" s="43"/>
      <c r="W17" s="90"/>
      <c r="X17" s="90"/>
    </row>
    <row r="18" spans="1:24" s="47" customFormat="1" x14ac:dyDescent="0.2">
      <c r="A18" s="43" t="s">
        <v>150</v>
      </c>
      <c r="B18" s="84" t="s">
        <v>35</v>
      </c>
      <c r="C18" s="84" t="s">
        <v>23</v>
      </c>
      <c r="D18" s="85">
        <v>35855</v>
      </c>
      <c r="E18" s="85">
        <v>41213</v>
      </c>
      <c r="F18" s="95" t="s">
        <v>153</v>
      </c>
      <c r="G18" s="95" t="s">
        <v>151</v>
      </c>
      <c r="H18" s="84" t="s">
        <v>149</v>
      </c>
      <c r="I18" s="67">
        <f t="shared" si="2"/>
        <v>0.21888387096774195</v>
      </c>
      <c r="J18" s="86">
        <v>1.12E-2</v>
      </c>
      <c r="K18" s="86">
        <v>2.2000000000000001E-3</v>
      </c>
      <c r="L18" s="86">
        <v>7.1999999999999998E-3</v>
      </c>
      <c r="M18" s="86">
        <v>0</v>
      </c>
      <c r="N18" s="87">
        <v>1.11E-2</v>
      </c>
      <c r="O18" s="86">
        <f t="shared" si="0"/>
        <v>0.23948387096774196</v>
      </c>
      <c r="P18" s="88">
        <v>770729</v>
      </c>
      <c r="Q18" s="84">
        <v>15</v>
      </c>
      <c r="R18" s="43"/>
      <c r="S18" s="89">
        <f t="shared" si="1"/>
        <v>101.78100000000001</v>
      </c>
      <c r="T18" s="89"/>
      <c r="U18" s="83">
        <v>142015</v>
      </c>
      <c r="V18" s="43"/>
      <c r="W18" s="90"/>
      <c r="X18" s="90"/>
    </row>
    <row r="19" spans="1:24" s="47" customFormat="1" x14ac:dyDescent="0.2">
      <c r="A19" s="43" t="s">
        <v>150</v>
      </c>
      <c r="B19" s="84" t="s">
        <v>35</v>
      </c>
      <c r="C19" s="84" t="s">
        <v>23</v>
      </c>
      <c r="D19" s="85">
        <v>35855</v>
      </c>
      <c r="E19" s="85">
        <v>40117</v>
      </c>
      <c r="F19" s="95" t="s">
        <v>144</v>
      </c>
      <c r="G19" s="95" t="s">
        <v>151</v>
      </c>
      <c r="H19" s="84" t="s">
        <v>31</v>
      </c>
      <c r="I19" s="67">
        <f t="shared" si="2"/>
        <v>0.21888387096774195</v>
      </c>
      <c r="J19" s="86">
        <v>1.12E-2</v>
      </c>
      <c r="K19" s="86">
        <v>2.2000000000000001E-3</v>
      </c>
      <c r="L19" s="86">
        <v>7.1999999999999998E-3</v>
      </c>
      <c r="M19" s="86">
        <v>0</v>
      </c>
      <c r="N19" s="87">
        <v>1.11E-2</v>
      </c>
      <c r="O19" s="86">
        <f t="shared" si="0"/>
        <v>0.23948387096774196</v>
      </c>
      <c r="P19" s="88">
        <v>770732</v>
      </c>
      <c r="Q19" s="84">
        <v>21</v>
      </c>
      <c r="R19" s="43"/>
      <c r="S19" s="89">
        <f t="shared" si="1"/>
        <v>142.49340000000001</v>
      </c>
      <c r="T19" s="89"/>
      <c r="U19" s="83">
        <v>142016</v>
      </c>
      <c r="V19" s="43"/>
      <c r="W19" s="90"/>
      <c r="X19" s="90"/>
    </row>
    <row r="20" spans="1:24" s="47" customFormat="1" x14ac:dyDescent="0.2">
      <c r="A20" s="43" t="s">
        <v>150</v>
      </c>
      <c r="B20" s="84" t="s">
        <v>35</v>
      </c>
      <c r="C20" s="84" t="s">
        <v>23</v>
      </c>
      <c r="D20" s="85">
        <v>35855</v>
      </c>
      <c r="E20" s="85">
        <v>36830</v>
      </c>
      <c r="F20" s="95" t="s">
        <v>144</v>
      </c>
      <c r="G20" s="43" t="s">
        <v>152</v>
      </c>
      <c r="H20" s="84" t="s">
        <v>145</v>
      </c>
      <c r="I20" s="67">
        <f t="shared" si="2"/>
        <v>0.21888387096774195</v>
      </c>
      <c r="J20" s="86">
        <v>1.12E-2</v>
      </c>
      <c r="K20" s="86">
        <v>2.2000000000000001E-3</v>
      </c>
      <c r="L20" s="86">
        <v>7.1999999999999998E-3</v>
      </c>
      <c r="M20" s="86">
        <v>0</v>
      </c>
      <c r="N20" s="87">
        <v>1.11E-2</v>
      </c>
      <c r="O20" s="86">
        <f t="shared" si="0"/>
        <v>0.23948387096774196</v>
      </c>
      <c r="P20" s="88">
        <v>770734</v>
      </c>
      <c r="Q20" s="84">
        <v>23</v>
      </c>
      <c r="R20" s="43"/>
      <c r="S20" s="89">
        <f t="shared" si="1"/>
        <v>156.0642</v>
      </c>
      <c r="T20" s="89"/>
      <c r="U20" s="83">
        <v>142018</v>
      </c>
      <c r="V20" s="43"/>
      <c r="W20" s="90"/>
      <c r="X20" s="90"/>
    </row>
    <row r="21" spans="1:24" s="47" customFormat="1" x14ac:dyDescent="0.2">
      <c r="A21" s="43" t="s">
        <v>150</v>
      </c>
      <c r="B21" s="84" t="s">
        <v>35</v>
      </c>
      <c r="C21" s="84" t="s">
        <v>23</v>
      </c>
      <c r="D21" s="85">
        <v>36465</v>
      </c>
      <c r="E21" s="85">
        <v>36830</v>
      </c>
      <c r="F21" s="95" t="s">
        <v>144</v>
      </c>
      <c r="G21" s="95" t="s">
        <v>155</v>
      </c>
      <c r="H21" s="84" t="s">
        <v>30</v>
      </c>
      <c r="I21" s="67">
        <f t="shared" si="2"/>
        <v>0.21888387096774195</v>
      </c>
      <c r="J21" s="86">
        <v>1.12E-2</v>
      </c>
      <c r="K21" s="86">
        <v>2.2000000000000001E-3</v>
      </c>
      <c r="L21" s="86">
        <v>7.1999999999999998E-3</v>
      </c>
      <c r="M21" s="86">
        <v>0</v>
      </c>
      <c r="N21" s="87">
        <v>1.11E-2</v>
      </c>
      <c r="O21" s="86">
        <f t="shared" si="0"/>
        <v>0.23948387096774196</v>
      </c>
      <c r="P21" s="88">
        <v>770990</v>
      </c>
      <c r="Q21" s="84">
        <v>11</v>
      </c>
      <c r="R21" s="43"/>
      <c r="S21" s="89">
        <f t="shared" si="1"/>
        <v>74.639399999999995</v>
      </c>
      <c r="T21" s="89"/>
      <c r="U21" s="83">
        <v>142020</v>
      </c>
      <c r="V21" s="43"/>
      <c r="W21" s="90"/>
      <c r="X21" s="90"/>
    </row>
    <row r="22" spans="1:24" s="47" customFormat="1" x14ac:dyDescent="0.2">
      <c r="A22" s="43" t="s">
        <v>150</v>
      </c>
      <c r="B22" s="84" t="s">
        <v>35</v>
      </c>
      <c r="C22" s="84" t="s">
        <v>23</v>
      </c>
      <c r="D22" s="85">
        <v>36465</v>
      </c>
      <c r="E22" s="85">
        <v>39021</v>
      </c>
      <c r="F22" s="95" t="s">
        <v>144</v>
      </c>
      <c r="G22" s="95" t="s">
        <v>156</v>
      </c>
      <c r="H22" s="84" t="s">
        <v>30</v>
      </c>
      <c r="I22" s="67">
        <f t="shared" si="2"/>
        <v>0.21888387096774195</v>
      </c>
      <c r="J22" s="86">
        <v>1.12E-2</v>
      </c>
      <c r="K22" s="86">
        <v>2.2000000000000001E-3</v>
      </c>
      <c r="L22" s="86">
        <v>7.1999999999999998E-3</v>
      </c>
      <c r="M22" s="86">
        <v>0</v>
      </c>
      <c r="N22" s="87">
        <v>1.11E-2</v>
      </c>
      <c r="O22" s="86">
        <f t="shared" si="0"/>
        <v>0.23948387096774196</v>
      </c>
      <c r="P22" s="88">
        <v>770991</v>
      </c>
      <c r="Q22" s="84">
        <v>73</v>
      </c>
      <c r="R22" s="43"/>
      <c r="S22" s="89">
        <f t="shared" si="1"/>
        <v>495.33420000000001</v>
      </c>
      <c r="T22" s="89"/>
      <c r="U22" s="83">
        <v>142022</v>
      </c>
      <c r="V22" s="43"/>
      <c r="W22" s="90"/>
      <c r="X22" s="90"/>
    </row>
    <row r="23" spans="1:24" s="47" customFormat="1" x14ac:dyDescent="0.2">
      <c r="A23" s="43" t="s">
        <v>150</v>
      </c>
      <c r="B23" s="84" t="s">
        <v>35</v>
      </c>
      <c r="C23" s="84" t="s">
        <v>23</v>
      </c>
      <c r="D23" s="85">
        <v>36465</v>
      </c>
      <c r="E23" s="85">
        <v>38656</v>
      </c>
      <c r="F23" s="95" t="s">
        <v>252</v>
      </c>
      <c r="G23" s="95" t="s">
        <v>157</v>
      </c>
      <c r="H23" s="84" t="s">
        <v>30</v>
      </c>
      <c r="I23" s="67">
        <f t="shared" si="2"/>
        <v>0.21888387096774195</v>
      </c>
      <c r="J23" s="86">
        <v>1.12E-2</v>
      </c>
      <c r="K23" s="86">
        <v>2.2000000000000001E-3</v>
      </c>
      <c r="L23" s="86">
        <v>7.1999999999999998E-3</v>
      </c>
      <c r="M23" s="86">
        <v>0</v>
      </c>
      <c r="N23" s="87">
        <v>1.11E-2</v>
      </c>
      <c r="O23" s="86">
        <f t="shared" si="0"/>
        <v>0.23948387096774196</v>
      </c>
      <c r="P23" s="88">
        <v>770992</v>
      </c>
      <c r="Q23" s="84">
        <v>158</v>
      </c>
      <c r="R23" s="43"/>
      <c r="S23" s="89">
        <f t="shared" si="1"/>
        <v>1072.0932</v>
      </c>
      <c r="T23" s="89"/>
      <c r="U23" s="83">
        <v>142024</v>
      </c>
      <c r="V23" s="43"/>
      <c r="W23" s="90"/>
      <c r="X23" s="90"/>
    </row>
    <row r="24" spans="1:24" s="47" customFormat="1" x14ac:dyDescent="0.2">
      <c r="A24" s="43" t="s">
        <v>150</v>
      </c>
      <c r="B24" s="84" t="s">
        <v>35</v>
      </c>
      <c r="C24" s="84" t="s">
        <v>23</v>
      </c>
      <c r="D24" s="85">
        <v>36465</v>
      </c>
      <c r="E24" s="85">
        <v>38656</v>
      </c>
      <c r="F24" s="95" t="s">
        <v>144</v>
      </c>
      <c r="G24" s="43" t="s">
        <v>152</v>
      </c>
      <c r="H24" s="84" t="s">
        <v>30</v>
      </c>
      <c r="I24" s="67">
        <f t="shared" si="2"/>
        <v>0.21888387096774195</v>
      </c>
      <c r="J24" s="86">
        <v>1.12E-2</v>
      </c>
      <c r="K24" s="86">
        <v>2.2000000000000001E-3</v>
      </c>
      <c r="L24" s="86">
        <v>7.1999999999999998E-3</v>
      </c>
      <c r="M24" s="86">
        <v>0</v>
      </c>
      <c r="N24" s="87">
        <v>1.11E-2</v>
      </c>
      <c r="O24" s="86">
        <f t="shared" si="0"/>
        <v>0.23948387096774196</v>
      </c>
      <c r="P24" s="88">
        <v>770993</v>
      </c>
      <c r="Q24" s="84">
        <v>264</v>
      </c>
      <c r="R24" s="43"/>
      <c r="S24" s="89">
        <f t="shared" si="1"/>
        <v>1791.3456000000001</v>
      </c>
      <c r="T24" s="89"/>
      <c r="U24" s="83">
        <v>142025</v>
      </c>
      <c r="V24" s="43"/>
      <c r="W24" s="90"/>
      <c r="X24" s="90"/>
    </row>
    <row r="25" spans="1:24" s="47" customFormat="1" x14ac:dyDescent="0.2">
      <c r="A25" s="43" t="s">
        <v>150</v>
      </c>
      <c r="B25" s="84" t="s">
        <v>35</v>
      </c>
      <c r="C25" s="84" t="s">
        <v>146</v>
      </c>
      <c r="D25" s="85">
        <v>36479</v>
      </c>
      <c r="E25" s="85">
        <v>36676</v>
      </c>
      <c r="F25" s="95" t="s">
        <v>147</v>
      </c>
      <c r="G25" s="95" t="s">
        <v>148</v>
      </c>
      <c r="H25" s="84" t="s">
        <v>149</v>
      </c>
      <c r="I25" s="67">
        <f t="shared" si="2"/>
        <v>0.21888387096774195</v>
      </c>
      <c r="J25" s="86">
        <v>1.12E-2</v>
      </c>
      <c r="K25" s="86">
        <v>2.2000000000000001E-3</v>
      </c>
      <c r="L25" s="86">
        <v>7.1999999999999998E-3</v>
      </c>
      <c r="M25" s="86">
        <v>0</v>
      </c>
      <c r="N25" s="87">
        <v>1.11E-2</v>
      </c>
      <c r="O25" s="86">
        <f t="shared" si="0"/>
        <v>0.23948387096774196</v>
      </c>
      <c r="P25" s="88">
        <v>771013</v>
      </c>
      <c r="Q25" s="84">
        <v>69</v>
      </c>
      <c r="R25" s="43"/>
      <c r="S25" s="89">
        <f t="shared" si="1"/>
        <v>468.19260000000003</v>
      </c>
      <c r="T25" s="89"/>
      <c r="U25" s="83">
        <v>142030</v>
      </c>
      <c r="V25" s="43"/>
      <c r="W25" s="90"/>
      <c r="X25" s="90"/>
    </row>
    <row r="26" spans="1:24" x14ac:dyDescent="0.2">
      <c r="A26" s="10" t="s">
        <v>3</v>
      </c>
      <c r="B26" s="11" t="s">
        <v>3</v>
      </c>
      <c r="C26" s="12" t="s">
        <v>3</v>
      </c>
      <c r="D26" s="13" t="s">
        <v>3</v>
      </c>
      <c r="E26" s="13"/>
      <c r="F26" s="10" t="s">
        <v>3</v>
      </c>
      <c r="G26" s="31" t="s">
        <v>3</v>
      </c>
      <c r="H26" s="11" t="s">
        <v>3</v>
      </c>
      <c r="I26" s="14"/>
      <c r="J26" s="15"/>
      <c r="K26" s="15"/>
      <c r="L26" s="15"/>
      <c r="M26" s="15"/>
      <c r="N26" s="50"/>
      <c r="O26" s="15"/>
      <c r="P26" s="27" t="s">
        <v>3</v>
      </c>
      <c r="Q26" s="11">
        <f>SUM(Q12:Q25)</f>
        <v>844</v>
      </c>
      <c r="R26" s="10" t="s">
        <v>3</v>
      </c>
      <c r="S26" s="23">
        <f>SUM(S12:S25)</f>
        <v>5726.8776000000016</v>
      </c>
      <c r="T26" s="23">
        <f>SUM(T12:T25)</f>
        <v>0</v>
      </c>
      <c r="U26" s="72"/>
      <c r="V26" s="10"/>
      <c r="W26" s="37"/>
      <c r="X26" s="37"/>
    </row>
    <row r="27" spans="1:24" x14ac:dyDescent="0.2">
      <c r="A27" s="17" t="s">
        <v>4</v>
      </c>
      <c r="B27" s="18" t="s">
        <v>5</v>
      </c>
      <c r="C27" s="18" t="s">
        <v>143</v>
      </c>
      <c r="D27" s="19" t="s">
        <v>7</v>
      </c>
      <c r="E27" s="19"/>
      <c r="F27" s="17" t="s">
        <v>8</v>
      </c>
      <c r="G27" s="17" t="s">
        <v>9</v>
      </c>
      <c r="H27" s="18" t="s">
        <v>91</v>
      </c>
      <c r="I27" s="20" t="s">
        <v>11</v>
      </c>
      <c r="J27" s="18" t="s">
        <v>12</v>
      </c>
      <c r="K27" s="18" t="s">
        <v>13</v>
      </c>
      <c r="L27" s="18" t="s">
        <v>14</v>
      </c>
      <c r="M27" s="18" t="s">
        <v>15</v>
      </c>
      <c r="N27" s="49" t="s">
        <v>16</v>
      </c>
      <c r="O27" s="18" t="s">
        <v>17</v>
      </c>
      <c r="P27" s="21" t="s">
        <v>18</v>
      </c>
      <c r="Q27" s="18" t="s">
        <v>19</v>
      </c>
      <c r="R27" s="17" t="s">
        <v>20</v>
      </c>
      <c r="S27" s="22" t="s">
        <v>86</v>
      </c>
      <c r="T27" s="22" t="s">
        <v>85</v>
      </c>
      <c r="U27" s="70" t="s">
        <v>37</v>
      </c>
      <c r="V27" s="99" t="s">
        <v>52</v>
      </c>
      <c r="W27" s="37"/>
      <c r="X27" s="37"/>
    </row>
    <row r="28" spans="1:24" s="47" customFormat="1" x14ac:dyDescent="0.2">
      <c r="A28" s="43" t="s">
        <v>150</v>
      </c>
      <c r="B28" s="84" t="s">
        <v>29</v>
      </c>
      <c r="C28" s="84" t="s">
        <v>175</v>
      </c>
      <c r="D28" s="85">
        <v>36526</v>
      </c>
      <c r="E28" s="85">
        <v>36556</v>
      </c>
      <c r="F28" s="43" t="s">
        <v>164</v>
      </c>
      <c r="G28" s="43" t="s">
        <v>177</v>
      </c>
      <c r="H28" s="84" t="s">
        <v>160</v>
      </c>
      <c r="I28" s="67">
        <f>5.769/I$1</f>
        <v>0.18609677419354839</v>
      </c>
      <c r="J28" s="86">
        <v>4.3400000000000001E-2</v>
      </c>
      <c r="K28" s="86">
        <v>2.2000000000000001E-3</v>
      </c>
      <c r="L28" s="86">
        <v>0</v>
      </c>
      <c r="M28" s="86">
        <v>0</v>
      </c>
      <c r="N28" s="87">
        <v>2.2800000000000001E-2</v>
      </c>
      <c r="O28" s="86">
        <f t="shared" ref="O28:O39" si="3">SUM(I28:M28)</f>
        <v>0.23169677419354839</v>
      </c>
      <c r="P28" s="88" t="s">
        <v>288</v>
      </c>
      <c r="Q28" s="84">
        <v>420</v>
      </c>
      <c r="R28" s="43" t="s">
        <v>290</v>
      </c>
      <c r="S28" s="89">
        <f t="shared" ref="S28:S33" si="4">I28*I$1*Q28</f>
        <v>2422.98</v>
      </c>
      <c r="T28" s="89"/>
      <c r="U28" s="83">
        <v>144296</v>
      </c>
      <c r="V28" s="43"/>
      <c r="W28" s="90"/>
      <c r="X28" s="90"/>
    </row>
    <row r="29" spans="1:24" s="47" customFormat="1" x14ac:dyDescent="0.2">
      <c r="A29" s="43" t="s">
        <v>150</v>
      </c>
      <c r="B29" s="84" t="s">
        <v>29</v>
      </c>
      <c r="C29" s="84" t="s">
        <v>175</v>
      </c>
      <c r="D29" s="85">
        <v>36526</v>
      </c>
      <c r="E29" s="85">
        <v>36556</v>
      </c>
      <c r="F29" s="43" t="s">
        <v>164</v>
      </c>
      <c r="G29" s="43" t="s">
        <v>177</v>
      </c>
      <c r="H29" s="84" t="s">
        <v>160</v>
      </c>
      <c r="I29" s="67">
        <f>5.769/I$1</f>
        <v>0.18609677419354839</v>
      </c>
      <c r="J29" s="86">
        <v>4.3400000000000001E-2</v>
      </c>
      <c r="K29" s="86">
        <v>2.2000000000000001E-3</v>
      </c>
      <c r="L29" s="86">
        <v>0</v>
      </c>
      <c r="M29" s="86">
        <v>0</v>
      </c>
      <c r="N29" s="87">
        <v>2.2800000000000001E-2</v>
      </c>
      <c r="O29" s="86">
        <f>SUM(I29:M29)</f>
        <v>0.23169677419354839</v>
      </c>
      <c r="P29" s="88" t="s">
        <v>289</v>
      </c>
      <c r="Q29" s="84">
        <v>476</v>
      </c>
      <c r="R29" s="43" t="s">
        <v>291</v>
      </c>
      <c r="S29" s="89">
        <f t="shared" si="4"/>
        <v>2746.0439999999999</v>
      </c>
      <c r="T29" s="89"/>
      <c r="U29" s="83">
        <v>144297</v>
      </c>
      <c r="V29" s="43"/>
      <c r="W29" s="90"/>
      <c r="X29" s="90"/>
    </row>
    <row r="30" spans="1:24" s="47" customFormat="1" x14ac:dyDescent="0.2">
      <c r="A30" s="43" t="s">
        <v>150</v>
      </c>
      <c r="B30" s="84" t="s">
        <v>29</v>
      </c>
      <c r="C30" s="84" t="s">
        <v>23</v>
      </c>
      <c r="D30" s="85">
        <v>36220</v>
      </c>
      <c r="E30" s="85">
        <v>37711</v>
      </c>
      <c r="F30" s="95" t="s">
        <v>158</v>
      </c>
      <c r="G30" s="95" t="s">
        <v>159</v>
      </c>
      <c r="H30" s="84" t="s">
        <v>160</v>
      </c>
      <c r="I30" s="67">
        <f>5.627/I$1</f>
        <v>0.18151612903225806</v>
      </c>
      <c r="J30" s="86">
        <v>4.3400000000000001E-2</v>
      </c>
      <c r="K30" s="86">
        <v>2.2000000000000001E-3</v>
      </c>
      <c r="L30" s="86">
        <v>0</v>
      </c>
      <c r="M30" s="86">
        <v>0</v>
      </c>
      <c r="N30" s="87">
        <v>2.2800000000000001E-2</v>
      </c>
      <c r="O30" s="86">
        <f>SUM(I30:M30)</f>
        <v>0.22711612903225806</v>
      </c>
      <c r="P30" s="88" t="s">
        <v>161</v>
      </c>
      <c r="Q30" s="84">
        <v>12</v>
      </c>
      <c r="R30" s="43" t="s">
        <v>162</v>
      </c>
      <c r="S30" s="89">
        <f t="shared" si="4"/>
        <v>67.524000000000001</v>
      </c>
      <c r="T30" s="89"/>
      <c r="U30" s="83">
        <v>142039</v>
      </c>
      <c r="V30" s="43"/>
      <c r="W30" s="90"/>
      <c r="X30" s="90"/>
    </row>
    <row r="31" spans="1:24" s="47" customFormat="1" x14ac:dyDescent="0.2">
      <c r="A31" s="43" t="s">
        <v>150</v>
      </c>
      <c r="B31" s="84" t="s">
        <v>29</v>
      </c>
      <c r="C31" s="84" t="s">
        <v>23</v>
      </c>
      <c r="D31" s="85">
        <v>36220</v>
      </c>
      <c r="E31" s="85">
        <v>37711</v>
      </c>
      <c r="F31" s="95" t="s">
        <v>163</v>
      </c>
      <c r="G31" s="95" t="s">
        <v>159</v>
      </c>
      <c r="H31" s="84" t="s">
        <v>160</v>
      </c>
      <c r="I31" s="67">
        <f>5.627/I$1</f>
        <v>0.18151612903225806</v>
      </c>
      <c r="J31" s="86">
        <v>4.3400000000000001E-2</v>
      </c>
      <c r="K31" s="86">
        <v>2.2000000000000001E-3</v>
      </c>
      <c r="L31" s="86">
        <v>0</v>
      </c>
      <c r="M31" s="86">
        <v>0</v>
      </c>
      <c r="N31" s="87">
        <v>2.2800000000000001E-2</v>
      </c>
      <c r="O31" s="86">
        <f t="shared" si="3"/>
        <v>0.22711612903225806</v>
      </c>
      <c r="P31" s="88" t="s">
        <v>161</v>
      </c>
      <c r="Q31" s="84">
        <v>16</v>
      </c>
      <c r="R31" s="43" t="s">
        <v>162</v>
      </c>
      <c r="S31" s="89">
        <f t="shared" si="4"/>
        <v>90.031999999999996</v>
      </c>
      <c r="T31" s="89"/>
      <c r="U31" s="83">
        <v>142039</v>
      </c>
      <c r="V31" s="43"/>
      <c r="W31" s="90"/>
      <c r="X31" s="90"/>
    </row>
    <row r="32" spans="1:24" s="47" customFormat="1" x14ac:dyDescent="0.2">
      <c r="A32" s="43" t="s">
        <v>150</v>
      </c>
      <c r="B32" s="84" t="s">
        <v>29</v>
      </c>
      <c r="C32" s="84" t="s">
        <v>23</v>
      </c>
      <c r="D32" s="85">
        <v>36220</v>
      </c>
      <c r="E32" s="85">
        <v>37711</v>
      </c>
      <c r="F32" s="95" t="s">
        <v>164</v>
      </c>
      <c r="G32" s="95" t="s">
        <v>159</v>
      </c>
      <c r="H32" s="84" t="s">
        <v>160</v>
      </c>
      <c r="I32" s="67">
        <f>5.627/I$1</f>
        <v>0.18151612903225806</v>
      </c>
      <c r="J32" s="86">
        <v>4.3400000000000001E-2</v>
      </c>
      <c r="K32" s="86">
        <v>2.2000000000000001E-3</v>
      </c>
      <c r="L32" s="86">
        <v>0</v>
      </c>
      <c r="M32" s="86">
        <v>0</v>
      </c>
      <c r="N32" s="87">
        <v>2.2800000000000001E-2</v>
      </c>
      <c r="O32" s="86">
        <f t="shared" si="3"/>
        <v>0.22711612903225806</v>
      </c>
      <c r="P32" s="88" t="s">
        <v>161</v>
      </c>
      <c r="Q32" s="84">
        <v>46</v>
      </c>
      <c r="R32" s="43" t="s">
        <v>162</v>
      </c>
      <c r="S32" s="89">
        <f t="shared" si="4"/>
        <v>258.84199999999998</v>
      </c>
      <c r="T32" s="89"/>
      <c r="U32" s="83">
        <v>142039</v>
      </c>
      <c r="V32" s="43"/>
      <c r="W32" s="90"/>
      <c r="X32" s="90"/>
    </row>
    <row r="33" spans="1:24" s="47" customFormat="1" x14ac:dyDescent="0.2">
      <c r="A33" s="43" t="s">
        <v>150</v>
      </c>
      <c r="B33" s="84" t="s">
        <v>29</v>
      </c>
      <c r="C33" s="84" t="s">
        <v>23</v>
      </c>
      <c r="D33" s="85">
        <v>36220</v>
      </c>
      <c r="E33" s="85">
        <v>38807</v>
      </c>
      <c r="F33" s="43" t="s">
        <v>172</v>
      </c>
      <c r="G33" s="95"/>
      <c r="H33" s="84" t="s">
        <v>171</v>
      </c>
      <c r="I33" s="67">
        <f>1.8533/I$1</f>
        <v>5.9783870967741931E-2</v>
      </c>
      <c r="J33" s="86">
        <v>0</v>
      </c>
      <c r="K33" s="86">
        <v>0</v>
      </c>
      <c r="L33" s="86">
        <v>0</v>
      </c>
      <c r="M33" s="86">
        <v>0</v>
      </c>
      <c r="N33" s="87">
        <v>0</v>
      </c>
      <c r="O33" s="86">
        <f t="shared" si="3"/>
        <v>5.9783870967741931E-2</v>
      </c>
      <c r="P33" s="88">
        <v>560042</v>
      </c>
      <c r="Q33" s="84">
        <v>147</v>
      </c>
      <c r="R33" s="43" t="s">
        <v>174</v>
      </c>
      <c r="S33" s="96">
        <f t="shared" si="4"/>
        <v>272.43509999999998</v>
      </c>
      <c r="T33" s="89"/>
      <c r="U33" s="83">
        <v>142434</v>
      </c>
      <c r="V33" s="43"/>
      <c r="W33" s="90"/>
      <c r="X33" s="90"/>
    </row>
    <row r="34" spans="1:24" s="47" customFormat="1" x14ac:dyDescent="0.2">
      <c r="A34" s="43" t="s">
        <v>150</v>
      </c>
      <c r="B34" s="84" t="s">
        <v>29</v>
      </c>
      <c r="C34" s="84" t="s">
        <v>23</v>
      </c>
      <c r="D34" s="85">
        <v>36220</v>
      </c>
      <c r="E34" s="85">
        <v>38807</v>
      </c>
      <c r="F34" s="43" t="s">
        <v>173</v>
      </c>
      <c r="G34" s="95"/>
      <c r="H34" s="84" t="s">
        <v>171</v>
      </c>
      <c r="I34" s="67">
        <v>1.37E-2</v>
      </c>
      <c r="J34" s="86">
        <v>0</v>
      </c>
      <c r="K34" s="86">
        <v>0</v>
      </c>
      <c r="L34" s="86">
        <v>0</v>
      </c>
      <c r="M34" s="86">
        <v>0</v>
      </c>
      <c r="N34" s="87">
        <v>0</v>
      </c>
      <c r="O34" s="86">
        <f t="shared" si="3"/>
        <v>1.37E-2</v>
      </c>
      <c r="P34" s="88">
        <v>560042</v>
      </c>
      <c r="Q34" s="84">
        <v>16275</v>
      </c>
      <c r="R34" s="43" t="s">
        <v>174</v>
      </c>
      <c r="S34" s="96">
        <f>+Q34*I34</f>
        <v>222.9675</v>
      </c>
      <c r="T34" s="89"/>
      <c r="U34" s="83">
        <v>142434</v>
      </c>
      <c r="V34" s="43"/>
      <c r="W34" s="90"/>
      <c r="X34" s="90"/>
    </row>
    <row r="35" spans="1:24" s="47" customFormat="1" x14ac:dyDescent="0.2">
      <c r="A35" s="43" t="s">
        <v>168</v>
      </c>
      <c r="B35" s="84" t="s">
        <v>29</v>
      </c>
      <c r="C35" s="84" t="s">
        <v>146</v>
      </c>
      <c r="D35" s="85">
        <v>36465</v>
      </c>
      <c r="E35" s="85">
        <v>36677</v>
      </c>
      <c r="F35" s="95" t="s">
        <v>164</v>
      </c>
      <c r="G35" s="95" t="s">
        <v>167</v>
      </c>
      <c r="H35" s="84" t="s">
        <v>160</v>
      </c>
      <c r="I35" s="67">
        <f>5.75/I$1</f>
        <v>0.18548387096774194</v>
      </c>
      <c r="J35" s="86">
        <v>4.3400000000000001E-2</v>
      </c>
      <c r="K35" s="86">
        <v>2.2000000000000001E-3</v>
      </c>
      <c r="L35" s="86">
        <v>0</v>
      </c>
      <c r="M35" s="86">
        <v>0</v>
      </c>
      <c r="N35" s="87">
        <v>2.2800000000000001E-2</v>
      </c>
      <c r="O35" s="86">
        <f t="shared" si="3"/>
        <v>0.23108387096774194</v>
      </c>
      <c r="P35" s="88" t="s">
        <v>166</v>
      </c>
      <c r="Q35" s="84">
        <v>186</v>
      </c>
      <c r="R35" s="43" t="s">
        <v>165</v>
      </c>
      <c r="S35" s="89">
        <f>I35*I$1*Q35</f>
        <v>1069.5</v>
      </c>
      <c r="T35" s="89"/>
      <c r="U35" s="83">
        <v>142040</v>
      </c>
      <c r="V35" s="43"/>
      <c r="W35" s="90"/>
      <c r="X35" s="90"/>
    </row>
    <row r="36" spans="1:24" s="47" customFormat="1" x14ac:dyDescent="0.2">
      <c r="A36" s="43" t="s">
        <v>168</v>
      </c>
      <c r="B36" s="84" t="s">
        <v>29</v>
      </c>
      <c r="C36" s="84" t="s">
        <v>146</v>
      </c>
      <c r="D36" s="85">
        <v>36495</v>
      </c>
      <c r="E36" s="85">
        <v>36616</v>
      </c>
      <c r="F36" s="95" t="s">
        <v>164</v>
      </c>
      <c r="G36" s="95" t="s">
        <v>167</v>
      </c>
      <c r="H36" s="84" t="s">
        <v>160</v>
      </c>
      <c r="I36" s="67">
        <f>5.75/I$1</f>
        <v>0.18548387096774194</v>
      </c>
      <c r="J36" s="86">
        <v>4.3400000000000001E-2</v>
      </c>
      <c r="K36" s="86">
        <v>2.2000000000000001E-3</v>
      </c>
      <c r="L36" s="86">
        <v>0</v>
      </c>
      <c r="M36" s="86">
        <v>0</v>
      </c>
      <c r="N36" s="87">
        <v>2.2800000000000001E-2</v>
      </c>
      <c r="O36" s="86">
        <f t="shared" si="3"/>
        <v>0.23108387096774194</v>
      </c>
      <c r="P36" s="88" t="s">
        <v>170</v>
      </c>
      <c r="Q36" s="84">
        <v>11</v>
      </c>
      <c r="R36" s="43" t="s">
        <v>169</v>
      </c>
      <c r="S36" s="89">
        <f>I36*I$1*Q36</f>
        <v>63.25</v>
      </c>
      <c r="T36" s="89"/>
      <c r="U36" s="83">
        <v>142041</v>
      </c>
      <c r="V36" s="43"/>
      <c r="W36" s="90"/>
      <c r="X36" s="90"/>
    </row>
    <row r="37" spans="1:24" s="47" customFormat="1" x14ac:dyDescent="0.2">
      <c r="A37" s="43" t="s">
        <v>168</v>
      </c>
      <c r="B37" s="84" t="s">
        <v>29</v>
      </c>
      <c r="C37" s="84" t="s">
        <v>175</v>
      </c>
      <c r="D37" s="85">
        <v>36465</v>
      </c>
      <c r="E37" s="85">
        <v>36616</v>
      </c>
      <c r="F37" s="95" t="s">
        <v>176</v>
      </c>
      <c r="G37" s="95" t="s">
        <v>177</v>
      </c>
      <c r="H37" s="84" t="s">
        <v>160</v>
      </c>
      <c r="I37" s="67">
        <f>5.75/I$1</f>
        <v>0.18548387096774194</v>
      </c>
      <c r="J37" s="86">
        <v>4.3400000000000001E-2</v>
      </c>
      <c r="K37" s="86">
        <v>2.2000000000000001E-3</v>
      </c>
      <c r="L37" s="86">
        <v>0</v>
      </c>
      <c r="M37" s="86">
        <v>0</v>
      </c>
      <c r="N37" s="87">
        <v>2.2800000000000001E-2</v>
      </c>
      <c r="O37" s="86">
        <f t="shared" si="3"/>
        <v>0.23108387096774194</v>
      </c>
      <c r="P37" s="88" t="s">
        <v>179</v>
      </c>
      <c r="Q37" s="84">
        <v>4600</v>
      </c>
      <c r="R37" s="43" t="s">
        <v>178</v>
      </c>
      <c r="S37" s="89">
        <f>I37*I$1*Q37</f>
        <v>26450</v>
      </c>
      <c r="T37" s="89"/>
      <c r="U37" s="83">
        <v>142516</v>
      </c>
      <c r="V37" s="43"/>
      <c r="W37" s="90"/>
      <c r="X37" s="90"/>
    </row>
    <row r="38" spans="1:24" s="47" customFormat="1" x14ac:dyDescent="0.2">
      <c r="A38" s="43" t="s">
        <v>168</v>
      </c>
      <c r="B38" s="84" t="s">
        <v>29</v>
      </c>
      <c r="C38" s="84" t="s">
        <v>175</v>
      </c>
      <c r="D38" s="85">
        <v>36465</v>
      </c>
      <c r="E38" s="85">
        <v>36616</v>
      </c>
      <c r="F38" s="43" t="s">
        <v>180</v>
      </c>
      <c r="G38" s="95" t="s">
        <v>177</v>
      </c>
      <c r="H38" s="84" t="s">
        <v>160</v>
      </c>
      <c r="I38" s="67">
        <f>5.75/I$1</f>
        <v>0.18548387096774194</v>
      </c>
      <c r="J38" s="86">
        <v>4.3400000000000001E-2</v>
      </c>
      <c r="K38" s="86">
        <v>2.2000000000000001E-3</v>
      </c>
      <c r="L38" s="86">
        <v>0</v>
      </c>
      <c r="M38" s="86">
        <v>0</v>
      </c>
      <c r="N38" s="87">
        <v>2.2800000000000001E-2</v>
      </c>
      <c r="O38" s="86">
        <f t="shared" si="3"/>
        <v>0.23108387096774194</v>
      </c>
      <c r="P38" s="88" t="s">
        <v>179</v>
      </c>
      <c r="Q38" s="84">
        <v>11357</v>
      </c>
      <c r="R38" s="43" t="s">
        <v>178</v>
      </c>
      <c r="S38" s="89">
        <f>I38*I$1*Q38</f>
        <v>65302.75</v>
      </c>
      <c r="T38" s="89"/>
      <c r="U38" s="83">
        <v>142516</v>
      </c>
      <c r="V38" s="43"/>
      <c r="W38" s="90"/>
      <c r="X38" s="90"/>
    </row>
    <row r="39" spans="1:24" s="47" customFormat="1" x14ac:dyDescent="0.2">
      <c r="A39" s="43" t="s">
        <v>168</v>
      </c>
      <c r="B39" s="84" t="s">
        <v>29</v>
      </c>
      <c r="C39" s="84" t="s">
        <v>175</v>
      </c>
      <c r="D39" s="85">
        <v>36465</v>
      </c>
      <c r="E39" s="85">
        <v>36616</v>
      </c>
      <c r="F39" s="43"/>
      <c r="G39" s="95"/>
      <c r="H39" s="84" t="s">
        <v>181</v>
      </c>
      <c r="I39" s="67">
        <f>6.25/I$1</f>
        <v>0.20161290322580644</v>
      </c>
      <c r="J39" s="86">
        <v>0</v>
      </c>
      <c r="K39" s="86">
        <v>0</v>
      </c>
      <c r="L39" s="86">
        <v>0</v>
      </c>
      <c r="M39" s="86">
        <v>0</v>
      </c>
      <c r="N39" s="87">
        <v>0</v>
      </c>
      <c r="O39" s="86">
        <f t="shared" si="3"/>
        <v>0.20161290322580644</v>
      </c>
      <c r="P39" s="88" t="s">
        <v>179</v>
      </c>
      <c r="Q39" s="84">
        <v>15957</v>
      </c>
      <c r="R39" s="43" t="s">
        <v>178</v>
      </c>
      <c r="S39" s="89">
        <f>I39*I$1*Q39</f>
        <v>99731.25</v>
      </c>
      <c r="T39" s="89"/>
      <c r="U39" s="83">
        <v>142516</v>
      </c>
      <c r="V39" s="43"/>
      <c r="W39" s="90"/>
      <c r="X39" s="90"/>
    </row>
    <row r="40" spans="1:24" x14ac:dyDescent="0.2">
      <c r="A40" s="10" t="s">
        <v>3</v>
      </c>
      <c r="B40" s="11" t="s">
        <v>3</v>
      </c>
      <c r="C40" s="12" t="s">
        <v>3</v>
      </c>
      <c r="D40" s="13" t="s">
        <v>3</v>
      </c>
      <c r="E40" s="13"/>
      <c r="F40" s="10" t="s">
        <v>3</v>
      </c>
      <c r="G40" s="31" t="s">
        <v>3</v>
      </c>
      <c r="H40" s="11" t="s">
        <v>3</v>
      </c>
      <c r="I40" s="14"/>
      <c r="J40" s="15"/>
      <c r="K40" s="15"/>
      <c r="L40" s="15"/>
      <c r="M40" s="15"/>
      <c r="N40" s="50"/>
      <c r="O40" s="15"/>
      <c r="P40" s="27" t="s">
        <v>3</v>
      </c>
      <c r="Q40" s="11">
        <f>SUM(Q28:Q39)</f>
        <v>49503</v>
      </c>
      <c r="R40" s="10" t="s">
        <v>3</v>
      </c>
      <c r="S40" s="23">
        <f>SUM(S28:S39)</f>
        <v>198697.57459999999</v>
      </c>
      <c r="T40" s="23">
        <f>SUM(T28:T39)</f>
        <v>0</v>
      </c>
      <c r="U40" s="72"/>
      <c r="V40" s="10"/>
      <c r="W40" s="37"/>
      <c r="X40" s="37"/>
    </row>
    <row r="41" spans="1:24" x14ac:dyDescent="0.2">
      <c r="A41" s="17" t="s">
        <v>4</v>
      </c>
      <c r="B41" s="18" t="s">
        <v>5</v>
      </c>
      <c r="C41" s="18" t="s">
        <v>6</v>
      </c>
      <c r="D41" s="19" t="s">
        <v>7</v>
      </c>
      <c r="E41" s="19"/>
      <c r="F41" s="17" t="s">
        <v>8</v>
      </c>
      <c r="G41" s="17" t="s">
        <v>9</v>
      </c>
      <c r="H41" s="18" t="s">
        <v>91</v>
      </c>
      <c r="I41" s="20" t="s">
        <v>11</v>
      </c>
      <c r="J41" s="18" t="s">
        <v>12</v>
      </c>
      <c r="K41" s="18" t="s">
        <v>13</v>
      </c>
      <c r="L41" s="18" t="s">
        <v>14</v>
      </c>
      <c r="M41" s="18" t="s">
        <v>15</v>
      </c>
      <c r="N41" s="49" t="s">
        <v>16</v>
      </c>
      <c r="O41" s="18" t="s">
        <v>17</v>
      </c>
      <c r="P41" s="21" t="s">
        <v>18</v>
      </c>
      <c r="Q41" s="18" t="s">
        <v>19</v>
      </c>
      <c r="R41" s="17" t="s">
        <v>20</v>
      </c>
      <c r="S41" s="22" t="s">
        <v>86</v>
      </c>
      <c r="T41" s="22" t="s">
        <v>85</v>
      </c>
      <c r="U41" s="70" t="s">
        <v>37</v>
      </c>
      <c r="V41" s="99" t="str">
        <f>+V27</f>
        <v>Questions</v>
      </c>
      <c r="W41" s="37"/>
      <c r="X41" s="37"/>
    </row>
    <row r="42" spans="1:24" s="47" customFormat="1" x14ac:dyDescent="0.2">
      <c r="A42" s="43" t="s">
        <v>38</v>
      </c>
      <c r="B42" s="84" t="s">
        <v>65</v>
      </c>
      <c r="C42" s="84"/>
      <c r="D42" s="85">
        <v>36100</v>
      </c>
      <c r="E42" s="85">
        <v>36830</v>
      </c>
      <c r="F42" s="95" t="s">
        <v>182</v>
      </c>
      <c r="G42" s="43" t="s">
        <v>183</v>
      </c>
      <c r="H42" s="84" t="s">
        <v>95</v>
      </c>
      <c r="I42" s="67">
        <f>4.56/I$1</f>
        <v>0.14709677419354839</v>
      </c>
      <c r="J42" s="86">
        <v>1.32E-2</v>
      </c>
      <c r="K42" s="86">
        <v>2.2000000000000001E-3</v>
      </c>
      <c r="L42" s="86">
        <v>7.1999999999999998E-3</v>
      </c>
      <c r="M42" s="86">
        <v>0</v>
      </c>
      <c r="N42" s="87">
        <v>2.1160000000000002E-2</v>
      </c>
      <c r="O42" s="86">
        <f t="shared" ref="O42:O73" si="5">SUM(I42:M42)</f>
        <v>0.16969677419354839</v>
      </c>
      <c r="P42" s="88">
        <v>61822</v>
      </c>
      <c r="Q42" s="84">
        <v>4000</v>
      </c>
      <c r="R42" s="43" t="s">
        <v>184</v>
      </c>
      <c r="S42" s="89">
        <f t="shared" ref="S42:S49" si="6">I42*I$1*Q42</f>
        <v>18240</v>
      </c>
      <c r="T42" s="89"/>
      <c r="U42" s="83">
        <v>142757</v>
      </c>
      <c r="V42" s="43"/>
      <c r="W42" s="90"/>
      <c r="X42" s="90"/>
    </row>
    <row r="43" spans="1:24" s="47" customFormat="1" x14ac:dyDescent="0.2">
      <c r="A43" s="43" t="s">
        <v>38</v>
      </c>
      <c r="B43" s="84" t="s">
        <v>65</v>
      </c>
      <c r="C43" s="84"/>
      <c r="D43" s="85">
        <v>36100</v>
      </c>
      <c r="E43" s="85">
        <v>36830</v>
      </c>
      <c r="F43" s="43" t="s">
        <v>185</v>
      </c>
      <c r="G43" s="95" t="s">
        <v>186</v>
      </c>
      <c r="H43" s="84" t="s">
        <v>95</v>
      </c>
      <c r="I43" s="67">
        <f>4.56/I$1</f>
        <v>0.14709677419354839</v>
      </c>
      <c r="J43" s="86">
        <v>1.32E-2</v>
      </c>
      <c r="K43" s="86">
        <v>2.2000000000000001E-3</v>
      </c>
      <c r="L43" s="86">
        <v>7.1999999999999998E-3</v>
      </c>
      <c r="M43" s="86">
        <v>0</v>
      </c>
      <c r="N43" s="87">
        <v>2.1160000000000002E-2</v>
      </c>
      <c r="O43" s="86">
        <f t="shared" si="5"/>
        <v>0.16969677419354839</v>
      </c>
      <c r="P43" s="88">
        <v>61838</v>
      </c>
      <c r="Q43" s="84">
        <v>1000</v>
      </c>
      <c r="R43" s="43" t="s">
        <v>187</v>
      </c>
      <c r="S43" s="89">
        <f t="shared" si="6"/>
        <v>4560</v>
      </c>
      <c r="T43" s="89"/>
      <c r="U43" s="83">
        <v>142768</v>
      </c>
      <c r="V43" s="43"/>
      <c r="W43" s="90"/>
      <c r="X43" s="90"/>
    </row>
    <row r="44" spans="1:24" s="47" customFormat="1" x14ac:dyDescent="0.2">
      <c r="A44" s="43" t="s">
        <v>38</v>
      </c>
      <c r="B44" s="84" t="s">
        <v>65</v>
      </c>
      <c r="C44" s="84" t="s">
        <v>92</v>
      </c>
      <c r="D44" s="85">
        <v>36192</v>
      </c>
      <c r="E44" s="85">
        <v>36556</v>
      </c>
      <c r="F44" s="43" t="s">
        <v>94</v>
      </c>
      <c r="G44" s="43" t="s">
        <v>96</v>
      </c>
      <c r="H44" s="84" t="s">
        <v>95</v>
      </c>
      <c r="I44" s="67">
        <f>6.53/I$1</f>
        <v>0.2106451612903226</v>
      </c>
      <c r="J44" s="86">
        <v>1.32E-2</v>
      </c>
      <c r="K44" s="86">
        <v>2.2000000000000001E-3</v>
      </c>
      <c r="L44" s="86">
        <v>7.1999999999999998E-3</v>
      </c>
      <c r="M44" s="86">
        <v>0</v>
      </c>
      <c r="N44" s="87">
        <v>2.1160000000000002E-2</v>
      </c>
      <c r="O44" s="86">
        <f t="shared" si="5"/>
        <v>0.23324516129032261</v>
      </c>
      <c r="P44" s="88">
        <v>62740</v>
      </c>
      <c r="Q44" s="84">
        <v>2</v>
      </c>
      <c r="R44" s="43" t="s">
        <v>97</v>
      </c>
      <c r="S44" s="89">
        <f t="shared" si="6"/>
        <v>13.06</v>
      </c>
      <c r="T44" s="89"/>
      <c r="U44" s="83">
        <v>140484</v>
      </c>
      <c r="V44" s="43"/>
      <c r="W44" s="90"/>
      <c r="X44" s="90"/>
    </row>
    <row r="45" spans="1:24" s="47" customFormat="1" x14ac:dyDescent="0.2">
      <c r="A45" s="43" t="s">
        <v>38</v>
      </c>
      <c r="B45" s="84" t="s">
        <v>65</v>
      </c>
      <c r="C45" s="84" t="s">
        <v>93</v>
      </c>
      <c r="D45" s="85">
        <v>36220</v>
      </c>
      <c r="E45" s="85">
        <v>36585</v>
      </c>
      <c r="F45" s="43" t="s">
        <v>94</v>
      </c>
      <c r="G45" s="43" t="s">
        <v>98</v>
      </c>
      <c r="H45" s="84" t="s">
        <v>95</v>
      </c>
      <c r="I45" s="67">
        <f t="shared" ref="I45:I71" si="7">6.53/I$1</f>
        <v>0.2106451612903226</v>
      </c>
      <c r="J45" s="86">
        <v>1.32E-2</v>
      </c>
      <c r="K45" s="86">
        <v>2.2000000000000001E-3</v>
      </c>
      <c r="L45" s="86">
        <v>7.1999999999999998E-3</v>
      </c>
      <c r="M45" s="86">
        <v>0</v>
      </c>
      <c r="N45" s="87">
        <v>2.1160000000000002E-2</v>
      </c>
      <c r="O45" s="86">
        <f t="shared" si="5"/>
        <v>0.23324516129032261</v>
      </c>
      <c r="P45" s="88">
        <v>62982</v>
      </c>
      <c r="Q45" s="84">
        <v>2</v>
      </c>
      <c r="R45" s="43" t="s">
        <v>99</v>
      </c>
      <c r="S45" s="89">
        <f t="shared" si="6"/>
        <v>13.06</v>
      </c>
      <c r="T45" s="89"/>
      <c r="U45" s="83">
        <v>140914</v>
      </c>
      <c r="V45" s="43"/>
      <c r="W45" s="90"/>
      <c r="X45" s="90"/>
    </row>
    <row r="46" spans="1:24" s="47" customFormat="1" x14ac:dyDescent="0.2">
      <c r="A46" s="43" t="s">
        <v>38</v>
      </c>
      <c r="B46" s="84" t="s">
        <v>65</v>
      </c>
      <c r="C46" s="84" t="s">
        <v>92</v>
      </c>
      <c r="D46" s="85">
        <v>36220</v>
      </c>
      <c r="E46" s="85">
        <v>36585</v>
      </c>
      <c r="F46" s="43" t="s">
        <v>94</v>
      </c>
      <c r="G46" s="43" t="s">
        <v>96</v>
      </c>
      <c r="H46" s="84" t="s">
        <v>95</v>
      </c>
      <c r="I46" s="67">
        <f t="shared" si="7"/>
        <v>0.2106451612903226</v>
      </c>
      <c r="J46" s="86">
        <v>1.32E-2</v>
      </c>
      <c r="K46" s="86">
        <v>2.2000000000000001E-3</v>
      </c>
      <c r="L46" s="86">
        <v>7.1999999999999998E-3</v>
      </c>
      <c r="M46" s="86">
        <v>0</v>
      </c>
      <c r="N46" s="87">
        <v>2.1160000000000002E-2</v>
      </c>
      <c r="O46" s="86">
        <f t="shared" si="5"/>
        <v>0.23324516129032261</v>
      </c>
      <c r="P46" s="88">
        <v>62983</v>
      </c>
      <c r="Q46" s="84">
        <v>2</v>
      </c>
      <c r="R46" s="43" t="s">
        <v>100</v>
      </c>
      <c r="S46" s="89">
        <f t="shared" si="6"/>
        <v>13.06</v>
      </c>
      <c r="T46" s="89"/>
      <c r="U46" s="83">
        <v>140916</v>
      </c>
      <c r="V46" s="43"/>
      <c r="W46" s="90"/>
      <c r="X46" s="90"/>
    </row>
    <row r="47" spans="1:24" s="47" customFormat="1" x14ac:dyDescent="0.2">
      <c r="A47" s="43" t="s">
        <v>38</v>
      </c>
      <c r="B47" s="84" t="s">
        <v>65</v>
      </c>
      <c r="C47" s="84" t="s">
        <v>104</v>
      </c>
      <c r="D47" s="85">
        <v>36434</v>
      </c>
      <c r="E47" s="85">
        <v>36616</v>
      </c>
      <c r="F47" s="43" t="s">
        <v>105</v>
      </c>
      <c r="G47" s="43" t="s">
        <v>135</v>
      </c>
      <c r="H47" s="84" t="s">
        <v>133</v>
      </c>
      <c r="I47" s="67">
        <f>6.359/I$1</f>
        <v>0.2051290322580645</v>
      </c>
      <c r="J47" s="86">
        <v>1.2999999999999999E-2</v>
      </c>
      <c r="K47" s="86">
        <v>2.2000000000000001E-3</v>
      </c>
      <c r="L47" s="86">
        <v>7.1999999999999998E-3</v>
      </c>
      <c r="M47" s="86">
        <v>0</v>
      </c>
      <c r="N47" s="87">
        <v>2.1160000000000002E-2</v>
      </c>
      <c r="O47" s="86">
        <f t="shared" si="5"/>
        <v>0.22752903225806453</v>
      </c>
      <c r="P47" s="88">
        <v>63281</v>
      </c>
      <c r="Q47" s="84">
        <v>134710</v>
      </c>
      <c r="R47" s="43" t="s">
        <v>136</v>
      </c>
      <c r="S47" s="89">
        <f t="shared" si="6"/>
        <v>856620.89</v>
      </c>
      <c r="T47" s="89"/>
      <c r="U47" s="83">
        <v>141177</v>
      </c>
      <c r="V47" s="43"/>
      <c r="W47" s="90"/>
      <c r="X47" s="90"/>
    </row>
    <row r="48" spans="1:24" s="47" customFormat="1" x14ac:dyDescent="0.2">
      <c r="A48" s="43" t="s">
        <v>38</v>
      </c>
      <c r="B48" s="84" t="s">
        <v>65</v>
      </c>
      <c r="C48" s="84" t="s">
        <v>93</v>
      </c>
      <c r="D48" s="85">
        <v>36251</v>
      </c>
      <c r="E48" s="85">
        <v>36616</v>
      </c>
      <c r="F48" s="43" t="s">
        <v>94</v>
      </c>
      <c r="G48" s="43" t="s">
        <v>98</v>
      </c>
      <c r="H48" s="84" t="s">
        <v>95</v>
      </c>
      <c r="I48" s="67">
        <f t="shared" si="7"/>
        <v>0.2106451612903226</v>
      </c>
      <c r="J48" s="86">
        <v>1.32E-2</v>
      </c>
      <c r="K48" s="86">
        <v>2.2000000000000001E-3</v>
      </c>
      <c r="L48" s="86">
        <v>7.1999999999999998E-3</v>
      </c>
      <c r="M48" s="86">
        <v>0</v>
      </c>
      <c r="N48" s="87">
        <v>2.1160000000000002E-2</v>
      </c>
      <c r="O48" s="86">
        <f t="shared" si="5"/>
        <v>0.23324516129032261</v>
      </c>
      <c r="P48" s="88">
        <v>63282</v>
      </c>
      <c r="Q48" s="84">
        <v>6</v>
      </c>
      <c r="R48" s="43" t="s">
        <v>101</v>
      </c>
      <c r="S48" s="89">
        <f t="shared" si="6"/>
        <v>39.18</v>
      </c>
      <c r="T48" s="89"/>
      <c r="U48" s="83">
        <v>140965</v>
      </c>
      <c r="V48" s="43"/>
      <c r="W48" s="90"/>
      <c r="X48" s="90"/>
    </row>
    <row r="49" spans="1:24" s="47" customFormat="1" x14ac:dyDescent="0.2">
      <c r="A49" s="43" t="s">
        <v>38</v>
      </c>
      <c r="B49" s="84" t="s">
        <v>65</v>
      </c>
      <c r="C49" s="84" t="s">
        <v>92</v>
      </c>
      <c r="D49" s="85">
        <v>36251</v>
      </c>
      <c r="E49" s="85">
        <v>36616</v>
      </c>
      <c r="F49" s="43" t="s">
        <v>94</v>
      </c>
      <c r="G49" s="43" t="s">
        <v>102</v>
      </c>
      <c r="H49" s="84" t="s">
        <v>95</v>
      </c>
      <c r="I49" s="67">
        <f t="shared" si="7"/>
        <v>0.2106451612903226</v>
      </c>
      <c r="J49" s="86">
        <v>1.32E-2</v>
      </c>
      <c r="K49" s="86">
        <v>2.2000000000000001E-3</v>
      </c>
      <c r="L49" s="86">
        <v>7.1999999999999998E-3</v>
      </c>
      <c r="M49" s="86">
        <v>0</v>
      </c>
      <c r="N49" s="87">
        <v>2.1160000000000002E-2</v>
      </c>
      <c r="O49" s="86">
        <f t="shared" si="5"/>
        <v>0.23324516129032261</v>
      </c>
      <c r="P49" s="88">
        <v>63283</v>
      </c>
      <c r="Q49" s="84">
        <v>46</v>
      </c>
      <c r="R49" s="43" t="s">
        <v>103</v>
      </c>
      <c r="S49" s="89">
        <f t="shared" si="6"/>
        <v>300.38</v>
      </c>
      <c r="T49" s="89"/>
      <c r="U49" s="83">
        <v>140968</v>
      </c>
      <c r="V49" s="43"/>
      <c r="W49" s="90"/>
      <c r="X49" s="90"/>
    </row>
    <row r="50" spans="1:24" s="82" customFormat="1" x14ac:dyDescent="0.2">
      <c r="A50" s="44" t="s">
        <v>38</v>
      </c>
      <c r="B50" s="75" t="s">
        <v>65</v>
      </c>
      <c r="C50" s="75" t="s">
        <v>104</v>
      </c>
      <c r="D50" s="76">
        <v>36251</v>
      </c>
      <c r="E50" s="76">
        <v>36616</v>
      </c>
      <c r="F50" s="44" t="s">
        <v>105</v>
      </c>
      <c r="G50" s="44" t="s">
        <v>107</v>
      </c>
      <c r="H50" s="75" t="s">
        <v>106</v>
      </c>
      <c r="I50" s="77">
        <f>2.91/I$1</f>
        <v>9.3870967741935485E-2</v>
      </c>
      <c r="J50" s="66">
        <v>0</v>
      </c>
      <c r="K50" s="66">
        <v>0</v>
      </c>
      <c r="L50" s="66">
        <v>0</v>
      </c>
      <c r="M50" s="66">
        <v>0</v>
      </c>
      <c r="N50" s="65">
        <v>0</v>
      </c>
      <c r="O50" s="66">
        <f t="shared" si="5"/>
        <v>9.3870967741935485E-2</v>
      </c>
      <c r="P50" s="78">
        <v>63304</v>
      </c>
      <c r="Q50" s="75">
        <v>7503838</v>
      </c>
      <c r="R50" s="44" t="s">
        <v>109</v>
      </c>
      <c r="S50" s="79">
        <f>I50*Q50</f>
        <v>704392.53483870963</v>
      </c>
      <c r="T50" s="79"/>
      <c r="U50" s="80"/>
      <c r="V50" s="44"/>
      <c r="W50" s="81"/>
      <c r="X50" s="81"/>
    </row>
    <row r="51" spans="1:24" s="82" customFormat="1" x14ac:dyDescent="0.2">
      <c r="A51" s="44" t="s">
        <v>38</v>
      </c>
      <c r="B51" s="75" t="s">
        <v>65</v>
      </c>
      <c r="C51" s="75" t="s">
        <v>104</v>
      </c>
      <c r="D51" s="76">
        <v>36251</v>
      </c>
      <c r="E51" s="76">
        <v>36616</v>
      </c>
      <c r="F51" s="44" t="s">
        <v>105</v>
      </c>
      <c r="G51" s="44" t="s">
        <v>108</v>
      </c>
      <c r="H51" s="75" t="s">
        <v>106</v>
      </c>
      <c r="I51" s="77">
        <v>1.5299999999999999E-2</v>
      </c>
      <c r="J51" s="66">
        <v>0</v>
      </c>
      <c r="K51" s="66">
        <v>0</v>
      </c>
      <c r="L51" s="66">
        <v>0</v>
      </c>
      <c r="M51" s="66">
        <v>0</v>
      </c>
      <c r="N51" s="65">
        <v>0</v>
      </c>
      <c r="O51" s="66">
        <f t="shared" si="5"/>
        <v>1.5299999999999999E-2</v>
      </c>
      <c r="P51" s="78">
        <v>63304</v>
      </c>
      <c r="Q51" s="75">
        <v>134743</v>
      </c>
      <c r="R51" s="44" t="s">
        <v>109</v>
      </c>
      <c r="S51" s="79">
        <f t="shared" ref="S51:S71" si="8">I51*I$1*Q51</f>
        <v>63908.604899999998</v>
      </c>
      <c r="T51" s="79"/>
      <c r="U51" s="80"/>
      <c r="V51" s="44"/>
      <c r="W51" s="81"/>
      <c r="X51" s="81"/>
    </row>
    <row r="52" spans="1:24" s="47" customFormat="1" x14ac:dyDescent="0.2">
      <c r="A52" s="43" t="s">
        <v>38</v>
      </c>
      <c r="B52" s="84" t="s">
        <v>65</v>
      </c>
      <c r="C52" s="84" t="s">
        <v>93</v>
      </c>
      <c r="D52" s="85">
        <v>36281</v>
      </c>
      <c r="E52" s="85">
        <v>36646</v>
      </c>
      <c r="F52" s="43" t="s">
        <v>94</v>
      </c>
      <c r="G52" s="43" t="s">
        <v>98</v>
      </c>
      <c r="H52" s="84" t="s">
        <v>95</v>
      </c>
      <c r="I52" s="67">
        <f t="shared" si="7"/>
        <v>0.2106451612903226</v>
      </c>
      <c r="J52" s="86">
        <v>1.32E-2</v>
      </c>
      <c r="K52" s="86">
        <v>2.2000000000000001E-3</v>
      </c>
      <c r="L52" s="86">
        <v>7.1999999999999998E-3</v>
      </c>
      <c r="M52" s="86">
        <v>0</v>
      </c>
      <c r="N52" s="87">
        <v>2.1160000000000002E-2</v>
      </c>
      <c r="O52" s="86">
        <f t="shared" si="5"/>
        <v>0.23324516129032261</v>
      </c>
      <c r="P52" s="88">
        <v>63557</v>
      </c>
      <c r="Q52" s="84">
        <v>33</v>
      </c>
      <c r="R52" s="43" t="s">
        <v>110</v>
      </c>
      <c r="S52" s="89">
        <f t="shared" si="8"/>
        <v>215.49</v>
      </c>
      <c r="T52" s="89"/>
      <c r="U52" s="83">
        <v>140974</v>
      </c>
      <c r="V52" s="43"/>
      <c r="W52" s="90"/>
      <c r="X52" s="90"/>
    </row>
    <row r="53" spans="1:24" s="47" customFormat="1" x14ac:dyDescent="0.2">
      <c r="A53" s="43" t="s">
        <v>38</v>
      </c>
      <c r="B53" s="84" t="s">
        <v>65</v>
      </c>
      <c r="C53" s="84" t="s">
        <v>93</v>
      </c>
      <c r="D53" s="85">
        <v>36312</v>
      </c>
      <c r="E53" s="85">
        <v>36677</v>
      </c>
      <c r="F53" s="43" t="s">
        <v>94</v>
      </c>
      <c r="G53" s="43" t="s">
        <v>98</v>
      </c>
      <c r="H53" s="84" t="s">
        <v>95</v>
      </c>
      <c r="I53" s="67">
        <f t="shared" si="7"/>
        <v>0.2106451612903226</v>
      </c>
      <c r="J53" s="86">
        <v>1.32E-2</v>
      </c>
      <c r="K53" s="86">
        <v>2.2000000000000001E-3</v>
      </c>
      <c r="L53" s="86">
        <v>7.1999999999999998E-3</v>
      </c>
      <c r="M53" s="86">
        <v>0</v>
      </c>
      <c r="N53" s="87">
        <v>2.1160000000000002E-2</v>
      </c>
      <c r="O53" s="86">
        <f t="shared" si="5"/>
        <v>0.23324516129032261</v>
      </c>
      <c r="P53" s="88">
        <v>63822</v>
      </c>
      <c r="Q53" s="84">
        <v>303</v>
      </c>
      <c r="R53" s="43" t="s">
        <v>111</v>
      </c>
      <c r="S53" s="89">
        <f t="shared" si="8"/>
        <v>1978.5900000000001</v>
      </c>
      <c r="T53" s="89"/>
      <c r="U53" s="83">
        <v>141146</v>
      </c>
      <c r="V53" s="43"/>
      <c r="W53" s="90"/>
      <c r="X53" s="90"/>
    </row>
    <row r="54" spans="1:24" s="47" customFormat="1" x14ac:dyDescent="0.2">
      <c r="A54" s="43" t="s">
        <v>38</v>
      </c>
      <c r="B54" s="84" t="s">
        <v>65</v>
      </c>
      <c r="C54" s="84" t="s">
        <v>92</v>
      </c>
      <c r="D54" s="85">
        <v>36312</v>
      </c>
      <c r="E54" s="85">
        <v>36677</v>
      </c>
      <c r="F54" s="43" t="s">
        <v>94</v>
      </c>
      <c r="G54" s="43" t="s">
        <v>102</v>
      </c>
      <c r="H54" s="84" t="s">
        <v>95</v>
      </c>
      <c r="I54" s="67">
        <f t="shared" si="7"/>
        <v>0.2106451612903226</v>
      </c>
      <c r="J54" s="86">
        <v>1.32E-2</v>
      </c>
      <c r="K54" s="86">
        <v>2.2000000000000001E-3</v>
      </c>
      <c r="L54" s="86">
        <v>7.1999999999999998E-3</v>
      </c>
      <c r="M54" s="86">
        <v>0</v>
      </c>
      <c r="N54" s="87">
        <v>2.1160000000000002E-2</v>
      </c>
      <c r="O54" s="86">
        <f t="shared" si="5"/>
        <v>0.23324516129032261</v>
      </c>
      <c r="P54" s="88">
        <v>63825</v>
      </c>
      <c r="Q54" s="84">
        <v>213</v>
      </c>
      <c r="R54" s="43" t="s">
        <v>112</v>
      </c>
      <c r="S54" s="89">
        <f t="shared" si="8"/>
        <v>1390.89</v>
      </c>
      <c r="T54" s="89"/>
      <c r="U54" s="83">
        <v>141148</v>
      </c>
      <c r="V54" s="43"/>
      <c r="W54" s="90"/>
      <c r="X54" s="90"/>
    </row>
    <row r="55" spans="1:24" s="47" customFormat="1" x14ac:dyDescent="0.2">
      <c r="A55" s="43" t="s">
        <v>38</v>
      </c>
      <c r="B55" s="84" t="s">
        <v>65</v>
      </c>
      <c r="C55" s="84" t="s">
        <v>93</v>
      </c>
      <c r="D55" s="85">
        <v>36342</v>
      </c>
      <c r="E55" s="85">
        <v>36707</v>
      </c>
      <c r="F55" s="43" t="s">
        <v>94</v>
      </c>
      <c r="G55" s="43" t="s">
        <v>98</v>
      </c>
      <c r="H55" s="84" t="s">
        <v>95</v>
      </c>
      <c r="I55" s="67">
        <f t="shared" si="7"/>
        <v>0.2106451612903226</v>
      </c>
      <c r="J55" s="86">
        <v>1.32E-2</v>
      </c>
      <c r="K55" s="86">
        <v>2.2000000000000001E-3</v>
      </c>
      <c r="L55" s="86">
        <v>7.1999999999999998E-3</v>
      </c>
      <c r="M55" s="86">
        <v>0</v>
      </c>
      <c r="N55" s="87">
        <v>2.1160000000000002E-2</v>
      </c>
      <c r="O55" s="86">
        <f t="shared" si="5"/>
        <v>0.23324516129032261</v>
      </c>
      <c r="P55" s="88">
        <v>64034</v>
      </c>
      <c r="Q55" s="84">
        <v>911</v>
      </c>
      <c r="R55" s="43" t="s">
        <v>113</v>
      </c>
      <c r="S55" s="89">
        <f t="shared" si="8"/>
        <v>5948.83</v>
      </c>
      <c r="T55" s="89"/>
      <c r="U55" s="83">
        <v>141150</v>
      </c>
      <c r="V55" s="43"/>
      <c r="W55" s="90"/>
      <c r="X55" s="90"/>
    </row>
    <row r="56" spans="1:24" s="47" customFormat="1" x14ac:dyDescent="0.2">
      <c r="A56" s="43" t="s">
        <v>38</v>
      </c>
      <c r="B56" s="84" t="s">
        <v>65</v>
      </c>
      <c r="C56" s="84" t="s">
        <v>92</v>
      </c>
      <c r="D56" s="85">
        <v>36342</v>
      </c>
      <c r="E56" s="85">
        <v>36707</v>
      </c>
      <c r="F56" s="43" t="s">
        <v>94</v>
      </c>
      <c r="G56" s="43" t="s">
        <v>96</v>
      </c>
      <c r="H56" s="84" t="s">
        <v>95</v>
      </c>
      <c r="I56" s="67">
        <f t="shared" si="7"/>
        <v>0.2106451612903226</v>
      </c>
      <c r="J56" s="86">
        <v>1.32E-2</v>
      </c>
      <c r="K56" s="86">
        <v>2.2000000000000001E-3</v>
      </c>
      <c r="L56" s="86">
        <v>7.1999999999999998E-3</v>
      </c>
      <c r="M56" s="86">
        <v>0</v>
      </c>
      <c r="N56" s="87">
        <v>2.1160000000000002E-2</v>
      </c>
      <c r="O56" s="86">
        <f t="shared" si="5"/>
        <v>0.23324516129032261</v>
      </c>
      <c r="P56" s="88">
        <v>64036</v>
      </c>
      <c r="Q56" s="84">
        <v>1</v>
      </c>
      <c r="R56" s="43" t="s">
        <v>114</v>
      </c>
      <c r="S56" s="89">
        <f t="shared" si="8"/>
        <v>6.53</v>
      </c>
      <c r="T56" s="89"/>
      <c r="U56" s="83">
        <v>141151</v>
      </c>
      <c r="V56" s="43"/>
      <c r="W56" s="90"/>
      <c r="X56" s="90"/>
    </row>
    <row r="57" spans="1:24" s="47" customFormat="1" x14ac:dyDescent="0.2">
      <c r="A57" s="43" t="s">
        <v>38</v>
      </c>
      <c r="B57" s="84" t="s">
        <v>65</v>
      </c>
      <c r="C57" s="84" t="s">
        <v>93</v>
      </c>
      <c r="D57" s="85">
        <v>36373</v>
      </c>
      <c r="E57" s="85">
        <v>36738</v>
      </c>
      <c r="F57" s="43" t="s">
        <v>94</v>
      </c>
      <c r="G57" s="43" t="s">
        <v>98</v>
      </c>
      <c r="H57" s="84" t="s">
        <v>95</v>
      </c>
      <c r="I57" s="67">
        <f t="shared" si="7"/>
        <v>0.2106451612903226</v>
      </c>
      <c r="J57" s="86">
        <v>1.32E-2</v>
      </c>
      <c r="K57" s="86">
        <v>2.2000000000000001E-3</v>
      </c>
      <c r="L57" s="86">
        <v>7.1999999999999998E-3</v>
      </c>
      <c r="M57" s="86">
        <v>0</v>
      </c>
      <c r="N57" s="87">
        <v>2.1160000000000002E-2</v>
      </c>
      <c r="O57" s="86">
        <f t="shared" si="5"/>
        <v>0.23324516129032261</v>
      </c>
      <c r="P57" s="88">
        <v>64328</v>
      </c>
      <c r="Q57" s="84">
        <v>51</v>
      </c>
      <c r="R57" s="43" t="s">
        <v>115</v>
      </c>
      <c r="S57" s="89">
        <f t="shared" si="8"/>
        <v>333.03000000000003</v>
      </c>
      <c r="T57" s="89"/>
      <c r="U57" s="83">
        <v>141152</v>
      </c>
      <c r="V57" s="43"/>
      <c r="W57" s="90"/>
      <c r="X57" s="90"/>
    </row>
    <row r="58" spans="1:24" s="47" customFormat="1" x14ac:dyDescent="0.2">
      <c r="A58" s="43" t="s">
        <v>38</v>
      </c>
      <c r="B58" s="84" t="s">
        <v>65</v>
      </c>
      <c r="C58" s="84" t="s">
        <v>92</v>
      </c>
      <c r="D58" s="85">
        <v>36373</v>
      </c>
      <c r="E58" s="85">
        <v>36738</v>
      </c>
      <c r="F58" s="43" t="s">
        <v>94</v>
      </c>
      <c r="G58" s="43" t="s">
        <v>102</v>
      </c>
      <c r="H58" s="84" t="s">
        <v>95</v>
      </c>
      <c r="I58" s="67">
        <f t="shared" si="7"/>
        <v>0.2106451612903226</v>
      </c>
      <c r="J58" s="86">
        <v>1.32E-2</v>
      </c>
      <c r="K58" s="86">
        <v>2.2000000000000001E-3</v>
      </c>
      <c r="L58" s="86">
        <v>7.1999999999999998E-3</v>
      </c>
      <c r="M58" s="86">
        <v>0</v>
      </c>
      <c r="N58" s="87">
        <v>2.1160000000000002E-2</v>
      </c>
      <c r="O58" s="86">
        <f t="shared" si="5"/>
        <v>0.23324516129032261</v>
      </c>
      <c r="P58" s="88">
        <v>64329</v>
      </c>
      <c r="Q58" s="84">
        <v>12</v>
      </c>
      <c r="R58" s="43" t="s">
        <v>116</v>
      </c>
      <c r="S58" s="89">
        <f t="shared" si="8"/>
        <v>78.36</v>
      </c>
      <c r="T58" s="89"/>
      <c r="U58" s="83">
        <v>141153</v>
      </c>
      <c r="V58" s="43"/>
      <c r="W58" s="90"/>
      <c r="X58" s="90"/>
    </row>
    <row r="59" spans="1:24" s="47" customFormat="1" x14ac:dyDescent="0.2">
      <c r="A59" s="43" t="s">
        <v>38</v>
      </c>
      <c r="B59" s="84" t="s">
        <v>65</v>
      </c>
      <c r="C59" s="84" t="s">
        <v>92</v>
      </c>
      <c r="D59" s="85">
        <v>36404</v>
      </c>
      <c r="E59" s="85">
        <v>36769</v>
      </c>
      <c r="F59" s="43" t="s">
        <v>94</v>
      </c>
      <c r="G59" s="43" t="s">
        <v>102</v>
      </c>
      <c r="H59" s="84" t="s">
        <v>95</v>
      </c>
      <c r="I59" s="67">
        <f t="shared" si="7"/>
        <v>0.2106451612903226</v>
      </c>
      <c r="J59" s="86">
        <v>1.32E-2</v>
      </c>
      <c r="K59" s="86">
        <v>2.2000000000000001E-3</v>
      </c>
      <c r="L59" s="86">
        <v>7.1999999999999998E-3</v>
      </c>
      <c r="M59" s="86">
        <v>0</v>
      </c>
      <c r="N59" s="87">
        <v>2.1160000000000002E-2</v>
      </c>
      <c r="O59" s="86">
        <f t="shared" si="5"/>
        <v>0.23324516129032261</v>
      </c>
      <c r="P59" s="88">
        <v>64651</v>
      </c>
      <c r="Q59" s="84">
        <v>64</v>
      </c>
      <c r="R59" s="43" t="s">
        <v>117</v>
      </c>
      <c r="S59" s="89">
        <f t="shared" si="8"/>
        <v>417.92</v>
      </c>
      <c r="T59" s="89"/>
      <c r="U59" s="83">
        <v>141155</v>
      </c>
      <c r="V59" s="43"/>
      <c r="W59" s="90"/>
      <c r="X59" s="90"/>
    </row>
    <row r="60" spans="1:24" s="47" customFormat="1" x14ac:dyDescent="0.2">
      <c r="A60" s="43" t="s">
        <v>38</v>
      </c>
      <c r="B60" s="84" t="s">
        <v>65</v>
      </c>
      <c r="C60" s="84" t="s">
        <v>92</v>
      </c>
      <c r="D60" s="85">
        <v>36434</v>
      </c>
      <c r="E60" s="85">
        <v>36799</v>
      </c>
      <c r="F60" s="43" t="s">
        <v>94</v>
      </c>
      <c r="G60" s="43" t="s">
        <v>96</v>
      </c>
      <c r="H60" s="84" t="s">
        <v>95</v>
      </c>
      <c r="I60" s="67">
        <f t="shared" si="7"/>
        <v>0.2106451612903226</v>
      </c>
      <c r="J60" s="86">
        <v>1.32E-2</v>
      </c>
      <c r="K60" s="86">
        <v>2.2000000000000001E-3</v>
      </c>
      <c r="L60" s="86">
        <v>7.1999999999999998E-3</v>
      </c>
      <c r="M60" s="86">
        <v>0</v>
      </c>
      <c r="N60" s="87">
        <v>2.1160000000000002E-2</v>
      </c>
      <c r="O60" s="86">
        <f t="shared" si="5"/>
        <v>0.23324516129032261</v>
      </c>
      <c r="P60" s="88">
        <v>64862</v>
      </c>
      <c r="Q60" s="84">
        <v>13</v>
      </c>
      <c r="R60" s="43" t="s">
        <v>118</v>
      </c>
      <c r="S60" s="89">
        <f t="shared" si="8"/>
        <v>84.89</v>
      </c>
      <c r="T60" s="89"/>
      <c r="U60" s="83">
        <v>141157</v>
      </c>
      <c r="V60" s="43"/>
      <c r="W60" s="90"/>
      <c r="X60" s="90"/>
    </row>
    <row r="61" spans="1:24" s="47" customFormat="1" x14ac:dyDescent="0.2">
      <c r="A61" s="43" t="s">
        <v>38</v>
      </c>
      <c r="B61" s="84" t="s">
        <v>65</v>
      </c>
      <c r="C61" s="84" t="s">
        <v>104</v>
      </c>
      <c r="D61" s="85">
        <v>36434</v>
      </c>
      <c r="E61" s="85">
        <v>36799</v>
      </c>
      <c r="F61" s="43" t="s">
        <v>94</v>
      </c>
      <c r="G61" s="43" t="s">
        <v>119</v>
      </c>
      <c r="H61" s="84" t="s">
        <v>95</v>
      </c>
      <c r="I61" s="67">
        <f t="shared" si="7"/>
        <v>0.2106451612903226</v>
      </c>
      <c r="J61" s="86">
        <v>1.32E-2</v>
      </c>
      <c r="K61" s="86">
        <v>2.2000000000000001E-3</v>
      </c>
      <c r="L61" s="86">
        <v>7.1999999999999998E-3</v>
      </c>
      <c r="M61" s="86">
        <v>0</v>
      </c>
      <c r="N61" s="87">
        <v>2.1160000000000002E-2</v>
      </c>
      <c r="O61" s="86">
        <f t="shared" si="5"/>
        <v>0.23324516129032261</v>
      </c>
      <c r="P61" s="88">
        <v>64939</v>
      </c>
      <c r="Q61" s="84">
        <v>2300</v>
      </c>
      <c r="R61" s="43" t="s">
        <v>120</v>
      </c>
      <c r="S61" s="89">
        <f t="shared" si="8"/>
        <v>15019</v>
      </c>
      <c r="T61" s="89"/>
      <c r="U61" s="83">
        <v>141158</v>
      </c>
      <c r="V61" s="43"/>
      <c r="W61" s="90"/>
      <c r="X61" s="90"/>
    </row>
    <row r="62" spans="1:24" s="47" customFormat="1" x14ac:dyDescent="0.2">
      <c r="A62" s="43" t="s">
        <v>38</v>
      </c>
      <c r="B62" s="84" t="s">
        <v>65</v>
      </c>
      <c r="C62" s="84" t="s">
        <v>92</v>
      </c>
      <c r="D62" s="85">
        <v>36465</v>
      </c>
      <c r="E62" s="85">
        <v>36830</v>
      </c>
      <c r="F62" s="43" t="s">
        <v>94</v>
      </c>
      <c r="G62" s="43" t="s">
        <v>102</v>
      </c>
      <c r="H62" s="84" t="s">
        <v>95</v>
      </c>
      <c r="I62" s="67">
        <f t="shared" si="7"/>
        <v>0.2106451612903226</v>
      </c>
      <c r="J62" s="86">
        <v>1.32E-2</v>
      </c>
      <c r="K62" s="86">
        <v>2.2000000000000001E-3</v>
      </c>
      <c r="L62" s="86">
        <v>7.1999999999999998E-3</v>
      </c>
      <c r="M62" s="86">
        <v>0</v>
      </c>
      <c r="N62" s="87">
        <v>2.1160000000000002E-2</v>
      </c>
      <c r="O62" s="86">
        <f t="shared" si="5"/>
        <v>0.23324516129032261</v>
      </c>
      <c r="P62" s="88">
        <v>65026</v>
      </c>
      <c r="Q62" s="84">
        <v>128</v>
      </c>
      <c r="R62" s="43" t="s">
        <v>121</v>
      </c>
      <c r="S62" s="89">
        <f t="shared" si="8"/>
        <v>835.84</v>
      </c>
      <c r="T62" s="89"/>
      <c r="U62" s="94" t="s">
        <v>139</v>
      </c>
      <c r="V62" s="43"/>
      <c r="W62" s="90"/>
      <c r="X62" s="90"/>
    </row>
    <row r="63" spans="1:24" s="47" customFormat="1" x14ac:dyDescent="0.2">
      <c r="A63" s="43" t="s">
        <v>38</v>
      </c>
      <c r="B63" s="84" t="s">
        <v>65</v>
      </c>
      <c r="C63" s="84" t="s">
        <v>122</v>
      </c>
      <c r="D63" s="85">
        <v>36465</v>
      </c>
      <c r="E63" s="85">
        <v>36830</v>
      </c>
      <c r="F63" s="43" t="s">
        <v>94</v>
      </c>
      <c r="G63" s="43" t="s">
        <v>123</v>
      </c>
      <c r="H63" s="84" t="s">
        <v>95</v>
      </c>
      <c r="I63" s="67">
        <f t="shared" si="7"/>
        <v>0.2106451612903226</v>
      </c>
      <c r="J63" s="86">
        <v>1.32E-2</v>
      </c>
      <c r="K63" s="86">
        <v>2.2000000000000001E-3</v>
      </c>
      <c r="L63" s="86">
        <v>7.1999999999999998E-3</v>
      </c>
      <c r="M63" s="86">
        <v>0</v>
      </c>
      <c r="N63" s="87">
        <v>2.1160000000000002E-2</v>
      </c>
      <c r="O63" s="86">
        <f t="shared" si="5"/>
        <v>0.23324516129032261</v>
      </c>
      <c r="P63" s="88">
        <v>65041</v>
      </c>
      <c r="Q63" s="84">
        <v>9619</v>
      </c>
      <c r="R63" s="43" t="s">
        <v>124</v>
      </c>
      <c r="S63" s="89">
        <f t="shared" si="8"/>
        <v>62812.07</v>
      </c>
      <c r="T63" s="89"/>
      <c r="U63" s="94" t="s">
        <v>138</v>
      </c>
      <c r="V63" s="43"/>
      <c r="W63" s="90"/>
      <c r="X63" s="90"/>
    </row>
    <row r="64" spans="1:24" s="47" customFormat="1" x14ac:dyDescent="0.2">
      <c r="A64" s="43" t="s">
        <v>38</v>
      </c>
      <c r="B64" s="84" t="s">
        <v>65</v>
      </c>
      <c r="C64" s="84" t="s">
        <v>122</v>
      </c>
      <c r="D64" s="85">
        <v>36465</v>
      </c>
      <c r="E64" s="85">
        <v>36830</v>
      </c>
      <c r="F64" s="43" t="s">
        <v>94</v>
      </c>
      <c r="G64" s="43" t="s">
        <v>126</v>
      </c>
      <c r="H64" s="84" t="s">
        <v>95</v>
      </c>
      <c r="I64" s="67">
        <f t="shared" si="7"/>
        <v>0.2106451612903226</v>
      </c>
      <c r="J64" s="86">
        <v>1.32E-2</v>
      </c>
      <c r="K64" s="86">
        <v>2.2000000000000001E-3</v>
      </c>
      <c r="L64" s="86">
        <v>7.1999999999999998E-3</v>
      </c>
      <c r="M64" s="86">
        <v>0</v>
      </c>
      <c r="N64" s="87">
        <v>2.1160000000000002E-2</v>
      </c>
      <c r="O64" s="86">
        <f t="shared" si="5"/>
        <v>0.23324516129032261</v>
      </c>
      <c r="P64" s="88">
        <v>65042</v>
      </c>
      <c r="Q64" s="84">
        <v>4427</v>
      </c>
      <c r="R64" s="43" t="s">
        <v>125</v>
      </c>
      <c r="S64" s="89">
        <f t="shared" si="8"/>
        <v>28908.31</v>
      </c>
      <c r="T64" s="89"/>
      <c r="U64" s="94" t="s">
        <v>140</v>
      </c>
      <c r="V64" s="43"/>
      <c r="W64" s="90"/>
      <c r="X64" s="90"/>
    </row>
    <row r="65" spans="1:24" s="47" customFormat="1" x14ac:dyDescent="0.2">
      <c r="A65" s="43" t="s">
        <v>38</v>
      </c>
      <c r="B65" s="84" t="s">
        <v>65</v>
      </c>
      <c r="C65" s="84" t="s">
        <v>127</v>
      </c>
      <c r="D65" s="85">
        <v>36465</v>
      </c>
      <c r="E65" s="85">
        <v>37011</v>
      </c>
      <c r="F65" s="43" t="s">
        <v>94</v>
      </c>
      <c r="G65" s="43" t="s">
        <v>128</v>
      </c>
      <c r="H65" s="84" t="s">
        <v>95</v>
      </c>
      <c r="I65" s="67">
        <f>6.53/I$1</f>
        <v>0.2106451612903226</v>
      </c>
      <c r="J65" s="86">
        <v>1.32E-2</v>
      </c>
      <c r="K65" s="86">
        <v>2.2000000000000001E-3</v>
      </c>
      <c r="L65" s="86">
        <v>7.1999999999999998E-3</v>
      </c>
      <c r="M65" s="86">
        <v>0</v>
      </c>
      <c r="N65" s="87">
        <v>2.1160000000000002E-2</v>
      </c>
      <c r="O65" s="86">
        <f t="shared" si="5"/>
        <v>0.23324516129032261</v>
      </c>
      <c r="P65" s="88">
        <v>65108</v>
      </c>
      <c r="Q65" s="84">
        <v>5000</v>
      </c>
      <c r="R65" s="43"/>
      <c r="S65" s="89">
        <f t="shared" si="8"/>
        <v>32650</v>
      </c>
      <c r="T65" s="89"/>
      <c r="U65" s="94" t="s">
        <v>141</v>
      </c>
      <c r="V65" s="43"/>
      <c r="W65" s="90"/>
      <c r="X65" s="90"/>
    </row>
    <row r="66" spans="1:24" s="47" customFormat="1" x14ac:dyDescent="0.2">
      <c r="A66" s="43" t="s">
        <v>38</v>
      </c>
      <c r="B66" s="84" t="s">
        <v>65</v>
      </c>
      <c r="C66" s="84" t="s">
        <v>104</v>
      </c>
      <c r="D66" s="85">
        <v>36465</v>
      </c>
      <c r="E66" s="85">
        <v>36830</v>
      </c>
      <c r="F66" s="43" t="s">
        <v>94</v>
      </c>
      <c r="G66" s="43" t="s">
        <v>129</v>
      </c>
      <c r="H66" s="84" t="s">
        <v>95</v>
      </c>
      <c r="I66" s="67">
        <f t="shared" si="7"/>
        <v>0.2106451612903226</v>
      </c>
      <c r="J66" s="86">
        <v>1.32E-2</v>
      </c>
      <c r="K66" s="86">
        <v>2.2000000000000001E-3</v>
      </c>
      <c r="L66" s="86">
        <v>7.1999999999999998E-3</v>
      </c>
      <c r="M66" s="86">
        <v>0</v>
      </c>
      <c r="N66" s="87">
        <v>2.1160000000000002E-2</v>
      </c>
      <c r="O66" s="86">
        <f t="shared" si="5"/>
        <v>0.23324516129032261</v>
      </c>
      <c r="P66" s="88">
        <v>65402</v>
      </c>
      <c r="Q66" s="84">
        <v>20000</v>
      </c>
      <c r="R66" s="43" t="s">
        <v>130</v>
      </c>
      <c r="S66" s="89">
        <f t="shared" si="8"/>
        <v>130600</v>
      </c>
      <c r="T66" s="89"/>
      <c r="U66" s="83">
        <v>141174</v>
      </c>
      <c r="V66" s="43"/>
      <c r="W66" s="90"/>
      <c r="X66" s="90"/>
    </row>
    <row r="67" spans="1:24" s="47" customFormat="1" x14ac:dyDescent="0.2">
      <c r="A67" s="43" t="s">
        <v>38</v>
      </c>
      <c r="B67" s="84" t="s">
        <v>65</v>
      </c>
      <c r="C67" s="84" t="s">
        <v>146</v>
      </c>
      <c r="D67" s="85">
        <v>36465</v>
      </c>
      <c r="E67" s="85">
        <v>36677</v>
      </c>
      <c r="F67" s="43" t="s">
        <v>188</v>
      </c>
      <c r="G67" s="43" t="s">
        <v>189</v>
      </c>
      <c r="H67" s="84" t="s">
        <v>95</v>
      </c>
      <c r="I67" s="67">
        <f>6.53/I$1</f>
        <v>0.2106451612903226</v>
      </c>
      <c r="J67" s="86">
        <v>1.32E-2</v>
      </c>
      <c r="K67" s="86">
        <v>2.2000000000000001E-3</v>
      </c>
      <c r="L67" s="86">
        <v>7.1999999999999998E-3</v>
      </c>
      <c r="M67" s="86">
        <v>0</v>
      </c>
      <c r="N67" s="87">
        <v>2.1160000000000002E-2</v>
      </c>
      <c r="O67" s="86">
        <f t="shared" si="5"/>
        <v>0.23324516129032261</v>
      </c>
      <c r="P67" s="88">
        <v>65404</v>
      </c>
      <c r="Q67" s="84">
        <v>34</v>
      </c>
      <c r="R67" s="43" t="s">
        <v>190</v>
      </c>
      <c r="S67" s="89">
        <f t="shared" si="8"/>
        <v>222.02</v>
      </c>
      <c r="T67" s="89"/>
      <c r="U67" s="83">
        <v>142774</v>
      </c>
      <c r="V67" s="43"/>
      <c r="W67" s="90"/>
      <c r="X67" s="90"/>
    </row>
    <row r="68" spans="1:24" s="47" customFormat="1" x14ac:dyDescent="0.2">
      <c r="A68" s="43" t="s">
        <v>38</v>
      </c>
      <c r="B68" s="84" t="s">
        <v>65</v>
      </c>
      <c r="C68" s="84"/>
      <c r="D68" s="85">
        <v>36465</v>
      </c>
      <c r="E68" s="85">
        <v>36830</v>
      </c>
      <c r="F68" s="43" t="s">
        <v>191</v>
      </c>
      <c r="G68" s="43" t="s">
        <v>183</v>
      </c>
      <c r="H68" s="84" t="s">
        <v>95</v>
      </c>
      <c r="I68" s="67">
        <f>4.563/I$1</f>
        <v>0.14719354838709678</v>
      </c>
      <c r="J68" s="86">
        <v>1.32E-2</v>
      </c>
      <c r="K68" s="86">
        <v>2.2000000000000001E-3</v>
      </c>
      <c r="L68" s="86">
        <v>7.1999999999999998E-3</v>
      </c>
      <c r="M68" s="86">
        <v>0</v>
      </c>
      <c r="N68" s="87">
        <v>2.1160000000000002E-2</v>
      </c>
      <c r="O68" s="86">
        <f t="shared" si="5"/>
        <v>0.16979354838709679</v>
      </c>
      <c r="P68" s="88">
        <v>65418</v>
      </c>
      <c r="Q68" s="84">
        <v>500</v>
      </c>
      <c r="R68" s="43" t="s">
        <v>192</v>
      </c>
      <c r="S68" s="89">
        <f t="shared" si="8"/>
        <v>2281.5</v>
      </c>
      <c r="T68" s="89"/>
      <c r="U68" s="83">
        <v>142790</v>
      </c>
      <c r="V68" s="43"/>
      <c r="W68" s="90"/>
      <c r="X68" s="90"/>
    </row>
    <row r="69" spans="1:24" s="47" customFormat="1" x14ac:dyDescent="0.2">
      <c r="A69" s="43" t="s">
        <v>38</v>
      </c>
      <c r="B69" s="84" t="s">
        <v>65</v>
      </c>
      <c r="C69" s="84" t="s">
        <v>104</v>
      </c>
      <c r="D69" s="85">
        <v>36465</v>
      </c>
      <c r="E69" s="85">
        <v>36616</v>
      </c>
      <c r="F69" s="43" t="s">
        <v>105</v>
      </c>
      <c r="G69" s="43" t="s">
        <v>132</v>
      </c>
      <c r="H69" s="84" t="s">
        <v>133</v>
      </c>
      <c r="I69" s="67">
        <f>6.359/I$1</f>
        <v>0.2051290322580645</v>
      </c>
      <c r="J69" s="86">
        <v>1.2999999999999999E-2</v>
      </c>
      <c r="K69" s="86">
        <v>2.2000000000000001E-3</v>
      </c>
      <c r="L69" s="86">
        <v>7.1999999999999998E-3</v>
      </c>
      <c r="M69" s="86">
        <v>0</v>
      </c>
      <c r="N69" s="87">
        <v>2.1160000000000002E-2</v>
      </c>
      <c r="O69" s="86">
        <f t="shared" si="5"/>
        <v>0.22752903225806453</v>
      </c>
      <c r="P69" s="88">
        <v>65458</v>
      </c>
      <c r="Q69" s="84">
        <v>33</v>
      </c>
      <c r="R69" s="43" t="s">
        <v>134</v>
      </c>
      <c r="S69" s="89">
        <f t="shared" si="8"/>
        <v>209.84700000000001</v>
      </c>
      <c r="T69" s="89"/>
      <c r="U69" s="83">
        <v>141176</v>
      </c>
      <c r="V69" s="43"/>
      <c r="W69" s="90"/>
      <c r="X69" s="90"/>
    </row>
    <row r="70" spans="1:24" s="47" customFormat="1" x14ac:dyDescent="0.2">
      <c r="A70" s="43" t="s">
        <v>38</v>
      </c>
      <c r="B70" s="84" t="s">
        <v>65</v>
      </c>
      <c r="C70" s="84" t="s">
        <v>92</v>
      </c>
      <c r="D70" s="85">
        <v>36495</v>
      </c>
      <c r="E70" s="85">
        <v>36860</v>
      </c>
      <c r="F70" s="43" t="s">
        <v>94</v>
      </c>
      <c r="G70" s="43" t="s">
        <v>102</v>
      </c>
      <c r="H70" s="84" t="s">
        <v>95</v>
      </c>
      <c r="I70" s="67">
        <f t="shared" si="7"/>
        <v>0.2106451612903226</v>
      </c>
      <c r="J70" s="86">
        <v>1.32E-2</v>
      </c>
      <c r="K70" s="86">
        <v>2.2000000000000001E-3</v>
      </c>
      <c r="L70" s="86">
        <v>7.1999999999999998E-3</v>
      </c>
      <c r="M70" s="86">
        <v>0</v>
      </c>
      <c r="N70" s="87">
        <v>2.1160000000000002E-2</v>
      </c>
      <c r="O70" s="86">
        <f t="shared" si="5"/>
        <v>0.23324516129032261</v>
      </c>
      <c r="P70" s="88">
        <v>65556</v>
      </c>
      <c r="Q70" s="84">
        <v>3</v>
      </c>
      <c r="R70" s="43" t="s">
        <v>131</v>
      </c>
      <c r="S70" s="89">
        <f t="shared" si="8"/>
        <v>19.59</v>
      </c>
      <c r="T70" s="89"/>
      <c r="U70" s="83">
        <v>141175</v>
      </c>
      <c r="V70" s="43"/>
      <c r="W70" s="90"/>
      <c r="X70" s="90"/>
    </row>
    <row r="71" spans="1:24" s="47" customFormat="1" x14ac:dyDescent="0.2">
      <c r="A71" s="43" t="s">
        <v>38</v>
      </c>
      <c r="B71" s="84" t="s">
        <v>65</v>
      </c>
      <c r="C71" s="84" t="s">
        <v>146</v>
      </c>
      <c r="D71" s="85">
        <v>36495</v>
      </c>
      <c r="E71" s="85">
        <v>36616</v>
      </c>
      <c r="F71" s="43" t="s">
        <v>188</v>
      </c>
      <c r="G71" s="43" t="s">
        <v>189</v>
      </c>
      <c r="H71" s="84" t="s">
        <v>95</v>
      </c>
      <c r="I71" s="67">
        <f t="shared" si="7"/>
        <v>0.2106451612903226</v>
      </c>
      <c r="J71" s="86">
        <v>1.32E-2</v>
      </c>
      <c r="K71" s="86">
        <v>2.2000000000000001E-3</v>
      </c>
      <c r="L71" s="86">
        <v>7.1999999999999998E-3</v>
      </c>
      <c r="M71" s="86">
        <v>0</v>
      </c>
      <c r="N71" s="87">
        <v>2.1160000000000002E-2</v>
      </c>
      <c r="O71" s="86">
        <f t="shared" si="5"/>
        <v>0.23324516129032261</v>
      </c>
      <c r="P71" s="88">
        <v>65659</v>
      </c>
      <c r="Q71" s="84">
        <v>3</v>
      </c>
      <c r="R71" s="43" t="s">
        <v>193</v>
      </c>
      <c r="S71" s="89">
        <f t="shared" si="8"/>
        <v>19.59</v>
      </c>
      <c r="T71" s="89"/>
      <c r="U71" s="83">
        <v>142812</v>
      </c>
      <c r="V71" s="43"/>
      <c r="W71" s="90"/>
      <c r="X71" s="90"/>
    </row>
    <row r="72" spans="1:24" s="82" customFormat="1" x14ac:dyDescent="0.2">
      <c r="A72" s="44" t="s">
        <v>38</v>
      </c>
      <c r="B72" s="75" t="s">
        <v>65</v>
      </c>
      <c r="C72" s="75" t="s">
        <v>104</v>
      </c>
      <c r="D72" s="76">
        <v>36251</v>
      </c>
      <c r="E72" s="76">
        <v>36616</v>
      </c>
      <c r="F72" s="44" t="s">
        <v>105</v>
      </c>
      <c r="G72" s="44" t="s">
        <v>107</v>
      </c>
      <c r="H72" s="75" t="s">
        <v>106</v>
      </c>
      <c r="I72" s="77">
        <f>2.91/I$1</f>
        <v>9.3870967741935485E-2</v>
      </c>
      <c r="J72" s="66">
        <v>0</v>
      </c>
      <c r="K72" s="66">
        <v>0</v>
      </c>
      <c r="L72" s="66">
        <v>0</v>
      </c>
      <c r="M72" s="66">
        <v>0</v>
      </c>
      <c r="N72" s="65">
        <v>0</v>
      </c>
      <c r="O72" s="66">
        <f t="shared" si="5"/>
        <v>9.3870967741935485E-2</v>
      </c>
      <c r="P72" s="78">
        <v>51407</v>
      </c>
      <c r="Q72" s="75">
        <v>0</v>
      </c>
      <c r="R72" s="44" t="s">
        <v>109</v>
      </c>
      <c r="S72" s="79">
        <f>I72*Q72</f>
        <v>0</v>
      </c>
      <c r="T72" s="79"/>
      <c r="U72" s="80"/>
      <c r="V72" s="44"/>
      <c r="W72" s="81"/>
      <c r="X72" s="81"/>
    </row>
    <row r="73" spans="1:24" s="82" customFormat="1" x14ac:dyDescent="0.2">
      <c r="A73" s="44" t="s">
        <v>38</v>
      </c>
      <c r="B73" s="75" t="s">
        <v>65</v>
      </c>
      <c r="C73" s="75" t="s">
        <v>104</v>
      </c>
      <c r="D73" s="76">
        <v>36251</v>
      </c>
      <c r="E73" s="76">
        <v>36616</v>
      </c>
      <c r="F73" s="44" t="s">
        <v>105</v>
      </c>
      <c r="G73" s="44" t="s">
        <v>108</v>
      </c>
      <c r="H73" s="75" t="s">
        <v>106</v>
      </c>
      <c r="I73" s="77">
        <v>1.5299999999999999E-2</v>
      </c>
      <c r="J73" s="66">
        <v>0</v>
      </c>
      <c r="K73" s="66">
        <v>0</v>
      </c>
      <c r="L73" s="66">
        <v>0</v>
      </c>
      <c r="M73" s="66">
        <v>0</v>
      </c>
      <c r="N73" s="65">
        <v>0</v>
      </c>
      <c r="O73" s="66">
        <f t="shared" si="5"/>
        <v>1.5299999999999999E-2</v>
      </c>
      <c r="P73" s="78">
        <v>51407</v>
      </c>
      <c r="Q73" s="75">
        <v>0</v>
      </c>
      <c r="R73" s="44" t="s">
        <v>109</v>
      </c>
      <c r="S73" s="79">
        <f>I73*I$1*Q73</f>
        <v>0</v>
      </c>
      <c r="T73" s="79"/>
      <c r="U73" s="80"/>
      <c r="V73" s="44"/>
      <c r="W73" s="81"/>
      <c r="X73" s="81"/>
    </row>
    <row r="74" spans="1:24" x14ac:dyDescent="0.2">
      <c r="A74" s="10" t="s">
        <v>3</v>
      </c>
      <c r="B74" s="11" t="s">
        <v>3</v>
      </c>
      <c r="C74" s="11" t="s">
        <v>3</v>
      </c>
      <c r="D74" s="13" t="s">
        <v>3</v>
      </c>
      <c r="E74" s="13" t="s">
        <v>3</v>
      </c>
      <c r="F74" s="10" t="s">
        <v>3</v>
      </c>
      <c r="G74" s="31" t="s">
        <v>3</v>
      </c>
      <c r="H74" s="11" t="s">
        <v>3</v>
      </c>
      <c r="I74" s="14"/>
      <c r="J74" s="15"/>
      <c r="K74" s="15"/>
      <c r="L74" s="15"/>
      <c r="M74" s="15"/>
      <c r="N74" s="50"/>
      <c r="O74" s="15"/>
      <c r="P74" s="27" t="s">
        <v>3</v>
      </c>
      <c r="Q74" s="11">
        <f>SUM(Q46:Q73)</f>
        <v>7816993</v>
      </c>
      <c r="R74" s="10" t="s">
        <v>3</v>
      </c>
      <c r="S74" s="23">
        <f>SUM(S46:S46)</f>
        <v>13.06</v>
      </c>
      <c r="T74" s="23">
        <f>SUM(T46:T46)</f>
        <v>0</v>
      </c>
      <c r="U74" s="72"/>
      <c r="V74" s="31"/>
      <c r="W74" s="37"/>
      <c r="X74" s="37"/>
    </row>
    <row r="75" spans="1:24" x14ac:dyDescent="0.2">
      <c r="A75" s="17" t="s">
        <v>4</v>
      </c>
      <c r="B75" s="18" t="s">
        <v>5</v>
      </c>
      <c r="C75" s="18" t="s">
        <v>6</v>
      </c>
      <c r="D75" s="19" t="s">
        <v>7</v>
      </c>
      <c r="E75" s="19"/>
      <c r="F75" s="17" t="s">
        <v>8</v>
      </c>
      <c r="G75" s="17" t="s">
        <v>9</v>
      </c>
      <c r="H75" s="18" t="s">
        <v>91</v>
      </c>
      <c r="I75" s="20" t="s">
        <v>11</v>
      </c>
      <c r="J75" s="18" t="s">
        <v>12</v>
      </c>
      <c r="K75" s="18" t="s">
        <v>13</v>
      </c>
      <c r="L75" s="18" t="s">
        <v>14</v>
      </c>
      <c r="M75" s="18" t="s">
        <v>15</v>
      </c>
      <c r="N75" s="49" t="s">
        <v>16</v>
      </c>
      <c r="O75" s="18" t="s">
        <v>17</v>
      </c>
      <c r="P75" s="21" t="s">
        <v>18</v>
      </c>
      <c r="Q75" s="18" t="s">
        <v>19</v>
      </c>
      <c r="R75" s="17" t="s">
        <v>20</v>
      </c>
      <c r="S75" s="22" t="s">
        <v>86</v>
      </c>
      <c r="T75" s="22" t="s">
        <v>85</v>
      </c>
      <c r="U75" s="70" t="s">
        <v>37</v>
      </c>
      <c r="V75" s="99">
        <f>+V53</f>
        <v>0</v>
      </c>
      <c r="W75" s="37"/>
      <c r="X75" s="37"/>
    </row>
    <row r="76" spans="1:24" s="47" customFormat="1" x14ac:dyDescent="0.2">
      <c r="A76" s="43" t="s">
        <v>150</v>
      </c>
      <c r="B76" s="84" t="s">
        <v>46</v>
      </c>
      <c r="C76" s="84" t="s">
        <v>78</v>
      </c>
      <c r="D76" s="85">
        <v>36192</v>
      </c>
      <c r="E76" s="85">
        <v>36556</v>
      </c>
      <c r="F76" s="43" t="s">
        <v>47</v>
      </c>
      <c r="G76" s="43" t="s">
        <v>34</v>
      </c>
      <c r="H76" s="84" t="s">
        <v>207</v>
      </c>
      <c r="I76" s="67">
        <f t="shared" ref="I76:I89" si="9">3.145/I$1</f>
        <v>0.10145161290322581</v>
      </c>
      <c r="J76" s="86">
        <v>1.32E-2</v>
      </c>
      <c r="K76" s="86">
        <v>2.2000000000000001E-3</v>
      </c>
      <c r="L76" s="86">
        <v>0</v>
      </c>
      <c r="M76" s="86">
        <v>0</v>
      </c>
      <c r="N76" s="87">
        <v>2.1160000000000002E-2</v>
      </c>
      <c r="O76" s="86">
        <f t="shared" ref="O76:O89" si="10">SUM(I76:M76)</f>
        <v>0.11685161290322581</v>
      </c>
      <c r="P76" s="88">
        <v>62741</v>
      </c>
      <c r="Q76" s="84">
        <v>2</v>
      </c>
      <c r="R76" s="43"/>
      <c r="S76" s="89">
        <f t="shared" ref="S76:S89" si="11">I76*I$1*Q76</f>
        <v>6.29</v>
      </c>
      <c r="T76" s="89"/>
      <c r="U76" s="83">
        <v>140449</v>
      </c>
      <c r="V76" s="43"/>
      <c r="W76" s="90"/>
      <c r="X76" s="90"/>
    </row>
    <row r="77" spans="1:24" s="47" customFormat="1" x14ac:dyDescent="0.2">
      <c r="A77" s="43" t="s">
        <v>150</v>
      </c>
      <c r="B77" s="84" t="s">
        <v>46</v>
      </c>
      <c r="C77" s="84" t="s">
        <v>78</v>
      </c>
      <c r="D77" s="85">
        <v>36220</v>
      </c>
      <c r="E77" s="85">
        <v>36584</v>
      </c>
      <c r="F77" s="43" t="s">
        <v>47</v>
      </c>
      <c r="G77" s="43" t="s">
        <v>34</v>
      </c>
      <c r="H77" s="84" t="s">
        <v>207</v>
      </c>
      <c r="I77" s="67">
        <f t="shared" si="9"/>
        <v>0.10145161290322581</v>
      </c>
      <c r="J77" s="86">
        <v>1.32E-2</v>
      </c>
      <c r="K77" s="86">
        <v>2.2000000000000001E-3</v>
      </c>
      <c r="L77" s="86">
        <v>0</v>
      </c>
      <c r="M77" s="86">
        <v>0</v>
      </c>
      <c r="N77" s="87">
        <v>2.1160000000000002E-2</v>
      </c>
      <c r="O77" s="86">
        <f t="shared" si="10"/>
        <v>0.11685161290322581</v>
      </c>
      <c r="P77" s="88">
        <v>62979</v>
      </c>
      <c r="Q77" s="84">
        <v>2</v>
      </c>
      <c r="R77" s="43"/>
      <c r="S77" s="89">
        <f t="shared" si="11"/>
        <v>6.29</v>
      </c>
      <c r="T77" s="89"/>
      <c r="U77" s="83">
        <v>140450</v>
      </c>
      <c r="V77" s="43"/>
      <c r="W77" s="90"/>
      <c r="X77" s="90"/>
    </row>
    <row r="78" spans="1:24" s="47" customFormat="1" x14ac:dyDescent="0.2">
      <c r="A78" s="43" t="s">
        <v>150</v>
      </c>
      <c r="B78" s="84" t="s">
        <v>46</v>
      </c>
      <c r="C78" s="84" t="s">
        <v>208</v>
      </c>
      <c r="D78" s="85">
        <v>36220</v>
      </c>
      <c r="E78" s="85">
        <v>36585</v>
      </c>
      <c r="F78" s="43" t="s">
        <v>47</v>
      </c>
      <c r="G78" s="43" t="s">
        <v>34</v>
      </c>
      <c r="H78" s="84" t="s">
        <v>207</v>
      </c>
      <c r="I78" s="67">
        <f t="shared" si="9"/>
        <v>0.10145161290322581</v>
      </c>
      <c r="J78" s="86">
        <v>1.32E-2</v>
      </c>
      <c r="K78" s="86">
        <v>2.2000000000000001E-3</v>
      </c>
      <c r="L78" s="86">
        <v>0</v>
      </c>
      <c r="M78" s="86">
        <v>0</v>
      </c>
      <c r="N78" s="87">
        <v>2.1160000000000002E-2</v>
      </c>
      <c r="O78" s="86">
        <f t="shared" si="10"/>
        <v>0.11685161290322581</v>
      </c>
      <c r="P78" s="88">
        <v>62981</v>
      </c>
      <c r="Q78" s="84">
        <v>2</v>
      </c>
      <c r="R78" s="43"/>
      <c r="S78" s="89">
        <f t="shared" si="11"/>
        <v>6.29</v>
      </c>
      <c r="T78" s="89"/>
      <c r="U78" s="83">
        <v>140451</v>
      </c>
      <c r="V78" s="43"/>
      <c r="W78" s="90"/>
      <c r="X78" s="90"/>
    </row>
    <row r="79" spans="1:24" s="47" customFormat="1" x14ac:dyDescent="0.2">
      <c r="A79" s="43" t="s">
        <v>150</v>
      </c>
      <c r="B79" s="84" t="s">
        <v>46</v>
      </c>
      <c r="C79" s="84" t="s">
        <v>208</v>
      </c>
      <c r="D79" s="85">
        <v>36251</v>
      </c>
      <c r="E79" s="85">
        <v>36616</v>
      </c>
      <c r="F79" s="43" t="s">
        <v>47</v>
      </c>
      <c r="G79" s="43" t="s">
        <v>34</v>
      </c>
      <c r="H79" s="84" t="s">
        <v>207</v>
      </c>
      <c r="I79" s="67">
        <f t="shared" si="9"/>
        <v>0.10145161290322581</v>
      </c>
      <c r="J79" s="86">
        <v>1.32E-2</v>
      </c>
      <c r="K79" s="86">
        <v>2.2000000000000001E-3</v>
      </c>
      <c r="L79" s="86">
        <v>0</v>
      </c>
      <c r="M79" s="86">
        <v>0</v>
      </c>
      <c r="N79" s="87">
        <v>2.1160000000000002E-2</v>
      </c>
      <c r="O79" s="86">
        <f t="shared" si="10"/>
        <v>0.11685161290322581</v>
      </c>
      <c r="P79" s="88">
        <v>63285</v>
      </c>
      <c r="Q79" s="84">
        <v>6</v>
      </c>
      <c r="R79" s="43"/>
      <c r="S79" s="89">
        <f t="shared" si="11"/>
        <v>18.87</v>
      </c>
      <c r="T79" s="89"/>
      <c r="U79" s="83">
        <v>140452</v>
      </c>
      <c r="V79" s="43"/>
      <c r="W79" s="90"/>
      <c r="X79" s="90"/>
    </row>
    <row r="80" spans="1:24" s="47" customFormat="1" x14ac:dyDescent="0.2">
      <c r="A80" s="43" t="s">
        <v>150</v>
      </c>
      <c r="B80" s="84" t="s">
        <v>46</v>
      </c>
      <c r="C80" s="84" t="s">
        <v>78</v>
      </c>
      <c r="D80" s="85">
        <v>36251</v>
      </c>
      <c r="E80" s="85">
        <v>36616</v>
      </c>
      <c r="F80" s="43" t="s">
        <v>47</v>
      </c>
      <c r="G80" s="43" t="s">
        <v>34</v>
      </c>
      <c r="H80" s="84" t="s">
        <v>207</v>
      </c>
      <c r="I80" s="67">
        <f t="shared" si="9"/>
        <v>0.10145161290322581</v>
      </c>
      <c r="J80" s="86">
        <v>1.32E-2</v>
      </c>
      <c r="K80" s="86">
        <v>2.2000000000000001E-3</v>
      </c>
      <c r="L80" s="86">
        <v>0</v>
      </c>
      <c r="M80" s="86">
        <v>0</v>
      </c>
      <c r="N80" s="87">
        <v>2.1160000000000002E-2</v>
      </c>
      <c r="O80" s="86">
        <f t="shared" si="10"/>
        <v>0.11685161290322581</v>
      </c>
      <c r="P80" s="88">
        <v>63287</v>
      </c>
      <c r="Q80" s="84">
        <v>47</v>
      </c>
      <c r="R80" s="43"/>
      <c r="S80" s="89">
        <f t="shared" si="11"/>
        <v>147.815</v>
      </c>
      <c r="T80" s="89"/>
      <c r="U80" s="83">
        <v>140453</v>
      </c>
      <c r="V80" s="43"/>
      <c r="W80" s="90"/>
      <c r="X80" s="90"/>
    </row>
    <row r="81" spans="1:24" s="47" customFormat="1" x14ac:dyDescent="0.2">
      <c r="A81" s="43" t="s">
        <v>150</v>
      </c>
      <c r="B81" s="84" t="s">
        <v>46</v>
      </c>
      <c r="C81" s="84" t="s">
        <v>208</v>
      </c>
      <c r="D81" s="85">
        <v>36281</v>
      </c>
      <c r="E81" s="85">
        <v>36646</v>
      </c>
      <c r="F81" s="43" t="s">
        <v>47</v>
      </c>
      <c r="G81" s="43" t="s">
        <v>34</v>
      </c>
      <c r="H81" s="84" t="s">
        <v>207</v>
      </c>
      <c r="I81" s="67">
        <f t="shared" si="9"/>
        <v>0.10145161290322581</v>
      </c>
      <c r="J81" s="86">
        <v>1.32E-2</v>
      </c>
      <c r="K81" s="86">
        <v>2.2000000000000001E-3</v>
      </c>
      <c r="L81" s="86">
        <v>0</v>
      </c>
      <c r="M81" s="86">
        <v>0</v>
      </c>
      <c r="N81" s="87">
        <v>2.1160000000000002E-2</v>
      </c>
      <c r="O81" s="86">
        <f t="shared" si="10"/>
        <v>0.11685161290322581</v>
      </c>
      <c r="P81" s="88">
        <v>63562</v>
      </c>
      <c r="Q81" s="84">
        <v>34</v>
      </c>
      <c r="R81" s="43"/>
      <c r="S81" s="89">
        <f t="shared" si="11"/>
        <v>106.93</v>
      </c>
      <c r="T81" s="89"/>
      <c r="U81" s="83">
        <v>140474</v>
      </c>
      <c r="V81" s="43"/>
      <c r="W81" s="90"/>
      <c r="X81" s="90"/>
    </row>
    <row r="82" spans="1:24" s="47" customFormat="1" x14ac:dyDescent="0.2">
      <c r="A82" s="43" t="s">
        <v>150</v>
      </c>
      <c r="B82" s="84" t="s">
        <v>46</v>
      </c>
      <c r="C82" s="84" t="s">
        <v>208</v>
      </c>
      <c r="D82" s="85">
        <v>36312</v>
      </c>
      <c r="E82" s="85">
        <v>36677</v>
      </c>
      <c r="F82" s="43" t="s">
        <v>47</v>
      </c>
      <c r="G82" s="43" t="s">
        <v>34</v>
      </c>
      <c r="H82" s="84" t="s">
        <v>207</v>
      </c>
      <c r="I82" s="67">
        <f t="shared" si="9"/>
        <v>0.10145161290322581</v>
      </c>
      <c r="J82" s="86">
        <v>1.32E-2</v>
      </c>
      <c r="K82" s="86">
        <v>2.2000000000000001E-3</v>
      </c>
      <c r="L82" s="86">
        <v>0</v>
      </c>
      <c r="M82" s="86">
        <v>0</v>
      </c>
      <c r="N82" s="87">
        <v>2.1160000000000002E-2</v>
      </c>
      <c r="O82" s="86">
        <f t="shared" si="10"/>
        <v>0.11685161290322581</v>
      </c>
      <c r="P82" s="88">
        <v>63823</v>
      </c>
      <c r="Q82" s="84">
        <v>310</v>
      </c>
      <c r="R82" s="43"/>
      <c r="S82" s="89">
        <f t="shared" si="11"/>
        <v>974.95</v>
      </c>
      <c r="T82" s="89"/>
      <c r="U82" s="83">
        <v>140475</v>
      </c>
      <c r="V82" s="43"/>
      <c r="W82" s="90"/>
      <c r="X82" s="90"/>
    </row>
    <row r="83" spans="1:24" s="47" customFormat="1" x14ac:dyDescent="0.2">
      <c r="A83" s="43" t="s">
        <v>150</v>
      </c>
      <c r="B83" s="84" t="s">
        <v>46</v>
      </c>
      <c r="C83" s="84" t="s">
        <v>78</v>
      </c>
      <c r="D83" s="85">
        <v>36312</v>
      </c>
      <c r="E83" s="85">
        <v>36677</v>
      </c>
      <c r="F83" s="43" t="s">
        <v>47</v>
      </c>
      <c r="G83" s="43" t="s">
        <v>34</v>
      </c>
      <c r="H83" s="84" t="s">
        <v>207</v>
      </c>
      <c r="I83" s="67">
        <f t="shared" si="9"/>
        <v>0.10145161290322581</v>
      </c>
      <c r="J83" s="86">
        <v>1.32E-2</v>
      </c>
      <c r="K83" s="86">
        <v>2.2000000000000001E-3</v>
      </c>
      <c r="L83" s="86">
        <v>0</v>
      </c>
      <c r="M83" s="86">
        <v>0</v>
      </c>
      <c r="N83" s="87">
        <v>2.1160000000000002E-2</v>
      </c>
      <c r="O83" s="86">
        <f t="shared" si="10"/>
        <v>0.11685161290322581</v>
      </c>
      <c r="P83" s="88">
        <v>63826</v>
      </c>
      <c r="Q83" s="84">
        <v>218</v>
      </c>
      <c r="R83" s="43"/>
      <c r="S83" s="89">
        <f t="shared" si="11"/>
        <v>685.61</v>
      </c>
      <c r="T83" s="89"/>
      <c r="U83" s="83">
        <v>140476</v>
      </c>
      <c r="V83" s="43"/>
      <c r="W83" s="90"/>
      <c r="X83" s="90"/>
    </row>
    <row r="84" spans="1:24" s="47" customFormat="1" x14ac:dyDescent="0.2">
      <c r="A84" s="43" t="s">
        <v>150</v>
      </c>
      <c r="B84" s="84" t="s">
        <v>46</v>
      </c>
      <c r="C84" s="84" t="s">
        <v>78</v>
      </c>
      <c r="D84" s="85">
        <v>36342</v>
      </c>
      <c r="E84" s="85">
        <v>36707</v>
      </c>
      <c r="F84" s="43" t="s">
        <v>47</v>
      </c>
      <c r="G84" s="43" t="s">
        <v>34</v>
      </c>
      <c r="H84" s="84" t="s">
        <v>207</v>
      </c>
      <c r="I84" s="67">
        <f t="shared" si="9"/>
        <v>0.10145161290322581</v>
      </c>
      <c r="J84" s="86">
        <v>1.32E-2</v>
      </c>
      <c r="K84" s="86">
        <v>2.2000000000000001E-3</v>
      </c>
      <c r="L84" s="86">
        <v>0</v>
      </c>
      <c r="M84" s="86">
        <v>0</v>
      </c>
      <c r="N84" s="87">
        <v>2.1160000000000002E-2</v>
      </c>
      <c r="O84" s="86">
        <f t="shared" si="10"/>
        <v>0.11685161290322581</v>
      </c>
      <c r="P84" s="88">
        <v>64033</v>
      </c>
      <c r="Q84" s="84">
        <v>1</v>
      </c>
      <c r="R84" s="43"/>
      <c r="S84" s="89">
        <f t="shared" si="11"/>
        <v>3.145</v>
      </c>
      <c r="T84" s="89"/>
      <c r="U84" s="83">
        <v>140477</v>
      </c>
      <c r="V84" s="43"/>
      <c r="W84" s="90"/>
      <c r="X84" s="90"/>
    </row>
    <row r="85" spans="1:24" s="47" customFormat="1" x14ac:dyDescent="0.2">
      <c r="A85" s="43" t="s">
        <v>150</v>
      </c>
      <c r="B85" s="84" t="s">
        <v>46</v>
      </c>
      <c r="C85" s="84" t="s">
        <v>208</v>
      </c>
      <c r="D85" s="85">
        <v>36342</v>
      </c>
      <c r="E85" s="85">
        <v>36707</v>
      </c>
      <c r="F85" s="43" t="s">
        <v>47</v>
      </c>
      <c r="G85" s="43" t="s">
        <v>34</v>
      </c>
      <c r="H85" s="84" t="s">
        <v>207</v>
      </c>
      <c r="I85" s="67">
        <f t="shared" si="9"/>
        <v>0.10145161290322581</v>
      </c>
      <c r="J85" s="86">
        <v>1.32E-2</v>
      </c>
      <c r="K85" s="86">
        <v>2.2000000000000001E-3</v>
      </c>
      <c r="L85" s="86">
        <v>0</v>
      </c>
      <c r="M85" s="86">
        <v>0</v>
      </c>
      <c r="N85" s="87">
        <v>2.1160000000000002E-2</v>
      </c>
      <c r="O85" s="86">
        <f t="shared" si="10"/>
        <v>0.11685161290322581</v>
      </c>
      <c r="P85" s="88">
        <v>64035</v>
      </c>
      <c r="Q85" s="84">
        <v>931</v>
      </c>
      <c r="R85" s="43"/>
      <c r="S85" s="89">
        <f t="shared" si="11"/>
        <v>2927.9949999999999</v>
      </c>
      <c r="T85" s="89"/>
      <c r="U85" s="83">
        <v>140478</v>
      </c>
      <c r="V85" s="43"/>
      <c r="W85" s="90"/>
      <c r="X85" s="90"/>
    </row>
    <row r="86" spans="1:24" s="47" customFormat="1" x14ac:dyDescent="0.2">
      <c r="A86" s="43" t="s">
        <v>150</v>
      </c>
      <c r="B86" s="84" t="s">
        <v>46</v>
      </c>
      <c r="C86" s="84" t="s">
        <v>78</v>
      </c>
      <c r="D86" s="85">
        <v>36373</v>
      </c>
      <c r="E86" s="85">
        <v>36738</v>
      </c>
      <c r="F86" s="43" t="s">
        <v>47</v>
      </c>
      <c r="G86" s="43" t="s">
        <v>34</v>
      </c>
      <c r="H86" s="84" t="s">
        <v>207</v>
      </c>
      <c r="I86" s="67">
        <f t="shared" si="9"/>
        <v>0.10145161290322581</v>
      </c>
      <c r="J86" s="86">
        <v>1.32E-2</v>
      </c>
      <c r="K86" s="86">
        <v>2.2000000000000001E-3</v>
      </c>
      <c r="L86" s="86">
        <v>0</v>
      </c>
      <c r="M86" s="86">
        <v>0</v>
      </c>
      <c r="N86" s="87">
        <v>2.1160000000000002E-2</v>
      </c>
      <c r="O86" s="86">
        <f t="shared" si="10"/>
        <v>0.11685161290322581</v>
      </c>
      <c r="P86" s="88">
        <v>64332</v>
      </c>
      <c r="Q86" s="84">
        <v>12</v>
      </c>
      <c r="R86" s="43"/>
      <c r="S86" s="89">
        <f t="shared" si="11"/>
        <v>37.74</v>
      </c>
      <c r="T86" s="89"/>
      <c r="U86" s="83">
        <v>140479</v>
      </c>
      <c r="V86" s="43"/>
      <c r="W86" s="90"/>
      <c r="X86" s="90"/>
    </row>
    <row r="87" spans="1:24" s="47" customFormat="1" x14ac:dyDescent="0.2">
      <c r="A87" s="43" t="s">
        <v>150</v>
      </c>
      <c r="B87" s="84" t="s">
        <v>46</v>
      </c>
      <c r="C87" s="84" t="s">
        <v>208</v>
      </c>
      <c r="D87" s="85">
        <v>36373</v>
      </c>
      <c r="E87" s="85">
        <v>36738</v>
      </c>
      <c r="F87" s="43" t="s">
        <v>47</v>
      </c>
      <c r="G87" s="43" t="s">
        <v>34</v>
      </c>
      <c r="H87" s="84" t="s">
        <v>207</v>
      </c>
      <c r="I87" s="67">
        <f t="shared" si="9"/>
        <v>0.10145161290322581</v>
      </c>
      <c r="J87" s="86">
        <v>1.32E-2</v>
      </c>
      <c r="K87" s="86">
        <v>2.2000000000000001E-3</v>
      </c>
      <c r="L87" s="86">
        <v>0</v>
      </c>
      <c r="M87" s="86">
        <v>0</v>
      </c>
      <c r="N87" s="87">
        <v>2.1160000000000002E-2</v>
      </c>
      <c r="O87" s="86">
        <f t="shared" si="10"/>
        <v>0.11685161290322581</v>
      </c>
      <c r="P87" s="88">
        <v>64334</v>
      </c>
      <c r="Q87" s="84">
        <v>3</v>
      </c>
      <c r="R87" s="43"/>
      <c r="S87" s="89">
        <f t="shared" si="11"/>
        <v>9.4350000000000005</v>
      </c>
      <c r="T87" s="89"/>
      <c r="U87" s="83">
        <v>140480</v>
      </c>
      <c r="V87" s="43"/>
      <c r="W87" s="90"/>
      <c r="X87" s="90"/>
    </row>
    <row r="88" spans="1:24" s="47" customFormat="1" x14ac:dyDescent="0.2">
      <c r="A88" s="43" t="s">
        <v>150</v>
      </c>
      <c r="B88" s="84" t="s">
        <v>46</v>
      </c>
      <c r="C88" s="84" t="s">
        <v>78</v>
      </c>
      <c r="D88" s="85">
        <v>36404</v>
      </c>
      <c r="E88" s="85">
        <v>36769</v>
      </c>
      <c r="F88" s="43" t="s">
        <v>47</v>
      </c>
      <c r="G88" s="43" t="s">
        <v>34</v>
      </c>
      <c r="H88" s="84" t="s">
        <v>207</v>
      </c>
      <c r="I88" s="67">
        <f t="shared" si="9"/>
        <v>0.10145161290322581</v>
      </c>
      <c r="J88" s="86">
        <v>1.32E-2</v>
      </c>
      <c r="K88" s="86">
        <v>2.2000000000000001E-3</v>
      </c>
      <c r="L88" s="86">
        <v>0</v>
      </c>
      <c r="M88" s="86">
        <v>0</v>
      </c>
      <c r="N88" s="87">
        <v>2.1160000000000002E-2</v>
      </c>
      <c r="O88" s="86">
        <f t="shared" si="10"/>
        <v>0.11685161290322581</v>
      </c>
      <c r="P88" s="88">
        <v>64652</v>
      </c>
      <c r="Q88" s="84">
        <v>65</v>
      </c>
      <c r="R88" s="43"/>
      <c r="S88" s="89">
        <f t="shared" si="11"/>
        <v>204.42500000000001</v>
      </c>
      <c r="T88" s="89"/>
      <c r="U88" s="83">
        <v>140481</v>
      </c>
      <c r="V88" s="43"/>
      <c r="W88" s="90"/>
      <c r="X88" s="90"/>
    </row>
    <row r="89" spans="1:24" s="47" customFormat="1" x14ac:dyDescent="0.2">
      <c r="A89" s="43" t="s">
        <v>150</v>
      </c>
      <c r="B89" s="84" t="s">
        <v>46</v>
      </c>
      <c r="C89" s="84" t="s">
        <v>78</v>
      </c>
      <c r="D89" s="85">
        <v>36434</v>
      </c>
      <c r="E89" s="85">
        <v>36799</v>
      </c>
      <c r="F89" s="43" t="s">
        <v>47</v>
      </c>
      <c r="G89" s="43" t="s">
        <v>34</v>
      </c>
      <c r="H89" s="84" t="s">
        <v>207</v>
      </c>
      <c r="I89" s="67">
        <f t="shared" si="9"/>
        <v>0.10145161290322581</v>
      </c>
      <c r="J89" s="86">
        <v>1.32E-2</v>
      </c>
      <c r="K89" s="86">
        <v>2.2000000000000001E-3</v>
      </c>
      <c r="L89" s="86">
        <v>0</v>
      </c>
      <c r="M89" s="86">
        <v>0</v>
      </c>
      <c r="N89" s="87">
        <v>2.1160000000000002E-2</v>
      </c>
      <c r="O89" s="86">
        <f t="shared" si="10"/>
        <v>0.11685161290322581</v>
      </c>
      <c r="P89" s="88">
        <v>64863</v>
      </c>
      <c r="Q89" s="84">
        <v>13</v>
      </c>
      <c r="R89" s="43"/>
      <c r="S89" s="89">
        <f t="shared" si="11"/>
        <v>40.884999999999998</v>
      </c>
      <c r="T89" s="89"/>
      <c r="U89" s="83">
        <v>140482</v>
      </c>
      <c r="V89" s="43"/>
      <c r="W89" s="90"/>
      <c r="X89" s="90"/>
    </row>
    <row r="90" spans="1:24" s="47" customFormat="1" x14ac:dyDescent="0.2">
      <c r="A90" s="43" t="s">
        <v>150</v>
      </c>
      <c r="B90" s="84" t="s">
        <v>46</v>
      </c>
      <c r="C90" s="84" t="s">
        <v>78</v>
      </c>
      <c r="D90" s="85">
        <v>36465</v>
      </c>
      <c r="E90" s="85">
        <v>36830</v>
      </c>
      <c r="F90" s="43" t="s">
        <v>47</v>
      </c>
      <c r="G90" s="43" t="s">
        <v>34</v>
      </c>
      <c r="H90" s="84"/>
      <c r="I90" s="67">
        <f>3.145/I$1</f>
        <v>0.10145161290322581</v>
      </c>
      <c r="J90" s="86">
        <v>1.32E-2</v>
      </c>
      <c r="K90" s="86">
        <v>2.2000000000000001E-3</v>
      </c>
      <c r="L90" s="86">
        <v>0</v>
      </c>
      <c r="M90" s="86">
        <v>0</v>
      </c>
      <c r="N90" s="87">
        <v>2.1160000000000002E-2</v>
      </c>
      <c r="O90" s="86">
        <f>SUM(I90:M90)</f>
        <v>0.11685161290322581</v>
      </c>
      <c r="P90" s="88">
        <v>65027</v>
      </c>
      <c r="Q90" s="84">
        <v>131</v>
      </c>
      <c r="R90" s="43" t="s">
        <v>54</v>
      </c>
      <c r="S90" s="89">
        <f>I90*'Ces Wholesale'!I$1*Q90</f>
        <v>411.995</v>
      </c>
      <c r="T90" s="89"/>
      <c r="U90" s="83">
        <v>140441</v>
      </c>
      <c r="V90" s="43" t="s">
        <v>53</v>
      </c>
      <c r="W90" s="90"/>
      <c r="X90" s="90"/>
    </row>
    <row r="91" spans="1:24" s="47" customFormat="1" x14ac:dyDescent="0.2">
      <c r="A91" s="43" t="s">
        <v>150</v>
      </c>
      <c r="B91" s="84" t="s">
        <v>46</v>
      </c>
      <c r="C91" s="84" t="s">
        <v>78</v>
      </c>
      <c r="D91" s="85">
        <v>36495</v>
      </c>
      <c r="E91" s="85">
        <v>36860</v>
      </c>
      <c r="F91" s="43" t="s">
        <v>47</v>
      </c>
      <c r="G91" s="43" t="s">
        <v>34</v>
      </c>
      <c r="H91" s="84" t="s">
        <v>207</v>
      </c>
      <c r="I91" s="67">
        <f>3.145/I$1</f>
        <v>0.10145161290322581</v>
      </c>
      <c r="J91" s="86">
        <v>1.32E-2</v>
      </c>
      <c r="K91" s="86">
        <v>2.2000000000000001E-3</v>
      </c>
      <c r="L91" s="86">
        <v>0</v>
      </c>
      <c r="M91" s="86">
        <v>0</v>
      </c>
      <c r="N91" s="87">
        <v>2.1160000000000002E-2</v>
      </c>
      <c r="O91" s="86">
        <f>SUM(I91:M91)</f>
        <v>0.11685161290322581</v>
      </c>
      <c r="P91" s="88">
        <v>65557</v>
      </c>
      <c r="Q91" s="84">
        <v>3</v>
      </c>
      <c r="R91" s="43"/>
      <c r="S91" s="89">
        <f>I91*I$1*Q91</f>
        <v>9.4350000000000005</v>
      </c>
      <c r="T91" s="89"/>
      <c r="U91" s="83">
        <v>140483</v>
      </c>
      <c r="V91" s="43"/>
      <c r="W91" s="90"/>
      <c r="X91" s="90"/>
    </row>
    <row r="92" spans="1:24" s="82" customFormat="1" x14ac:dyDescent="0.2">
      <c r="A92" s="44" t="s">
        <v>150</v>
      </c>
      <c r="B92" s="75" t="s">
        <v>46</v>
      </c>
      <c r="C92" s="75" t="s">
        <v>194</v>
      </c>
      <c r="D92" s="76">
        <v>36495</v>
      </c>
      <c r="E92" s="76">
        <v>36525</v>
      </c>
      <c r="F92" s="44"/>
      <c r="G92" s="44"/>
      <c r="H92" s="75" t="s">
        <v>209</v>
      </c>
      <c r="I92" s="77">
        <v>0</v>
      </c>
      <c r="J92" s="66">
        <v>0</v>
      </c>
      <c r="K92" s="66">
        <v>2.2000000000000001E-3</v>
      </c>
      <c r="L92" s="66">
        <v>7.1999999999999998E-3</v>
      </c>
      <c r="M92" s="66">
        <v>0</v>
      </c>
      <c r="N92" s="65">
        <v>0</v>
      </c>
      <c r="O92" s="66">
        <f>SUM(I92:M92)</f>
        <v>9.4000000000000004E-3</v>
      </c>
      <c r="P92" s="78"/>
      <c r="Q92" s="75">
        <v>185</v>
      </c>
      <c r="R92" s="44"/>
      <c r="S92" s="79">
        <f>I92*I$1*Q92</f>
        <v>0</v>
      </c>
      <c r="T92" s="79"/>
      <c r="U92" s="80"/>
      <c r="V92" s="44"/>
      <c r="W92" s="81"/>
      <c r="X92" s="81"/>
    </row>
    <row r="93" spans="1:24" s="82" customFormat="1" x14ac:dyDescent="0.2">
      <c r="A93" s="44" t="s">
        <v>150</v>
      </c>
      <c r="B93" s="75" t="s">
        <v>46</v>
      </c>
      <c r="C93" s="75" t="s">
        <v>194</v>
      </c>
      <c r="D93" s="76">
        <v>36495</v>
      </c>
      <c r="E93" s="76">
        <v>36525</v>
      </c>
      <c r="F93" s="44"/>
      <c r="G93" s="44"/>
      <c r="H93" s="75" t="s">
        <v>207</v>
      </c>
      <c r="I93" s="77">
        <v>0</v>
      </c>
      <c r="J93" s="66">
        <v>0</v>
      </c>
      <c r="K93" s="66">
        <v>2.2000000000000001E-3</v>
      </c>
      <c r="L93" s="66">
        <v>7.1999999999999998E-3</v>
      </c>
      <c r="M93" s="66">
        <v>0</v>
      </c>
      <c r="N93" s="65">
        <v>0</v>
      </c>
      <c r="O93" s="66">
        <f>SUM(I93:M93)</f>
        <v>9.4000000000000004E-3</v>
      </c>
      <c r="P93" s="78"/>
      <c r="Q93" s="75">
        <v>180</v>
      </c>
      <c r="R93" s="44"/>
      <c r="S93" s="79">
        <f>I93*I$1*Q93</f>
        <v>0</v>
      </c>
      <c r="T93" s="79"/>
      <c r="U93" s="80"/>
      <c r="V93" s="44"/>
      <c r="W93" s="81"/>
      <c r="X93" s="81"/>
    </row>
    <row r="94" spans="1:24" x14ac:dyDescent="0.2">
      <c r="A94" s="1"/>
      <c r="B94" s="3"/>
      <c r="C94" s="3"/>
      <c r="D94" s="4"/>
      <c r="E94" s="4"/>
      <c r="F94" s="1"/>
      <c r="G94" s="1"/>
      <c r="H94" s="3"/>
      <c r="I94" s="8"/>
      <c r="J94" s="5"/>
      <c r="K94" s="24"/>
      <c r="L94" s="5"/>
      <c r="M94" s="5"/>
      <c r="N94" s="48"/>
      <c r="O94" s="5"/>
      <c r="P94" s="25"/>
      <c r="Q94" s="2">
        <f>SUM(Q76:Q93)</f>
        <v>2145</v>
      </c>
      <c r="R94" s="3"/>
      <c r="S94" s="9"/>
      <c r="T94" s="9"/>
      <c r="U94" s="73"/>
      <c r="V94" s="1"/>
      <c r="W94" s="37"/>
      <c r="X94" s="37"/>
    </row>
    <row r="95" spans="1:24" x14ac:dyDescent="0.2">
      <c r="A95" s="17" t="s">
        <v>4</v>
      </c>
      <c r="B95" s="18" t="s">
        <v>5</v>
      </c>
      <c r="C95" s="18" t="s">
        <v>6</v>
      </c>
      <c r="D95" s="19" t="s">
        <v>7</v>
      </c>
      <c r="E95" s="19"/>
      <c r="F95" s="17" t="s">
        <v>8</v>
      </c>
      <c r="G95" s="17" t="s">
        <v>9</v>
      </c>
      <c r="H95" s="18" t="s">
        <v>91</v>
      </c>
      <c r="I95" s="20" t="s">
        <v>11</v>
      </c>
      <c r="J95" s="18" t="s">
        <v>12</v>
      </c>
      <c r="K95" s="18" t="s">
        <v>13</v>
      </c>
      <c r="L95" s="18" t="s">
        <v>14</v>
      </c>
      <c r="M95" s="18" t="s">
        <v>15</v>
      </c>
      <c r="N95" s="49" t="s">
        <v>16</v>
      </c>
      <c r="O95" s="18" t="s">
        <v>17</v>
      </c>
      <c r="P95" s="21" t="s">
        <v>18</v>
      </c>
      <c r="Q95" s="18" t="s">
        <v>19</v>
      </c>
      <c r="R95" s="17" t="s">
        <v>20</v>
      </c>
      <c r="S95" s="22" t="s">
        <v>86</v>
      </c>
      <c r="T95" s="22" t="s">
        <v>85</v>
      </c>
      <c r="U95" s="70" t="s">
        <v>37</v>
      </c>
      <c r="V95" s="99">
        <f>+V63</f>
        <v>0</v>
      </c>
      <c r="W95" s="37"/>
      <c r="X95" s="37"/>
    </row>
    <row r="96" spans="1:24" s="47" customFormat="1" x14ac:dyDescent="0.2">
      <c r="A96" s="43" t="s">
        <v>150</v>
      </c>
      <c r="B96" s="84" t="s">
        <v>2</v>
      </c>
      <c r="C96" s="84" t="s">
        <v>194</v>
      </c>
      <c r="D96" s="85">
        <v>36465</v>
      </c>
      <c r="E96" s="85">
        <v>36677</v>
      </c>
      <c r="F96" s="95" t="s">
        <v>195</v>
      </c>
      <c r="G96" s="95" t="s">
        <v>196</v>
      </c>
      <c r="H96" s="84" t="s">
        <v>197</v>
      </c>
      <c r="I96" s="67">
        <v>0</v>
      </c>
      <c r="J96" s="86">
        <v>0</v>
      </c>
      <c r="K96" s="86">
        <v>2.2000000000000001E-3</v>
      </c>
      <c r="L96" s="86">
        <v>7.1999999999999998E-3</v>
      </c>
      <c r="M96" s="86">
        <v>0</v>
      </c>
      <c r="N96" s="87">
        <v>0</v>
      </c>
      <c r="O96" s="86">
        <f>SUM(I96:M96)</f>
        <v>9.4000000000000004E-3</v>
      </c>
      <c r="P96" s="88">
        <v>31372</v>
      </c>
      <c r="Q96" s="84">
        <v>431</v>
      </c>
      <c r="R96" s="43" t="s">
        <v>32</v>
      </c>
      <c r="S96" s="89">
        <f>I96*I$1*Q96</f>
        <v>0</v>
      </c>
      <c r="T96" s="89"/>
      <c r="U96" s="83">
        <v>142813</v>
      </c>
      <c r="V96" s="43"/>
      <c r="W96" s="90"/>
      <c r="X96" s="90"/>
    </row>
    <row r="97" spans="1:24" s="47" customFormat="1" x14ac:dyDescent="0.2">
      <c r="A97" s="43" t="s">
        <v>150</v>
      </c>
      <c r="B97" s="84" t="s">
        <v>2</v>
      </c>
      <c r="C97" s="84" t="s">
        <v>146</v>
      </c>
      <c r="D97" s="85">
        <v>36465</v>
      </c>
      <c r="E97" s="85">
        <v>36677</v>
      </c>
      <c r="F97" s="95" t="s">
        <v>199</v>
      </c>
      <c r="G97" s="95" t="s">
        <v>198</v>
      </c>
      <c r="H97" s="84" t="s">
        <v>197</v>
      </c>
      <c r="I97" s="67">
        <v>0</v>
      </c>
      <c r="J97" s="86">
        <v>0</v>
      </c>
      <c r="K97" s="86">
        <v>2.2000000000000001E-3</v>
      </c>
      <c r="L97" s="86">
        <v>7.1999999999999998E-3</v>
      </c>
      <c r="M97" s="86">
        <v>0</v>
      </c>
      <c r="N97" s="87">
        <v>0</v>
      </c>
      <c r="O97" s="86">
        <f>SUM(I97:M97)</f>
        <v>9.4000000000000004E-3</v>
      </c>
      <c r="P97" s="88">
        <v>34533</v>
      </c>
      <c r="Q97" s="84">
        <v>48</v>
      </c>
      <c r="R97" s="43" t="s">
        <v>32</v>
      </c>
      <c r="S97" s="89">
        <f>I97*I$1*Q97</f>
        <v>0</v>
      </c>
      <c r="T97" s="89"/>
      <c r="U97" s="83">
        <v>142814</v>
      </c>
      <c r="V97" s="43"/>
      <c r="W97" s="90"/>
      <c r="X97" s="90"/>
    </row>
    <row r="98" spans="1:24" s="82" customFormat="1" x14ac:dyDescent="0.2">
      <c r="A98" s="44" t="s">
        <v>150</v>
      </c>
      <c r="B98" s="75" t="s">
        <v>2</v>
      </c>
      <c r="C98" s="75" t="s">
        <v>200</v>
      </c>
      <c r="D98" s="76">
        <v>36526</v>
      </c>
      <c r="E98" s="76">
        <v>36556</v>
      </c>
      <c r="F98" s="44" t="s">
        <v>201</v>
      </c>
      <c r="G98" s="98" t="s">
        <v>202</v>
      </c>
      <c r="H98" s="75" t="s">
        <v>197</v>
      </c>
      <c r="I98" s="77">
        <v>0</v>
      </c>
      <c r="J98" s="66">
        <v>0</v>
      </c>
      <c r="K98" s="66">
        <v>2.2000000000000001E-3</v>
      </c>
      <c r="L98" s="66">
        <v>7.1999999999999998E-3</v>
      </c>
      <c r="M98" s="66">
        <v>0</v>
      </c>
      <c r="N98" s="65">
        <v>0</v>
      </c>
      <c r="O98" s="66">
        <f>SUM(I98:M98)</f>
        <v>9.4000000000000004E-3</v>
      </c>
      <c r="P98" s="78" t="s">
        <v>203</v>
      </c>
      <c r="Q98" s="75">
        <v>3688</v>
      </c>
      <c r="R98" s="44" t="s">
        <v>32</v>
      </c>
      <c r="S98" s="79">
        <f>I98*I$1*Q98</f>
        <v>0</v>
      </c>
      <c r="T98" s="79"/>
      <c r="U98" s="80"/>
      <c r="V98" s="44" t="s">
        <v>204</v>
      </c>
      <c r="W98" s="81"/>
      <c r="X98" s="81"/>
    </row>
    <row r="99" spans="1:24" s="82" customFormat="1" x14ac:dyDescent="0.2">
      <c r="A99" s="44" t="s">
        <v>150</v>
      </c>
      <c r="B99" s="75" t="s">
        <v>2</v>
      </c>
      <c r="C99" s="75" t="s">
        <v>200</v>
      </c>
      <c r="D99" s="76">
        <v>36526</v>
      </c>
      <c r="E99" s="76">
        <v>36556</v>
      </c>
      <c r="F99" s="98" t="s">
        <v>205</v>
      </c>
      <c r="G99" s="98" t="s">
        <v>206</v>
      </c>
      <c r="H99" s="75" t="s">
        <v>197</v>
      </c>
      <c r="I99" s="77">
        <v>0</v>
      </c>
      <c r="J99" s="66">
        <v>0</v>
      </c>
      <c r="K99" s="66">
        <v>2.2000000000000001E-3</v>
      </c>
      <c r="L99" s="66">
        <v>7.1999999999999998E-3</v>
      </c>
      <c r="M99" s="66">
        <v>0</v>
      </c>
      <c r="N99" s="65">
        <v>0</v>
      </c>
      <c r="O99" s="66">
        <f>SUM(I99:M99)</f>
        <v>9.4000000000000004E-3</v>
      </c>
      <c r="P99" s="78" t="s">
        <v>203</v>
      </c>
      <c r="Q99" s="75">
        <v>802</v>
      </c>
      <c r="R99" s="44" t="s">
        <v>32</v>
      </c>
      <c r="S99" s="79">
        <f>I99*I$1*Q99</f>
        <v>0</v>
      </c>
      <c r="T99" s="79"/>
      <c r="U99" s="80"/>
      <c r="V99" s="44" t="s">
        <v>204</v>
      </c>
      <c r="W99" s="81"/>
      <c r="X99" s="81"/>
    </row>
    <row r="100" spans="1:24" x14ac:dyDescent="0.2">
      <c r="A100" s="1"/>
      <c r="B100" s="3"/>
      <c r="C100" s="3"/>
      <c r="D100" s="4"/>
      <c r="E100" s="4"/>
      <c r="F100" s="1"/>
      <c r="G100" s="1"/>
      <c r="H100" s="3"/>
      <c r="I100" s="8"/>
      <c r="J100" s="5"/>
      <c r="K100" s="24"/>
      <c r="L100" s="5"/>
      <c r="M100" s="5"/>
      <c r="N100" s="48"/>
      <c r="O100" s="5"/>
      <c r="P100" s="25"/>
      <c r="Q100" s="2"/>
      <c r="R100" s="3"/>
      <c r="S100" s="9"/>
      <c r="T100" s="9"/>
      <c r="U100" s="73"/>
      <c r="V100" s="1"/>
      <c r="W100" s="37"/>
      <c r="X100" s="37"/>
    </row>
    <row r="101" spans="1:24" x14ac:dyDescent="0.2">
      <c r="A101" s="1"/>
      <c r="B101" s="3"/>
      <c r="C101" s="3"/>
      <c r="D101" s="4"/>
      <c r="E101" s="4"/>
      <c r="F101" s="1"/>
      <c r="G101" s="1"/>
      <c r="H101" s="3"/>
      <c r="I101" s="8"/>
      <c r="J101" s="5"/>
      <c r="K101" s="24"/>
      <c r="L101" s="5"/>
      <c r="M101" s="5"/>
      <c r="N101" s="51"/>
      <c r="O101" s="5"/>
      <c r="P101" s="25"/>
      <c r="Q101" s="3"/>
      <c r="R101" s="3"/>
      <c r="V101" s="30"/>
      <c r="W101" s="38"/>
      <c r="X101" s="38"/>
    </row>
    <row r="102" spans="1:24" x14ac:dyDescent="0.2">
      <c r="A102" s="17" t="s">
        <v>4</v>
      </c>
      <c r="B102" s="18" t="s">
        <v>5</v>
      </c>
      <c r="C102" s="18" t="s">
        <v>6</v>
      </c>
      <c r="D102" s="19" t="s">
        <v>7</v>
      </c>
      <c r="E102" s="19"/>
      <c r="F102" s="17" t="s">
        <v>8</v>
      </c>
      <c r="G102" s="17" t="s">
        <v>9</v>
      </c>
      <c r="H102" s="18" t="s">
        <v>91</v>
      </c>
      <c r="I102" s="20" t="s">
        <v>11</v>
      </c>
      <c r="J102" s="18" t="s">
        <v>12</v>
      </c>
      <c r="K102" s="18" t="s">
        <v>13</v>
      </c>
      <c r="L102" s="18" t="s">
        <v>14</v>
      </c>
      <c r="M102" s="18" t="s">
        <v>15</v>
      </c>
      <c r="N102" s="49" t="s">
        <v>16</v>
      </c>
      <c r="O102" s="18" t="s">
        <v>17</v>
      </c>
      <c r="P102" s="21" t="s">
        <v>18</v>
      </c>
      <c r="Q102" s="18" t="s">
        <v>19</v>
      </c>
      <c r="R102" s="17" t="s">
        <v>20</v>
      </c>
      <c r="S102" s="22" t="s">
        <v>86</v>
      </c>
      <c r="T102" s="22" t="s">
        <v>85</v>
      </c>
      <c r="U102" s="70" t="s">
        <v>37</v>
      </c>
      <c r="V102" s="99">
        <f>+V70</f>
        <v>0</v>
      </c>
      <c r="W102" s="37"/>
      <c r="X102" s="37"/>
    </row>
    <row r="103" spans="1:24" s="47" customFormat="1" x14ac:dyDescent="0.2">
      <c r="A103" s="43" t="s">
        <v>150</v>
      </c>
      <c r="B103" s="84" t="s">
        <v>28</v>
      </c>
      <c r="C103" s="84" t="s">
        <v>210</v>
      </c>
      <c r="D103" s="85">
        <v>35977</v>
      </c>
      <c r="E103" s="85">
        <v>41029</v>
      </c>
      <c r="F103" s="43" t="s">
        <v>211</v>
      </c>
      <c r="G103" s="43" t="s">
        <v>212</v>
      </c>
      <c r="H103" s="84" t="s">
        <v>25</v>
      </c>
      <c r="I103" s="67">
        <v>0</v>
      </c>
      <c r="J103" s="86">
        <v>0</v>
      </c>
      <c r="K103" s="86">
        <v>2.2000000000000001E-3</v>
      </c>
      <c r="L103" s="86">
        <v>0</v>
      </c>
      <c r="M103" s="86">
        <v>0</v>
      </c>
      <c r="N103" s="87">
        <v>0</v>
      </c>
      <c r="O103" s="86">
        <f t="shared" ref="O103:O112" si="12">SUM(I103:M103)</f>
        <v>2.2000000000000001E-3</v>
      </c>
      <c r="P103" s="88">
        <v>886677</v>
      </c>
      <c r="Q103" s="84">
        <v>49</v>
      </c>
      <c r="R103" s="43"/>
      <c r="S103" s="89">
        <f t="shared" ref="S103:S112" si="13">I103*I$1*Q103</f>
        <v>0</v>
      </c>
      <c r="T103" s="89"/>
      <c r="U103" s="83">
        <v>143309</v>
      </c>
      <c r="V103" s="43"/>
      <c r="W103" s="90"/>
      <c r="X103" s="90"/>
    </row>
    <row r="104" spans="1:24" s="47" customFormat="1" x14ac:dyDescent="0.2">
      <c r="A104" s="43" t="s">
        <v>150</v>
      </c>
      <c r="B104" s="84" t="s">
        <v>28</v>
      </c>
      <c r="C104" s="84" t="s">
        <v>210</v>
      </c>
      <c r="D104" s="85">
        <v>36130</v>
      </c>
      <c r="E104" s="85">
        <v>41029</v>
      </c>
      <c r="F104" s="43" t="s">
        <v>211</v>
      </c>
      <c r="G104" s="43" t="s">
        <v>212</v>
      </c>
      <c r="H104" s="84" t="s">
        <v>25</v>
      </c>
      <c r="I104" s="67">
        <v>0</v>
      </c>
      <c r="J104" s="86">
        <v>0</v>
      </c>
      <c r="K104" s="86">
        <v>2.2000000000000001E-3</v>
      </c>
      <c r="L104" s="86">
        <v>0</v>
      </c>
      <c r="M104" s="86">
        <v>0</v>
      </c>
      <c r="N104" s="87">
        <v>0</v>
      </c>
      <c r="O104" s="86">
        <f t="shared" si="12"/>
        <v>2.2000000000000001E-3</v>
      </c>
      <c r="P104" s="88">
        <v>887978</v>
      </c>
      <c r="Q104" s="84">
        <v>9</v>
      </c>
      <c r="R104" s="43"/>
      <c r="S104" s="89">
        <f t="shared" si="13"/>
        <v>0</v>
      </c>
      <c r="T104" s="89"/>
      <c r="U104" s="83">
        <v>143310</v>
      </c>
      <c r="V104" s="43"/>
      <c r="W104" s="90"/>
      <c r="X104" s="90"/>
    </row>
    <row r="105" spans="1:24" s="47" customFormat="1" x14ac:dyDescent="0.2">
      <c r="A105" s="43" t="s">
        <v>150</v>
      </c>
      <c r="B105" s="84" t="s">
        <v>28</v>
      </c>
      <c r="C105" s="84" t="s">
        <v>210</v>
      </c>
      <c r="D105" s="85">
        <v>36220</v>
      </c>
      <c r="E105" s="85">
        <v>41029</v>
      </c>
      <c r="F105" s="43" t="s">
        <v>211</v>
      </c>
      <c r="G105" s="43" t="s">
        <v>213</v>
      </c>
      <c r="H105" s="84" t="s">
        <v>25</v>
      </c>
      <c r="I105" s="67">
        <v>0</v>
      </c>
      <c r="J105" s="86">
        <v>0</v>
      </c>
      <c r="K105" s="86">
        <v>2.2000000000000001E-3</v>
      </c>
      <c r="L105" s="86">
        <v>0</v>
      </c>
      <c r="M105" s="86">
        <v>0</v>
      </c>
      <c r="N105" s="87">
        <v>0</v>
      </c>
      <c r="O105" s="86">
        <f t="shared" si="12"/>
        <v>2.2000000000000001E-3</v>
      </c>
      <c r="P105" s="88">
        <v>888786</v>
      </c>
      <c r="Q105" s="84">
        <v>16</v>
      </c>
      <c r="R105" s="43"/>
      <c r="S105" s="89">
        <f t="shared" si="13"/>
        <v>0</v>
      </c>
      <c r="T105" s="89"/>
      <c r="U105" s="83">
        <v>143311</v>
      </c>
      <c r="V105" s="43"/>
      <c r="W105" s="90"/>
      <c r="X105" s="90"/>
    </row>
    <row r="106" spans="1:24" s="47" customFormat="1" x14ac:dyDescent="0.2">
      <c r="A106" s="43" t="s">
        <v>150</v>
      </c>
      <c r="B106" s="84" t="s">
        <v>28</v>
      </c>
      <c r="C106" s="84" t="s">
        <v>210</v>
      </c>
      <c r="D106" s="85">
        <v>36465</v>
      </c>
      <c r="E106" s="85">
        <v>39021</v>
      </c>
      <c r="F106" s="43" t="s">
        <v>24</v>
      </c>
      <c r="G106" s="43" t="s">
        <v>27</v>
      </c>
      <c r="H106" s="84" t="s">
        <v>25</v>
      </c>
      <c r="I106" s="67">
        <v>0</v>
      </c>
      <c r="J106" s="86">
        <v>0</v>
      </c>
      <c r="K106" s="86">
        <v>2.2000000000000001E-3</v>
      </c>
      <c r="L106" s="86">
        <v>0</v>
      </c>
      <c r="M106" s="86">
        <v>0</v>
      </c>
      <c r="N106" s="87">
        <v>0</v>
      </c>
      <c r="O106" s="86">
        <f t="shared" si="12"/>
        <v>2.2000000000000001E-3</v>
      </c>
      <c r="P106" s="88">
        <v>892066</v>
      </c>
      <c r="Q106" s="84">
        <v>139</v>
      </c>
      <c r="R106" s="43"/>
      <c r="S106" s="89">
        <f t="shared" si="13"/>
        <v>0</v>
      </c>
      <c r="T106" s="89"/>
      <c r="U106" s="83">
        <v>143315</v>
      </c>
      <c r="V106" s="43"/>
      <c r="W106" s="90"/>
      <c r="X106" s="90"/>
    </row>
    <row r="107" spans="1:24" s="47" customFormat="1" x14ac:dyDescent="0.2">
      <c r="A107" s="43" t="s">
        <v>150</v>
      </c>
      <c r="B107" s="84" t="s">
        <v>28</v>
      </c>
      <c r="C107" s="84" t="s">
        <v>210</v>
      </c>
      <c r="D107" s="85">
        <v>36465</v>
      </c>
      <c r="E107" s="85">
        <v>36830</v>
      </c>
      <c r="F107" s="43" t="s">
        <v>33</v>
      </c>
      <c r="G107" s="43" t="s">
        <v>27</v>
      </c>
      <c r="H107" s="84" t="s">
        <v>26</v>
      </c>
      <c r="I107" s="67">
        <v>0</v>
      </c>
      <c r="J107" s="86">
        <v>0</v>
      </c>
      <c r="K107" s="86">
        <v>2.2000000000000001E-3</v>
      </c>
      <c r="L107" s="86">
        <v>0</v>
      </c>
      <c r="M107" s="86">
        <v>0</v>
      </c>
      <c r="N107" s="87">
        <v>0</v>
      </c>
      <c r="O107" s="86">
        <f t="shared" si="12"/>
        <v>2.2000000000000001E-3</v>
      </c>
      <c r="P107" s="88">
        <v>892069</v>
      </c>
      <c r="Q107" s="84">
        <v>11</v>
      </c>
      <c r="R107" s="43"/>
      <c r="S107" s="89">
        <f t="shared" si="13"/>
        <v>0</v>
      </c>
      <c r="T107" s="89"/>
      <c r="U107" s="83">
        <v>143316</v>
      </c>
      <c r="V107" s="43"/>
      <c r="W107" s="90"/>
      <c r="X107" s="90"/>
    </row>
    <row r="108" spans="1:24" s="47" customFormat="1" x14ac:dyDescent="0.2">
      <c r="A108" s="43" t="s">
        <v>150</v>
      </c>
      <c r="B108" s="84" t="s">
        <v>28</v>
      </c>
      <c r="C108" s="84" t="s">
        <v>210</v>
      </c>
      <c r="D108" s="85">
        <v>36465</v>
      </c>
      <c r="E108" s="85">
        <v>37560</v>
      </c>
      <c r="F108" s="43" t="s">
        <v>24</v>
      </c>
      <c r="G108" s="43" t="s">
        <v>33</v>
      </c>
      <c r="H108" s="84" t="s">
        <v>25</v>
      </c>
      <c r="I108" s="67">
        <v>0</v>
      </c>
      <c r="J108" s="86">
        <v>0</v>
      </c>
      <c r="K108" s="86">
        <v>2.2000000000000001E-3</v>
      </c>
      <c r="L108" s="86">
        <v>0</v>
      </c>
      <c r="M108" s="86">
        <v>0</v>
      </c>
      <c r="N108" s="87">
        <v>0</v>
      </c>
      <c r="O108" s="86">
        <f t="shared" si="12"/>
        <v>2.2000000000000001E-3</v>
      </c>
      <c r="P108" s="88">
        <v>892084</v>
      </c>
      <c r="Q108" s="84">
        <v>18</v>
      </c>
      <c r="R108" s="43"/>
      <c r="S108" s="89">
        <f t="shared" si="13"/>
        <v>0</v>
      </c>
      <c r="T108" s="89"/>
      <c r="U108" s="83">
        <v>143318</v>
      </c>
      <c r="V108" s="43"/>
      <c r="W108" s="90"/>
      <c r="X108" s="90"/>
    </row>
    <row r="109" spans="1:24" s="47" customFormat="1" x14ac:dyDescent="0.2">
      <c r="A109" s="43" t="s">
        <v>150</v>
      </c>
      <c r="B109" s="84" t="s">
        <v>28</v>
      </c>
      <c r="C109" s="84" t="s">
        <v>210</v>
      </c>
      <c r="D109" s="85">
        <v>36465</v>
      </c>
      <c r="E109" s="85">
        <v>39021</v>
      </c>
      <c r="F109" s="43" t="s">
        <v>24</v>
      </c>
      <c r="G109" s="43" t="s">
        <v>27</v>
      </c>
      <c r="H109" s="84" t="s">
        <v>25</v>
      </c>
      <c r="I109" s="67">
        <v>0</v>
      </c>
      <c r="J109" s="86">
        <v>0</v>
      </c>
      <c r="K109" s="86">
        <v>2.2000000000000001E-3</v>
      </c>
      <c r="L109" s="86">
        <v>0</v>
      </c>
      <c r="M109" s="86">
        <v>0</v>
      </c>
      <c r="N109" s="87">
        <v>0</v>
      </c>
      <c r="O109" s="86">
        <f>SUM(I109:M109)</f>
        <v>2.2000000000000001E-3</v>
      </c>
      <c r="P109" s="88">
        <v>892085</v>
      </c>
      <c r="Q109" s="84">
        <v>167</v>
      </c>
      <c r="R109" s="43"/>
      <c r="S109" s="89">
        <f>I109*I$1*Q109</f>
        <v>0</v>
      </c>
      <c r="T109" s="89"/>
      <c r="U109" s="83">
        <v>143319</v>
      </c>
      <c r="V109" s="43"/>
      <c r="W109" s="90"/>
      <c r="X109" s="90"/>
    </row>
    <row r="110" spans="1:24" s="47" customFormat="1" x14ac:dyDescent="0.2">
      <c r="A110" s="43" t="s">
        <v>150</v>
      </c>
      <c r="B110" s="84" t="s">
        <v>28</v>
      </c>
      <c r="C110" s="84" t="s">
        <v>210</v>
      </c>
      <c r="D110" s="85">
        <v>36495</v>
      </c>
      <c r="E110" s="85">
        <v>39021</v>
      </c>
      <c r="F110" s="43" t="s">
        <v>24</v>
      </c>
      <c r="G110" s="43" t="s">
        <v>27</v>
      </c>
      <c r="H110" s="84" t="s">
        <v>26</v>
      </c>
      <c r="I110" s="67">
        <v>0</v>
      </c>
      <c r="J110" s="86">
        <v>0</v>
      </c>
      <c r="K110" s="86">
        <v>2.2000000000000001E-3</v>
      </c>
      <c r="L110" s="86">
        <v>0</v>
      </c>
      <c r="M110" s="86">
        <v>0</v>
      </c>
      <c r="N110" s="87">
        <v>0</v>
      </c>
      <c r="O110" s="86">
        <f t="shared" si="12"/>
        <v>2.2000000000000001E-3</v>
      </c>
      <c r="P110" s="88">
        <v>892214</v>
      </c>
      <c r="Q110" s="84">
        <v>114</v>
      </c>
      <c r="R110" s="43"/>
      <c r="S110" s="89">
        <f t="shared" si="13"/>
        <v>0</v>
      </c>
      <c r="T110" s="89"/>
      <c r="U110" s="83">
        <v>143321</v>
      </c>
      <c r="V110" s="43"/>
      <c r="W110" s="90"/>
      <c r="X110" s="90"/>
    </row>
    <row r="111" spans="1:24" s="47" customFormat="1" x14ac:dyDescent="0.2">
      <c r="A111" s="43" t="s">
        <v>150</v>
      </c>
      <c r="B111" s="84" t="s">
        <v>28</v>
      </c>
      <c r="C111" s="84" t="s">
        <v>210</v>
      </c>
      <c r="D111" s="85">
        <v>36465</v>
      </c>
      <c r="E111" s="85">
        <v>41394</v>
      </c>
      <c r="F111" s="43" t="s">
        <v>214</v>
      </c>
      <c r="G111" s="43" t="s">
        <v>0</v>
      </c>
      <c r="H111" s="84" t="s">
        <v>214</v>
      </c>
      <c r="I111" s="67">
        <v>0</v>
      </c>
      <c r="J111" s="86">
        <v>0</v>
      </c>
      <c r="K111" s="86">
        <v>2.2000000000000001E-3</v>
      </c>
      <c r="L111" s="86">
        <v>0</v>
      </c>
      <c r="M111" s="86">
        <v>0</v>
      </c>
      <c r="N111" s="87">
        <v>0</v>
      </c>
      <c r="O111" s="86">
        <f>SUM(I111:M111)</f>
        <v>2.2000000000000001E-3</v>
      </c>
      <c r="P111" s="88">
        <v>892102</v>
      </c>
      <c r="Q111" s="84">
        <v>170</v>
      </c>
      <c r="R111" s="43" t="s">
        <v>215</v>
      </c>
      <c r="S111" s="89">
        <f>I111*I$1*Q111</f>
        <v>0</v>
      </c>
      <c r="T111" s="89"/>
      <c r="U111" s="83">
        <v>143323</v>
      </c>
      <c r="V111" s="43"/>
      <c r="W111" s="90"/>
      <c r="X111" s="90"/>
    </row>
    <row r="112" spans="1:24" s="47" customFormat="1" x14ac:dyDescent="0.2">
      <c r="A112" s="43" t="s">
        <v>150</v>
      </c>
      <c r="B112" s="84" t="s">
        <v>28</v>
      </c>
      <c r="C112" s="84" t="s">
        <v>210</v>
      </c>
      <c r="D112" s="85">
        <v>36465</v>
      </c>
      <c r="E112" s="85">
        <v>41394</v>
      </c>
      <c r="F112" s="43" t="s">
        <v>214</v>
      </c>
      <c r="G112" s="43" t="s">
        <v>216</v>
      </c>
      <c r="H112" s="84" t="s">
        <v>214</v>
      </c>
      <c r="I112" s="67">
        <v>0</v>
      </c>
      <c r="J112" s="86">
        <v>0</v>
      </c>
      <c r="K112" s="86">
        <v>2.2000000000000001E-3</v>
      </c>
      <c r="L112" s="86">
        <v>0</v>
      </c>
      <c r="M112" s="86">
        <v>0</v>
      </c>
      <c r="N112" s="87">
        <v>0</v>
      </c>
      <c r="O112" s="86">
        <f t="shared" si="12"/>
        <v>2.2000000000000001E-3</v>
      </c>
      <c r="P112" s="88">
        <v>892102</v>
      </c>
      <c r="Q112" s="84">
        <v>12207</v>
      </c>
      <c r="R112" s="43" t="s">
        <v>215</v>
      </c>
      <c r="S112" s="89">
        <f t="shared" si="13"/>
        <v>0</v>
      </c>
      <c r="T112" s="89"/>
      <c r="U112" s="83">
        <v>143323</v>
      </c>
      <c r="V112" s="43"/>
      <c r="W112" s="90"/>
      <c r="X112" s="90"/>
    </row>
    <row r="113" spans="1:24" x14ac:dyDescent="0.2">
      <c r="A113" s="1"/>
      <c r="B113" s="3"/>
      <c r="C113" s="3"/>
      <c r="D113" s="4"/>
      <c r="E113" s="4"/>
      <c r="F113" s="1"/>
      <c r="G113" s="1"/>
      <c r="H113" s="3"/>
      <c r="I113" s="8"/>
      <c r="J113" s="5"/>
      <c r="K113" s="24"/>
      <c r="L113" s="5"/>
      <c r="M113" s="5"/>
      <c r="N113" s="48"/>
      <c r="O113" s="5"/>
      <c r="P113" s="25"/>
      <c r="Q113" s="2">
        <f>SUM(Q103:Q112)</f>
        <v>12900</v>
      </c>
      <c r="R113" s="3"/>
      <c r="S113" s="9"/>
      <c r="T113" s="9"/>
      <c r="U113" s="73"/>
      <c r="V113" s="1"/>
      <c r="W113" s="37"/>
      <c r="X113" s="37"/>
    </row>
    <row r="114" spans="1:24" x14ac:dyDescent="0.2">
      <c r="A114" s="17" t="s">
        <v>4</v>
      </c>
      <c r="B114" s="18" t="s">
        <v>5</v>
      </c>
      <c r="C114" s="18" t="s">
        <v>6</v>
      </c>
      <c r="D114" s="19" t="s">
        <v>7</v>
      </c>
      <c r="E114" s="19"/>
      <c r="F114" s="17" t="s">
        <v>8</v>
      </c>
      <c r="G114" s="17" t="s">
        <v>9</v>
      </c>
      <c r="H114" s="18" t="s">
        <v>91</v>
      </c>
      <c r="I114" s="20" t="s">
        <v>11</v>
      </c>
      <c r="J114" s="18" t="s">
        <v>12</v>
      </c>
      <c r="K114" s="18" t="s">
        <v>13</v>
      </c>
      <c r="L114" s="18" t="s">
        <v>14</v>
      </c>
      <c r="M114" s="18" t="s">
        <v>15</v>
      </c>
      <c r="N114" s="49" t="s">
        <v>16</v>
      </c>
      <c r="O114" s="18" t="s">
        <v>17</v>
      </c>
      <c r="P114" s="21" t="s">
        <v>18</v>
      </c>
      <c r="Q114" s="18" t="s">
        <v>19</v>
      </c>
      <c r="R114" s="17" t="s">
        <v>20</v>
      </c>
      <c r="S114" s="22" t="s">
        <v>86</v>
      </c>
      <c r="T114" s="22" t="s">
        <v>85</v>
      </c>
      <c r="U114" s="70" t="s">
        <v>37</v>
      </c>
      <c r="V114" s="99">
        <f>+V82</f>
        <v>0</v>
      </c>
      <c r="W114" s="37"/>
      <c r="X114" s="37"/>
    </row>
    <row r="115" spans="1:24" s="47" customFormat="1" x14ac:dyDescent="0.2">
      <c r="A115" s="43" t="s">
        <v>150</v>
      </c>
      <c r="B115" s="84" t="s">
        <v>217</v>
      </c>
      <c r="C115" s="84" t="s">
        <v>210</v>
      </c>
      <c r="D115" s="85">
        <v>35977</v>
      </c>
      <c r="E115" s="85">
        <v>38657</v>
      </c>
      <c r="F115" s="43" t="s">
        <v>224</v>
      </c>
      <c r="G115" s="43" t="s">
        <v>218</v>
      </c>
      <c r="H115" s="84" t="s">
        <v>219</v>
      </c>
      <c r="I115" s="67">
        <v>0</v>
      </c>
      <c r="J115" s="86">
        <v>0</v>
      </c>
      <c r="K115" s="86">
        <v>2.2000000000000001E-3</v>
      </c>
      <c r="L115" s="86">
        <v>0</v>
      </c>
      <c r="M115" s="86">
        <v>0</v>
      </c>
      <c r="N115" s="87">
        <v>0</v>
      </c>
      <c r="O115" s="86">
        <f t="shared" ref="O115:O120" si="14">SUM(I115:M115)</f>
        <v>2.2000000000000001E-3</v>
      </c>
      <c r="P115" s="88" t="s">
        <v>221</v>
      </c>
      <c r="Q115" s="84">
        <v>16</v>
      </c>
      <c r="R115" s="43"/>
      <c r="S115" s="89">
        <f t="shared" ref="S115:S120" si="15">I115*I$1*Q115</f>
        <v>0</v>
      </c>
      <c r="T115" s="89"/>
      <c r="U115" s="83">
        <v>143324</v>
      </c>
      <c r="V115" s="43"/>
      <c r="W115" s="90"/>
      <c r="X115" s="90"/>
    </row>
    <row r="116" spans="1:24" s="47" customFormat="1" x14ac:dyDescent="0.2">
      <c r="A116" s="43" t="s">
        <v>150</v>
      </c>
      <c r="B116" s="84" t="s">
        <v>217</v>
      </c>
      <c r="C116" s="84" t="s">
        <v>210</v>
      </c>
      <c r="D116" s="85">
        <v>35977</v>
      </c>
      <c r="E116" s="85">
        <v>38657</v>
      </c>
      <c r="F116" s="43" t="s">
        <v>225</v>
      </c>
      <c r="G116" s="43" t="s">
        <v>218</v>
      </c>
      <c r="H116" s="84" t="s">
        <v>219</v>
      </c>
      <c r="I116" s="67">
        <v>0</v>
      </c>
      <c r="J116" s="86">
        <v>0</v>
      </c>
      <c r="K116" s="86">
        <v>2.2000000000000001E-3</v>
      </c>
      <c r="L116" s="86">
        <v>0</v>
      </c>
      <c r="M116" s="86">
        <v>0</v>
      </c>
      <c r="N116" s="87">
        <v>0</v>
      </c>
      <c r="O116" s="86">
        <f>SUM(I116:M116)</f>
        <v>2.2000000000000001E-3</v>
      </c>
      <c r="P116" s="88" t="s">
        <v>221</v>
      </c>
      <c r="Q116" s="84">
        <v>17</v>
      </c>
      <c r="R116" s="43"/>
      <c r="S116" s="89">
        <f>I116*I$1*Q116</f>
        <v>0</v>
      </c>
      <c r="T116" s="89"/>
      <c r="U116" s="83">
        <v>143324</v>
      </c>
      <c r="V116" s="43"/>
      <c r="W116" s="90"/>
      <c r="X116" s="90"/>
    </row>
    <row r="117" spans="1:24" s="47" customFormat="1" x14ac:dyDescent="0.2">
      <c r="A117" s="43" t="s">
        <v>150</v>
      </c>
      <c r="B117" s="84" t="s">
        <v>217</v>
      </c>
      <c r="C117" s="84" t="s">
        <v>210</v>
      </c>
      <c r="D117" s="85">
        <v>36161</v>
      </c>
      <c r="E117" s="85">
        <v>38657</v>
      </c>
      <c r="F117" s="43" t="s">
        <v>224</v>
      </c>
      <c r="G117" s="43" t="s">
        <v>218</v>
      </c>
      <c r="H117" s="84" t="s">
        <v>220</v>
      </c>
      <c r="I117" s="67">
        <v>0</v>
      </c>
      <c r="J117" s="86">
        <v>0</v>
      </c>
      <c r="K117" s="86">
        <v>2.2000000000000001E-3</v>
      </c>
      <c r="L117" s="86">
        <v>0</v>
      </c>
      <c r="M117" s="86">
        <v>0</v>
      </c>
      <c r="N117" s="87">
        <v>0</v>
      </c>
      <c r="O117" s="86">
        <f>SUM(I117:M117)</f>
        <v>2.2000000000000001E-3</v>
      </c>
      <c r="P117" s="88" t="s">
        <v>222</v>
      </c>
      <c r="Q117" s="84">
        <v>19</v>
      </c>
      <c r="R117" s="43"/>
      <c r="S117" s="89">
        <f>I117*I$1*Q117</f>
        <v>0</v>
      </c>
      <c r="T117" s="89"/>
      <c r="U117" s="83">
        <v>143326</v>
      </c>
      <c r="V117" s="43"/>
      <c r="W117" s="90"/>
      <c r="X117" s="90"/>
    </row>
    <row r="118" spans="1:24" s="47" customFormat="1" x14ac:dyDescent="0.2">
      <c r="A118" s="43" t="s">
        <v>150</v>
      </c>
      <c r="B118" s="84" t="s">
        <v>217</v>
      </c>
      <c r="C118" s="84" t="s">
        <v>210</v>
      </c>
      <c r="D118" s="85">
        <v>36161</v>
      </c>
      <c r="E118" s="85">
        <v>38657</v>
      </c>
      <c r="F118" s="43" t="s">
        <v>225</v>
      </c>
      <c r="G118" s="43" t="s">
        <v>218</v>
      </c>
      <c r="H118" s="84" t="s">
        <v>220</v>
      </c>
      <c r="I118" s="67">
        <v>0</v>
      </c>
      <c r="J118" s="86">
        <v>0</v>
      </c>
      <c r="K118" s="86">
        <v>2.2000000000000001E-3</v>
      </c>
      <c r="L118" s="86">
        <v>0</v>
      </c>
      <c r="M118" s="86">
        <v>0</v>
      </c>
      <c r="N118" s="87">
        <v>0</v>
      </c>
      <c r="O118" s="86">
        <f t="shared" si="14"/>
        <v>2.2000000000000001E-3</v>
      </c>
      <c r="P118" s="88" t="s">
        <v>222</v>
      </c>
      <c r="Q118" s="84">
        <v>17</v>
      </c>
      <c r="R118" s="43"/>
      <c r="S118" s="89">
        <f t="shared" si="15"/>
        <v>0</v>
      </c>
      <c r="T118" s="89"/>
      <c r="U118" s="83">
        <v>143326</v>
      </c>
      <c r="V118" s="43"/>
      <c r="W118" s="90"/>
      <c r="X118" s="90"/>
    </row>
    <row r="119" spans="1:24" s="47" customFormat="1" x14ac:dyDescent="0.2">
      <c r="A119" s="43" t="s">
        <v>150</v>
      </c>
      <c r="B119" s="84" t="s">
        <v>217</v>
      </c>
      <c r="C119" s="84" t="s">
        <v>210</v>
      </c>
      <c r="D119" s="85">
        <v>36220</v>
      </c>
      <c r="E119" s="85">
        <v>38656</v>
      </c>
      <c r="F119" s="43" t="s">
        <v>224</v>
      </c>
      <c r="G119" s="43" t="s">
        <v>218</v>
      </c>
      <c r="H119" s="84" t="s">
        <v>220</v>
      </c>
      <c r="I119" s="67">
        <v>0</v>
      </c>
      <c r="J119" s="86">
        <v>0</v>
      </c>
      <c r="K119" s="86">
        <v>2.2000000000000001E-3</v>
      </c>
      <c r="L119" s="86">
        <v>0</v>
      </c>
      <c r="M119" s="86">
        <v>0</v>
      </c>
      <c r="N119" s="87">
        <v>0</v>
      </c>
      <c r="O119" s="86">
        <f>SUM(I119:M119)</f>
        <v>2.2000000000000001E-3</v>
      </c>
      <c r="P119" s="88" t="s">
        <v>223</v>
      </c>
      <c r="Q119" s="84">
        <v>25</v>
      </c>
      <c r="R119" s="43"/>
      <c r="S119" s="89">
        <f>I119*I$1*Q119</f>
        <v>0</v>
      </c>
      <c r="T119" s="89"/>
      <c r="U119" s="83">
        <v>143327</v>
      </c>
      <c r="V119" s="43"/>
      <c r="W119" s="90"/>
      <c r="X119" s="90"/>
    </row>
    <row r="120" spans="1:24" s="47" customFormat="1" x14ac:dyDescent="0.2">
      <c r="A120" s="43" t="s">
        <v>150</v>
      </c>
      <c r="B120" s="84" t="s">
        <v>217</v>
      </c>
      <c r="C120" s="84" t="s">
        <v>210</v>
      </c>
      <c r="D120" s="85">
        <v>36220</v>
      </c>
      <c r="E120" s="85">
        <v>38656</v>
      </c>
      <c r="F120" s="43" t="s">
        <v>225</v>
      </c>
      <c r="G120" s="43" t="s">
        <v>218</v>
      </c>
      <c r="H120" s="84" t="s">
        <v>220</v>
      </c>
      <c r="I120" s="67">
        <v>0</v>
      </c>
      <c r="J120" s="86">
        <v>0</v>
      </c>
      <c r="K120" s="86">
        <v>2.2000000000000001E-3</v>
      </c>
      <c r="L120" s="86">
        <v>0</v>
      </c>
      <c r="M120" s="86">
        <v>0</v>
      </c>
      <c r="N120" s="87">
        <v>0</v>
      </c>
      <c r="O120" s="86">
        <f t="shared" si="14"/>
        <v>2.2000000000000001E-3</v>
      </c>
      <c r="P120" s="88" t="s">
        <v>223</v>
      </c>
      <c r="Q120" s="84">
        <v>21</v>
      </c>
      <c r="R120" s="43"/>
      <c r="S120" s="89">
        <f t="shared" si="15"/>
        <v>0</v>
      </c>
      <c r="T120" s="89"/>
      <c r="U120" s="83">
        <v>143327</v>
      </c>
      <c r="V120" s="43"/>
      <c r="W120" s="90"/>
      <c r="X120" s="90"/>
    </row>
    <row r="121" spans="1:24" x14ac:dyDescent="0.2">
      <c r="A121" s="1"/>
      <c r="B121" s="3"/>
      <c r="C121" s="3"/>
      <c r="D121" s="4" t="s">
        <v>3</v>
      </c>
      <c r="E121" s="4"/>
      <c r="F121" s="1"/>
      <c r="G121" s="1"/>
      <c r="H121" s="3"/>
      <c r="I121" s="8"/>
      <c r="J121" s="5"/>
      <c r="K121" s="24"/>
      <c r="L121" s="5"/>
      <c r="M121" s="5"/>
      <c r="N121" s="48"/>
      <c r="O121" s="5"/>
      <c r="P121" s="62"/>
      <c r="Q121" s="63">
        <f>SUM(Q115:Q120)</f>
        <v>115</v>
      </c>
      <c r="R121" s="41"/>
      <c r="S121" s="40"/>
      <c r="T121" s="40"/>
      <c r="U121" s="74"/>
      <c r="V121" s="100"/>
      <c r="W121" s="36"/>
      <c r="X121" s="36"/>
    </row>
    <row r="122" spans="1:24" x14ac:dyDescent="0.2">
      <c r="A122" s="17" t="s">
        <v>4</v>
      </c>
      <c r="B122" s="18" t="s">
        <v>5</v>
      </c>
      <c r="C122" s="18" t="s">
        <v>6</v>
      </c>
      <c r="D122" s="19" t="s">
        <v>7</v>
      </c>
      <c r="E122" s="19"/>
      <c r="F122" s="17" t="s">
        <v>8</v>
      </c>
      <c r="G122" s="17" t="s">
        <v>9</v>
      </c>
      <c r="H122" s="18" t="s">
        <v>91</v>
      </c>
      <c r="I122" s="20" t="s">
        <v>11</v>
      </c>
      <c r="J122" s="18" t="s">
        <v>12</v>
      </c>
      <c r="K122" s="18" t="s">
        <v>13</v>
      </c>
      <c r="L122" s="18" t="s">
        <v>14</v>
      </c>
      <c r="M122" s="18" t="s">
        <v>15</v>
      </c>
      <c r="N122" s="49" t="s">
        <v>16</v>
      </c>
      <c r="O122" s="18" t="s">
        <v>17</v>
      </c>
      <c r="P122" s="21" t="s">
        <v>18</v>
      </c>
      <c r="Q122" s="18" t="s">
        <v>19</v>
      </c>
      <c r="R122" s="17" t="s">
        <v>20</v>
      </c>
      <c r="S122" s="22" t="s">
        <v>86</v>
      </c>
      <c r="T122" s="22" t="s">
        <v>85</v>
      </c>
      <c r="U122" s="70" t="s">
        <v>37</v>
      </c>
      <c r="V122" s="99" t="str">
        <f>+V90</f>
        <v>Commodity and fuel  on sheet looks like CGAS .  CGLF rate and fuel is $.017 and 2.988%</v>
      </c>
      <c r="W122" s="37"/>
      <c r="X122" s="37"/>
    </row>
    <row r="123" spans="1:24" s="47" customFormat="1" x14ac:dyDescent="0.2">
      <c r="A123" s="43" t="s">
        <v>150</v>
      </c>
      <c r="B123" s="84" t="s">
        <v>1</v>
      </c>
      <c r="C123" s="84" t="s">
        <v>226</v>
      </c>
      <c r="D123" s="85">
        <v>36526</v>
      </c>
      <c r="E123" s="85">
        <v>36556</v>
      </c>
      <c r="F123" s="43" t="s">
        <v>36</v>
      </c>
      <c r="G123" s="43" t="s">
        <v>226</v>
      </c>
      <c r="H123" s="84" t="s">
        <v>227</v>
      </c>
      <c r="I123" s="67">
        <v>0</v>
      </c>
      <c r="J123" s="86">
        <v>0</v>
      </c>
      <c r="K123" s="86">
        <v>2.2000000000000001E-3</v>
      </c>
      <c r="L123" s="86">
        <v>0</v>
      </c>
      <c r="M123" s="86">
        <v>0</v>
      </c>
      <c r="N123" s="87">
        <v>0</v>
      </c>
      <c r="O123" s="86">
        <f>SUM(I123:M123)</f>
        <v>2.2000000000000001E-3</v>
      </c>
      <c r="P123" s="102" t="s">
        <v>228</v>
      </c>
      <c r="Q123" s="84">
        <v>65</v>
      </c>
      <c r="R123" s="43" t="s">
        <v>229</v>
      </c>
      <c r="S123" s="89">
        <f>I123*I$1*Q123</f>
        <v>0</v>
      </c>
      <c r="T123" s="89"/>
      <c r="U123" s="103" t="s">
        <v>274</v>
      </c>
      <c r="V123" s="43"/>
      <c r="W123" s="90"/>
      <c r="X123" s="90"/>
    </row>
    <row r="124" spans="1:24" s="47" customFormat="1" x14ac:dyDescent="0.2">
      <c r="A124" s="43" t="s">
        <v>150</v>
      </c>
      <c r="B124" s="84" t="s">
        <v>1</v>
      </c>
      <c r="C124" s="84" t="s">
        <v>226</v>
      </c>
      <c r="D124" s="85">
        <v>36526</v>
      </c>
      <c r="E124" s="85">
        <v>36556</v>
      </c>
      <c r="F124" s="43" t="s">
        <v>230</v>
      </c>
      <c r="G124" s="43" t="s">
        <v>226</v>
      </c>
      <c r="H124" s="84" t="s">
        <v>227</v>
      </c>
      <c r="I124" s="67">
        <v>0</v>
      </c>
      <c r="J124" s="86">
        <v>0</v>
      </c>
      <c r="K124" s="86">
        <v>2.2000000000000001E-3</v>
      </c>
      <c r="L124" s="86">
        <v>0</v>
      </c>
      <c r="M124" s="86">
        <v>0</v>
      </c>
      <c r="N124" s="87">
        <v>0</v>
      </c>
      <c r="O124" s="86">
        <f t="shared" ref="O124:O129" si="16">SUM(I124:M124)</f>
        <v>2.2000000000000001E-3</v>
      </c>
      <c r="P124" s="102" t="s">
        <v>228</v>
      </c>
      <c r="Q124" s="84">
        <v>95</v>
      </c>
      <c r="R124" s="43" t="s">
        <v>229</v>
      </c>
      <c r="S124" s="89">
        <f t="shared" ref="S124:S129" si="17">I124*I$1*Q124</f>
        <v>0</v>
      </c>
      <c r="T124" s="89"/>
      <c r="U124" s="103" t="s">
        <v>274</v>
      </c>
      <c r="V124" s="43"/>
      <c r="W124" s="90"/>
      <c r="X124" s="90"/>
    </row>
    <row r="125" spans="1:24" s="47" customFormat="1" x14ac:dyDescent="0.2">
      <c r="A125" s="43" t="s">
        <v>150</v>
      </c>
      <c r="B125" s="84" t="s">
        <v>1</v>
      </c>
      <c r="C125" s="84" t="s">
        <v>226</v>
      </c>
      <c r="D125" s="85">
        <v>36526</v>
      </c>
      <c r="E125" s="85">
        <v>36556</v>
      </c>
      <c r="F125" s="43" t="s">
        <v>231</v>
      </c>
      <c r="G125" s="43" t="s">
        <v>226</v>
      </c>
      <c r="H125" s="84" t="s">
        <v>227</v>
      </c>
      <c r="I125" s="67">
        <v>0</v>
      </c>
      <c r="J125" s="86">
        <v>0</v>
      </c>
      <c r="K125" s="86">
        <v>2.2000000000000001E-3</v>
      </c>
      <c r="L125" s="86">
        <v>0</v>
      </c>
      <c r="M125" s="86">
        <v>0</v>
      </c>
      <c r="N125" s="87">
        <v>0</v>
      </c>
      <c r="O125" s="86">
        <f t="shared" si="16"/>
        <v>2.2000000000000001E-3</v>
      </c>
      <c r="P125" s="102" t="s">
        <v>228</v>
      </c>
      <c r="Q125" s="84">
        <f>73+149</f>
        <v>222</v>
      </c>
      <c r="R125" s="43" t="s">
        <v>229</v>
      </c>
      <c r="S125" s="89">
        <f t="shared" si="17"/>
        <v>0</v>
      </c>
      <c r="T125" s="89"/>
      <c r="U125" s="103" t="s">
        <v>274</v>
      </c>
      <c r="V125" s="43"/>
      <c r="W125" s="90"/>
      <c r="X125" s="90"/>
    </row>
    <row r="126" spans="1:24" s="47" customFormat="1" x14ac:dyDescent="0.2">
      <c r="A126" s="43" t="s">
        <v>150</v>
      </c>
      <c r="B126" s="84" t="s">
        <v>1</v>
      </c>
      <c r="C126" s="84" t="s">
        <v>200</v>
      </c>
      <c r="D126" s="85">
        <v>36526</v>
      </c>
      <c r="E126" s="85">
        <v>36556</v>
      </c>
      <c r="F126" s="43" t="s">
        <v>36</v>
      </c>
      <c r="G126" s="95" t="s">
        <v>232</v>
      </c>
      <c r="H126" s="84" t="s">
        <v>227</v>
      </c>
      <c r="I126" s="67">
        <f t="shared" ref="I126:I134" si="18">7.5958/I$1</f>
        <v>0.2450258064516129</v>
      </c>
      <c r="J126" s="86">
        <v>0</v>
      </c>
      <c r="K126" s="86">
        <v>2.2000000000000001E-3</v>
      </c>
      <c r="L126" s="86">
        <v>0</v>
      </c>
      <c r="M126" s="86">
        <v>0</v>
      </c>
      <c r="N126" s="87">
        <v>0</v>
      </c>
      <c r="O126" s="86">
        <f>SUM(I126:M126)</f>
        <v>0.24722580645161291</v>
      </c>
      <c r="P126" s="102" t="s">
        <v>241</v>
      </c>
      <c r="Q126" s="84">
        <v>1174</v>
      </c>
      <c r="R126" s="43" t="s">
        <v>242</v>
      </c>
      <c r="S126" s="89">
        <f>I126*I$1*Q126</f>
        <v>8917.4691999999995</v>
      </c>
      <c r="T126" s="89"/>
      <c r="U126" s="103" t="s">
        <v>275</v>
      </c>
      <c r="V126" s="43"/>
      <c r="W126" s="90"/>
      <c r="X126" s="90"/>
    </row>
    <row r="127" spans="1:24" s="47" customFormat="1" x14ac:dyDescent="0.2">
      <c r="A127" s="43" t="s">
        <v>150</v>
      </c>
      <c r="B127" s="84" t="s">
        <v>1</v>
      </c>
      <c r="C127" s="84" t="s">
        <v>200</v>
      </c>
      <c r="D127" s="85">
        <v>36526</v>
      </c>
      <c r="E127" s="85">
        <v>36556</v>
      </c>
      <c r="F127" s="43" t="s">
        <v>230</v>
      </c>
      <c r="G127" s="95" t="s">
        <v>232</v>
      </c>
      <c r="H127" s="84" t="s">
        <v>227</v>
      </c>
      <c r="I127" s="67">
        <f t="shared" si="18"/>
        <v>0.2450258064516129</v>
      </c>
      <c r="J127" s="86">
        <v>0</v>
      </c>
      <c r="K127" s="86">
        <v>2.2000000000000001E-3</v>
      </c>
      <c r="L127" s="86">
        <v>0</v>
      </c>
      <c r="M127" s="86">
        <v>0</v>
      </c>
      <c r="N127" s="87">
        <v>0</v>
      </c>
      <c r="O127" s="86">
        <f>SUM(I127:M127)</f>
        <v>0.24722580645161291</v>
      </c>
      <c r="P127" s="102" t="s">
        <v>241</v>
      </c>
      <c r="Q127" s="84">
        <v>1725</v>
      </c>
      <c r="R127" s="43" t="s">
        <v>242</v>
      </c>
      <c r="S127" s="89">
        <f>I127*I$1*Q127</f>
        <v>13102.754999999999</v>
      </c>
      <c r="T127" s="89"/>
      <c r="U127" s="103" t="s">
        <v>275</v>
      </c>
      <c r="V127" s="43"/>
      <c r="W127" s="90"/>
      <c r="X127" s="90"/>
    </row>
    <row r="128" spans="1:24" s="47" customFormat="1" x14ac:dyDescent="0.2">
      <c r="A128" s="43" t="s">
        <v>150</v>
      </c>
      <c r="B128" s="84" t="s">
        <v>1</v>
      </c>
      <c r="C128" s="84" t="s">
        <v>200</v>
      </c>
      <c r="D128" s="85">
        <v>36526</v>
      </c>
      <c r="E128" s="85">
        <v>36556</v>
      </c>
      <c r="F128" s="43" t="s">
        <v>231</v>
      </c>
      <c r="G128" s="95" t="s">
        <v>232</v>
      </c>
      <c r="H128" s="84" t="s">
        <v>227</v>
      </c>
      <c r="I128" s="67">
        <f t="shared" si="18"/>
        <v>0.2450258064516129</v>
      </c>
      <c r="J128" s="86">
        <v>0</v>
      </c>
      <c r="K128" s="86">
        <v>2.2000000000000001E-3</v>
      </c>
      <c r="L128" s="86">
        <v>0</v>
      </c>
      <c r="M128" s="86">
        <v>0</v>
      </c>
      <c r="N128" s="87">
        <v>0</v>
      </c>
      <c r="O128" s="86">
        <f>SUM(I128:M128)</f>
        <v>0.24722580645161291</v>
      </c>
      <c r="P128" s="102" t="s">
        <v>241</v>
      </c>
      <c r="Q128" s="84">
        <f>1312+2693</f>
        <v>4005</v>
      </c>
      <c r="R128" s="43" t="s">
        <v>242</v>
      </c>
      <c r="S128" s="89">
        <f>I128*I$1*Q128</f>
        <v>30421.179</v>
      </c>
      <c r="T128" s="89"/>
      <c r="U128" s="103" t="s">
        <v>275</v>
      </c>
      <c r="V128" s="43"/>
      <c r="W128" s="90"/>
      <c r="X128" s="90"/>
    </row>
    <row r="129" spans="1:24" s="47" customFormat="1" x14ac:dyDescent="0.2">
      <c r="A129" s="43" t="s">
        <v>150</v>
      </c>
      <c r="B129" s="84" t="s">
        <v>1</v>
      </c>
      <c r="C129" s="84" t="s">
        <v>200</v>
      </c>
      <c r="D129" s="85">
        <v>36526</v>
      </c>
      <c r="E129" s="85">
        <v>36556</v>
      </c>
      <c r="F129" s="43" t="s">
        <v>36</v>
      </c>
      <c r="G129" s="95" t="s">
        <v>232</v>
      </c>
      <c r="H129" s="84" t="s">
        <v>227</v>
      </c>
      <c r="I129" s="67">
        <f t="shared" si="18"/>
        <v>0.2450258064516129</v>
      </c>
      <c r="J129" s="86">
        <v>0</v>
      </c>
      <c r="K129" s="86">
        <v>2.2000000000000001E-3</v>
      </c>
      <c r="L129" s="86">
        <v>0</v>
      </c>
      <c r="M129" s="86">
        <v>0</v>
      </c>
      <c r="N129" s="87">
        <v>0</v>
      </c>
      <c r="O129" s="86">
        <f t="shared" si="16"/>
        <v>0.24722580645161291</v>
      </c>
      <c r="P129" s="102" t="s">
        <v>253</v>
      </c>
      <c r="Q129" s="84">
        <v>51</v>
      </c>
      <c r="R129" s="43" t="s">
        <v>233</v>
      </c>
      <c r="S129" s="89">
        <f t="shared" si="17"/>
        <v>387.38579999999996</v>
      </c>
      <c r="T129" s="89"/>
      <c r="U129" s="103" t="s">
        <v>276</v>
      </c>
      <c r="V129" s="43"/>
      <c r="W129" s="90"/>
      <c r="X129" s="90"/>
    </row>
    <row r="130" spans="1:24" s="47" customFormat="1" x14ac:dyDescent="0.2">
      <c r="A130" s="43" t="s">
        <v>150</v>
      </c>
      <c r="B130" s="84" t="s">
        <v>1</v>
      </c>
      <c r="C130" s="84" t="s">
        <v>200</v>
      </c>
      <c r="D130" s="85">
        <v>36526</v>
      </c>
      <c r="E130" s="85">
        <v>36556</v>
      </c>
      <c r="F130" s="43" t="s">
        <v>230</v>
      </c>
      <c r="G130" s="95" t="s">
        <v>232</v>
      </c>
      <c r="H130" s="84" t="s">
        <v>227</v>
      </c>
      <c r="I130" s="67">
        <f t="shared" si="18"/>
        <v>0.2450258064516129</v>
      </c>
      <c r="J130" s="86">
        <v>0</v>
      </c>
      <c r="K130" s="86">
        <v>2.2000000000000001E-3</v>
      </c>
      <c r="L130" s="86">
        <v>0</v>
      </c>
      <c r="M130" s="86">
        <v>0</v>
      </c>
      <c r="N130" s="87">
        <v>0</v>
      </c>
      <c r="O130" s="86">
        <f t="shared" ref="O130:O144" si="19">SUM(I130:M130)</f>
        <v>0.24722580645161291</v>
      </c>
      <c r="P130" s="102" t="s">
        <v>253</v>
      </c>
      <c r="Q130" s="84">
        <v>74</v>
      </c>
      <c r="R130" s="43" t="s">
        <v>233</v>
      </c>
      <c r="S130" s="89">
        <f t="shared" ref="S130:S144" si="20">I130*I$1*Q130</f>
        <v>562.08920000000001</v>
      </c>
      <c r="T130" s="89"/>
      <c r="U130" s="103" t="s">
        <v>276</v>
      </c>
      <c r="V130" s="43"/>
      <c r="W130" s="90"/>
      <c r="X130" s="90"/>
    </row>
    <row r="131" spans="1:24" s="47" customFormat="1" x14ac:dyDescent="0.2">
      <c r="A131" s="43" t="s">
        <v>150</v>
      </c>
      <c r="B131" s="84" t="s">
        <v>1</v>
      </c>
      <c r="C131" s="84" t="s">
        <v>200</v>
      </c>
      <c r="D131" s="85">
        <v>36526</v>
      </c>
      <c r="E131" s="85">
        <v>36556</v>
      </c>
      <c r="F131" s="43" t="s">
        <v>231</v>
      </c>
      <c r="G131" s="95" t="s">
        <v>232</v>
      </c>
      <c r="H131" s="84" t="s">
        <v>227</v>
      </c>
      <c r="I131" s="67">
        <f t="shared" si="18"/>
        <v>0.2450258064516129</v>
      </c>
      <c r="J131" s="86">
        <v>0</v>
      </c>
      <c r="K131" s="86">
        <v>2.2000000000000001E-3</v>
      </c>
      <c r="L131" s="86">
        <v>0</v>
      </c>
      <c r="M131" s="86">
        <v>0</v>
      </c>
      <c r="N131" s="87">
        <v>0</v>
      </c>
      <c r="O131" s="86">
        <f t="shared" si="19"/>
        <v>0.24722580645161291</v>
      </c>
      <c r="P131" s="102" t="s">
        <v>253</v>
      </c>
      <c r="Q131" s="84">
        <f>57+116</f>
        <v>173</v>
      </c>
      <c r="R131" s="43" t="s">
        <v>233</v>
      </c>
      <c r="S131" s="89">
        <f t="shared" si="20"/>
        <v>1314.0734</v>
      </c>
      <c r="T131" s="89"/>
      <c r="U131" s="103" t="s">
        <v>276</v>
      </c>
      <c r="V131" s="43"/>
      <c r="W131" s="90"/>
      <c r="X131" s="90"/>
    </row>
    <row r="132" spans="1:24" s="47" customFormat="1" x14ac:dyDescent="0.2">
      <c r="A132" s="43" t="s">
        <v>150</v>
      </c>
      <c r="B132" s="84" t="s">
        <v>1</v>
      </c>
      <c r="C132" s="84" t="s">
        <v>200</v>
      </c>
      <c r="D132" s="85">
        <v>36526</v>
      </c>
      <c r="E132" s="85">
        <v>36556</v>
      </c>
      <c r="F132" s="43" t="s">
        <v>36</v>
      </c>
      <c r="G132" s="95" t="s">
        <v>232</v>
      </c>
      <c r="H132" s="84" t="s">
        <v>227</v>
      </c>
      <c r="I132" s="67">
        <f t="shared" si="18"/>
        <v>0.2450258064516129</v>
      </c>
      <c r="J132" s="86">
        <v>0</v>
      </c>
      <c r="K132" s="86">
        <v>2.2000000000000001E-3</v>
      </c>
      <c r="L132" s="86">
        <v>0</v>
      </c>
      <c r="M132" s="86">
        <v>0</v>
      </c>
      <c r="N132" s="87">
        <v>0</v>
      </c>
      <c r="O132" s="86">
        <f t="shared" si="19"/>
        <v>0.24722580645161291</v>
      </c>
      <c r="P132" s="102" t="s">
        <v>234</v>
      </c>
      <c r="Q132" s="84">
        <v>70</v>
      </c>
      <c r="R132" s="43" t="s">
        <v>235</v>
      </c>
      <c r="S132" s="89">
        <f t="shared" si="20"/>
        <v>531.70600000000002</v>
      </c>
      <c r="T132" s="89"/>
      <c r="U132" s="103" t="s">
        <v>277</v>
      </c>
      <c r="V132" s="43"/>
      <c r="W132" s="90"/>
      <c r="X132" s="90"/>
    </row>
    <row r="133" spans="1:24" s="47" customFormat="1" x14ac:dyDescent="0.2">
      <c r="A133" s="43" t="s">
        <v>150</v>
      </c>
      <c r="B133" s="84" t="s">
        <v>1</v>
      </c>
      <c r="C133" s="84" t="s">
        <v>200</v>
      </c>
      <c r="D133" s="85">
        <v>36526</v>
      </c>
      <c r="E133" s="85">
        <v>36556</v>
      </c>
      <c r="F133" s="43" t="s">
        <v>230</v>
      </c>
      <c r="G133" s="95" t="s">
        <v>232</v>
      </c>
      <c r="H133" s="84" t="s">
        <v>227</v>
      </c>
      <c r="I133" s="67">
        <f t="shared" si="18"/>
        <v>0.2450258064516129</v>
      </c>
      <c r="J133" s="86">
        <v>0</v>
      </c>
      <c r="K133" s="86">
        <v>2.2000000000000001E-3</v>
      </c>
      <c r="L133" s="86">
        <v>0</v>
      </c>
      <c r="M133" s="86">
        <v>0</v>
      </c>
      <c r="N133" s="87">
        <v>0</v>
      </c>
      <c r="O133" s="86">
        <f t="shared" si="19"/>
        <v>0.24722580645161291</v>
      </c>
      <c r="P133" s="102" t="s">
        <v>234</v>
      </c>
      <c r="Q133" s="84">
        <v>103</v>
      </c>
      <c r="R133" s="43" t="s">
        <v>235</v>
      </c>
      <c r="S133" s="89">
        <f t="shared" si="20"/>
        <v>782.36739999999998</v>
      </c>
      <c r="T133" s="89"/>
      <c r="U133" s="103" t="s">
        <v>277</v>
      </c>
      <c r="V133" s="43"/>
      <c r="W133" s="90"/>
      <c r="X133" s="90"/>
    </row>
    <row r="134" spans="1:24" s="47" customFormat="1" x14ac:dyDescent="0.2">
      <c r="A134" s="43" t="s">
        <v>150</v>
      </c>
      <c r="B134" s="84" t="s">
        <v>1</v>
      </c>
      <c r="C134" s="84" t="s">
        <v>200</v>
      </c>
      <c r="D134" s="85">
        <v>36526</v>
      </c>
      <c r="E134" s="85">
        <v>36556</v>
      </c>
      <c r="F134" s="43" t="s">
        <v>231</v>
      </c>
      <c r="G134" s="95" t="s">
        <v>232</v>
      </c>
      <c r="H134" s="84" t="s">
        <v>227</v>
      </c>
      <c r="I134" s="67">
        <f t="shared" si="18"/>
        <v>0.2450258064516129</v>
      </c>
      <c r="J134" s="86">
        <v>0</v>
      </c>
      <c r="K134" s="86">
        <v>2.2000000000000001E-3</v>
      </c>
      <c r="L134" s="86">
        <v>0</v>
      </c>
      <c r="M134" s="86">
        <v>0</v>
      </c>
      <c r="N134" s="87">
        <v>0</v>
      </c>
      <c r="O134" s="86">
        <f t="shared" si="19"/>
        <v>0.24722580645161291</v>
      </c>
      <c r="P134" s="102" t="s">
        <v>234</v>
      </c>
      <c r="Q134" s="84">
        <f>78+160</f>
        <v>238</v>
      </c>
      <c r="R134" s="43" t="s">
        <v>235</v>
      </c>
      <c r="S134" s="89">
        <f t="shared" si="20"/>
        <v>1807.8003999999999</v>
      </c>
      <c r="T134" s="89"/>
      <c r="U134" s="103" t="s">
        <v>277</v>
      </c>
      <c r="V134" s="43"/>
      <c r="W134" s="90"/>
      <c r="X134" s="90"/>
    </row>
    <row r="135" spans="1:24" s="47" customFormat="1" x14ac:dyDescent="0.2">
      <c r="A135" s="43" t="s">
        <v>150</v>
      </c>
      <c r="B135" s="84" t="s">
        <v>1</v>
      </c>
      <c r="C135" s="84" t="s">
        <v>200</v>
      </c>
      <c r="D135" s="85">
        <v>36526</v>
      </c>
      <c r="E135" s="85">
        <v>36556</v>
      </c>
      <c r="F135" s="43" t="s">
        <v>236</v>
      </c>
      <c r="G135" s="95" t="s">
        <v>232</v>
      </c>
      <c r="H135" s="84" t="s">
        <v>239</v>
      </c>
      <c r="I135" s="67">
        <f>15.0624/I$1</f>
        <v>0.48588387096774194</v>
      </c>
      <c r="J135" s="86">
        <v>0</v>
      </c>
      <c r="K135" s="86">
        <v>2.2000000000000001E-3</v>
      </c>
      <c r="L135" s="86">
        <v>0</v>
      </c>
      <c r="M135" s="86">
        <v>0</v>
      </c>
      <c r="N135" s="87">
        <v>0</v>
      </c>
      <c r="O135" s="86">
        <f t="shared" si="19"/>
        <v>0.48808387096774192</v>
      </c>
      <c r="P135" s="102" t="s">
        <v>237</v>
      </c>
      <c r="Q135" s="84">
        <v>993</v>
      </c>
      <c r="R135" s="43" t="s">
        <v>278</v>
      </c>
      <c r="S135" s="89">
        <f t="shared" si="20"/>
        <v>14956.9632</v>
      </c>
      <c r="T135" s="89"/>
      <c r="U135" s="103" t="s">
        <v>279</v>
      </c>
      <c r="V135" s="43"/>
      <c r="W135" s="90"/>
      <c r="X135" s="90"/>
    </row>
    <row r="136" spans="1:24" s="47" customFormat="1" x14ac:dyDescent="0.2">
      <c r="A136" s="43" t="s">
        <v>150</v>
      </c>
      <c r="B136" s="84" t="s">
        <v>1</v>
      </c>
      <c r="C136" s="84" t="s">
        <v>200</v>
      </c>
      <c r="D136" s="85">
        <v>36526</v>
      </c>
      <c r="E136" s="85">
        <v>36556</v>
      </c>
      <c r="F136" s="43" t="s">
        <v>236</v>
      </c>
      <c r="G136" s="95" t="s">
        <v>232</v>
      </c>
      <c r="H136" s="84" t="s">
        <v>238</v>
      </c>
      <c r="I136" s="67">
        <f>14.174/I$1</f>
        <v>0.45722580645161287</v>
      </c>
      <c r="J136" s="86">
        <v>0</v>
      </c>
      <c r="K136" s="86">
        <v>2.2000000000000001E-3</v>
      </c>
      <c r="L136" s="86">
        <v>0</v>
      </c>
      <c r="M136" s="86">
        <v>0</v>
      </c>
      <c r="N136" s="87">
        <v>0</v>
      </c>
      <c r="O136" s="86">
        <f>SUM(I136:M136)</f>
        <v>0.45942580645161285</v>
      </c>
      <c r="P136" s="102" t="s">
        <v>240</v>
      </c>
      <c r="Q136" s="84">
        <v>5438</v>
      </c>
      <c r="R136" s="43" t="s">
        <v>273</v>
      </c>
      <c r="S136" s="89">
        <f>I136*I$1*Q136</f>
        <v>77078.212</v>
      </c>
      <c r="T136" s="89"/>
      <c r="U136" s="103" t="s">
        <v>280</v>
      </c>
      <c r="V136" s="43"/>
      <c r="W136" s="90"/>
      <c r="X136" s="90"/>
    </row>
    <row r="137" spans="1:24" s="47" customFormat="1" x14ac:dyDescent="0.2">
      <c r="A137" s="43" t="s">
        <v>150</v>
      </c>
      <c r="B137" s="84" t="s">
        <v>1</v>
      </c>
      <c r="C137" s="84" t="s">
        <v>200</v>
      </c>
      <c r="D137" s="85">
        <v>36526</v>
      </c>
      <c r="E137" s="85">
        <v>36556</v>
      </c>
      <c r="F137" s="43" t="s">
        <v>266</v>
      </c>
      <c r="G137" s="95"/>
      <c r="H137" s="84" t="s">
        <v>264</v>
      </c>
      <c r="I137" s="67">
        <v>7.9000000000000008E-3</v>
      </c>
      <c r="J137" s="86">
        <v>0</v>
      </c>
      <c r="K137" s="86">
        <v>2.2000000000000001E-3</v>
      </c>
      <c r="L137" s="86">
        <v>0</v>
      </c>
      <c r="M137" s="86">
        <v>0</v>
      </c>
      <c r="N137" s="87">
        <v>0</v>
      </c>
      <c r="O137" s="86">
        <f>SUM(I137:M137)</f>
        <v>1.0100000000000001E-2</v>
      </c>
      <c r="P137" s="102" t="s">
        <v>265</v>
      </c>
      <c r="Q137" s="84">
        <v>397258</v>
      </c>
      <c r="R137" s="43" t="s">
        <v>271</v>
      </c>
      <c r="S137" s="96">
        <f>I137*I$1*Q137</f>
        <v>97288.484200000021</v>
      </c>
      <c r="T137" s="89"/>
      <c r="U137" s="103" t="s">
        <v>281</v>
      </c>
      <c r="V137" s="43"/>
      <c r="W137" s="90"/>
      <c r="X137" s="90"/>
    </row>
    <row r="138" spans="1:24" s="47" customFormat="1" x14ac:dyDescent="0.2">
      <c r="A138" s="43" t="s">
        <v>150</v>
      </c>
      <c r="B138" s="84" t="s">
        <v>1</v>
      </c>
      <c r="C138" s="84" t="s">
        <v>200</v>
      </c>
      <c r="D138" s="85">
        <v>36526</v>
      </c>
      <c r="E138" s="85">
        <v>36556</v>
      </c>
      <c r="F138" s="43" t="s">
        <v>263</v>
      </c>
      <c r="G138" s="95"/>
      <c r="H138" s="84" t="s">
        <v>264</v>
      </c>
      <c r="I138" s="67">
        <v>0.6673</v>
      </c>
      <c r="J138" s="86">
        <v>0</v>
      </c>
      <c r="K138" s="86">
        <v>2.2000000000000001E-3</v>
      </c>
      <c r="L138" s="86">
        <v>0</v>
      </c>
      <c r="M138" s="86">
        <v>0</v>
      </c>
      <c r="N138" s="87">
        <v>0</v>
      </c>
      <c r="O138" s="86">
        <f>SUM(I138:M138)</f>
        <v>0.66949999999999998</v>
      </c>
      <c r="P138" s="102" t="s">
        <v>265</v>
      </c>
      <c r="Q138" s="84">
        <v>4674</v>
      </c>
      <c r="R138" s="43" t="s">
        <v>271</v>
      </c>
      <c r="S138" s="96">
        <f>I138*I$1*Q138</f>
        <v>96687.766199999998</v>
      </c>
      <c r="T138" s="89"/>
      <c r="U138" s="103" t="s">
        <v>281</v>
      </c>
      <c r="V138" s="43"/>
      <c r="W138" s="90"/>
      <c r="X138" s="90"/>
    </row>
    <row r="139" spans="1:24" s="47" customFormat="1" x14ac:dyDescent="0.2">
      <c r="A139" s="43" t="s">
        <v>150</v>
      </c>
      <c r="B139" s="84" t="s">
        <v>1</v>
      </c>
      <c r="C139" s="84" t="s">
        <v>200</v>
      </c>
      <c r="D139" s="85">
        <v>36526</v>
      </c>
      <c r="E139" s="85">
        <v>36556</v>
      </c>
      <c r="F139" s="43" t="s">
        <v>267</v>
      </c>
      <c r="G139" s="95"/>
      <c r="H139" s="84" t="s">
        <v>269</v>
      </c>
      <c r="I139" s="67">
        <v>4.8099999999999997E-2</v>
      </c>
      <c r="J139" s="86">
        <v>0</v>
      </c>
      <c r="K139" s="86">
        <v>2.2000000000000001E-3</v>
      </c>
      <c r="L139" s="86">
        <v>0</v>
      </c>
      <c r="M139" s="86">
        <v>0</v>
      </c>
      <c r="N139" s="87">
        <v>0</v>
      </c>
      <c r="O139" s="86">
        <f>SUM(I139:M139)</f>
        <v>5.0299999999999997E-2</v>
      </c>
      <c r="P139" s="102" t="s">
        <v>270</v>
      </c>
      <c r="Q139" s="84">
        <v>7503</v>
      </c>
      <c r="R139" s="43" t="s">
        <v>272</v>
      </c>
      <c r="S139" s="96">
        <f>I139*I$1*Q139</f>
        <v>11187.7233</v>
      </c>
      <c r="T139" s="89"/>
      <c r="U139" s="103" t="s">
        <v>282</v>
      </c>
      <c r="V139" s="43"/>
      <c r="W139" s="90"/>
      <c r="X139" s="90"/>
    </row>
    <row r="140" spans="1:24" s="47" customFormat="1" x14ac:dyDescent="0.2">
      <c r="A140" s="43" t="s">
        <v>150</v>
      </c>
      <c r="B140" s="84" t="s">
        <v>1</v>
      </c>
      <c r="C140" s="84" t="s">
        <v>200</v>
      </c>
      <c r="D140" s="85">
        <v>36526</v>
      </c>
      <c r="E140" s="85">
        <v>36556</v>
      </c>
      <c r="F140" s="43" t="s">
        <v>268</v>
      </c>
      <c r="G140" s="95"/>
      <c r="H140" s="84" t="s">
        <v>269</v>
      </c>
      <c r="I140" s="67">
        <v>0.48399999999999999</v>
      </c>
      <c r="J140" s="86">
        <v>0</v>
      </c>
      <c r="K140" s="86">
        <v>2.2000000000000001E-3</v>
      </c>
      <c r="L140" s="86">
        <v>0</v>
      </c>
      <c r="M140" s="86">
        <v>0</v>
      </c>
      <c r="N140" s="87">
        <v>0</v>
      </c>
      <c r="O140" s="86">
        <f t="shared" si="19"/>
        <v>0.48619999999999997</v>
      </c>
      <c r="P140" s="102" t="s">
        <v>270</v>
      </c>
      <c r="Q140" s="84">
        <v>746</v>
      </c>
      <c r="R140" s="43" t="s">
        <v>272</v>
      </c>
      <c r="S140" s="96">
        <f t="shared" si="20"/>
        <v>11192.984</v>
      </c>
      <c r="T140" s="89"/>
      <c r="U140" s="103" t="s">
        <v>282</v>
      </c>
      <c r="V140" s="43"/>
      <c r="W140" s="90"/>
      <c r="X140" s="90"/>
    </row>
    <row r="141" spans="1:24" s="47" customFormat="1" x14ac:dyDescent="0.2">
      <c r="A141" s="43" t="s">
        <v>150</v>
      </c>
      <c r="B141" s="84" t="s">
        <v>1</v>
      </c>
      <c r="C141" s="84" t="s">
        <v>210</v>
      </c>
      <c r="D141" s="85">
        <v>35977</v>
      </c>
      <c r="E141" s="85">
        <v>39599</v>
      </c>
      <c r="F141" s="43" t="s">
        <v>254</v>
      </c>
      <c r="G141" s="43" t="s">
        <v>255</v>
      </c>
      <c r="H141" s="84" t="s">
        <v>257</v>
      </c>
      <c r="I141" s="67">
        <f>4.7713/I$1</f>
        <v>0.15391290322580645</v>
      </c>
      <c r="J141" s="86">
        <v>0</v>
      </c>
      <c r="K141" s="86">
        <v>2.2000000000000001E-3</v>
      </c>
      <c r="L141" s="86">
        <v>0</v>
      </c>
      <c r="M141" s="86">
        <v>0</v>
      </c>
      <c r="N141" s="87">
        <v>0</v>
      </c>
      <c r="O141" s="86">
        <f>SUM(I141:M141)</f>
        <v>0.15611290322580645</v>
      </c>
      <c r="P141" s="102" t="s">
        <v>256</v>
      </c>
      <c r="Q141" s="84">
        <v>15</v>
      </c>
      <c r="R141" s="43" t="s">
        <v>258</v>
      </c>
      <c r="S141" s="89">
        <f>I141*I$1*Q141</f>
        <v>71.569500000000005</v>
      </c>
      <c r="T141" s="89"/>
      <c r="U141" s="103" t="s">
        <v>283</v>
      </c>
      <c r="V141" s="43"/>
      <c r="W141" s="90"/>
      <c r="X141" s="90"/>
    </row>
    <row r="142" spans="1:24" s="47" customFormat="1" x14ac:dyDescent="0.2">
      <c r="A142" s="43" t="s">
        <v>150</v>
      </c>
      <c r="B142" s="84" t="s">
        <v>1</v>
      </c>
      <c r="C142" s="84" t="s">
        <v>210</v>
      </c>
      <c r="D142" s="85">
        <v>36130</v>
      </c>
      <c r="E142" s="85">
        <v>39599</v>
      </c>
      <c r="F142" s="43" t="s">
        <v>254</v>
      </c>
      <c r="G142" s="43" t="s">
        <v>255</v>
      </c>
      <c r="H142" s="84" t="s">
        <v>257</v>
      </c>
      <c r="I142" s="67">
        <f>4.7713/I$1</f>
        <v>0.15391290322580645</v>
      </c>
      <c r="J142" s="86">
        <v>0</v>
      </c>
      <c r="K142" s="86">
        <v>2.2000000000000001E-3</v>
      </c>
      <c r="L142" s="86">
        <v>0</v>
      </c>
      <c r="M142" s="86">
        <v>0</v>
      </c>
      <c r="N142" s="87">
        <v>0</v>
      </c>
      <c r="O142" s="86">
        <f>SUM(I142:M142)</f>
        <v>0.15611290322580645</v>
      </c>
      <c r="P142" s="102" t="s">
        <v>259</v>
      </c>
      <c r="Q142" s="84">
        <v>2</v>
      </c>
      <c r="R142" s="43" t="s">
        <v>260</v>
      </c>
      <c r="S142" s="89">
        <f>I142*I$1*Q142</f>
        <v>9.5426000000000002</v>
      </c>
      <c r="T142" s="89"/>
      <c r="U142" s="103" t="s">
        <v>284</v>
      </c>
      <c r="V142" s="43"/>
      <c r="W142" s="90"/>
      <c r="X142" s="90"/>
    </row>
    <row r="143" spans="1:24" s="47" customFormat="1" x14ac:dyDescent="0.2">
      <c r="A143" s="43" t="s">
        <v>150</v>
      </c>
      <c r="B143" s="84" t="s">
        <v>1</v>
      </c>
      <c r="C143" s="84" t="s">
        <v>210</v>
      </c>
      <c r="D143" s="85">
        <v>36220</v>
      </c>
      <c r="E143" s="85">
        <v>39599</v>
      </c>
      <c r="F143" s="43" t="s">
        <v>254</v>
      </c>
      <c r="G143" s="43" t="s">
        <v>255</v>
      </c>
      <c r="H143" s="84" t="s">
        <v>257</v>
      </c>
      <c r="I143" s="67">
        <f>4.7713/I$1</f>
        <v>0.15391290322580645</v>
      </c>
      <c r="J143" s="86">
        <v>0</v>
      </c>
      <c r="K143" s="86">
        <v>2.2000000000000001E-3</v>
      </c>
      <c r="L143" s="86">
        <v>0</v>
      </c>
      <c r="M143" s="86">
        <v>0</v>
      </c>
      <c r="N143" s="87">
        <v>0</v>
      </c>
      <c r="O143" s="86">
        <f>SUM(I143:M143)</f>
        <v>0.15611290322580645</v>
      </c>
      <c r="P143" s="102" t="s">
        <v>262</v>
      </c>
      <c r="Q143" s="84">
        <v>5</v>
      </c>
      <c r="R143" s="43" t="s">
        <v>261</v>
      </c>
      <c r="S143" s="89">
        <f>I143*I$1*Q143</f>
        <v>23.8565</v>
      </c>
      <c r="T143" s="89"/>
      <c r="U143" s="103" t="s">
        <v>285</v>
      </c>
      <c r="V143" s="43"/>
      <c r="W143" s="90"/>
      <c r="X143" s="90"/>
    </row>
    <row r="144" spans="1:24" s="82" customFormat="1" x14ac:dyDescent="0.2">
      <c r="A144" s="44" t="s">
        <v>150</v>
      </c>
      <c r="B144" s="75" t="s">
        <v>1</v>
      </c>
      <c r="C144" s="75" t="s">
        <v>247</v>
      </c>
      <c r="D144" s="76">
        <v>36526</v>
      </c>
      <c r="E144" s="76">
        <v>36556</v>
      </c>
      <c r="F144" s="44" t="s">
        <v>236</v>
      </c>
      <c r="G144" s="98" t="s">
        <v>248</v>
      </c>
      <c r="H144" s="75" t="s">
        <v>249</v>
      </c>
      <c r="I144" s="77">
        <f>0.33</f>
        <v>0.33</v>
      </c>
      <c r="J144" s="66">
        <v>0</v>
      </c>
      <c r="K144" s="66">
        <v>2.2000000000000001E-3</v>
      </c>
      <c r="L144" s="66">
        <v>0</v>
      </c>
      <c r="M144" s="66">
        <v>0</v>
      </c>
      <c r="N144" s="65">
        <v>0</v>
      </c>
      <c r="O144" s="66">
        <f t="shared" si="19"/>
        <v>0.3322</v>
      </c>
      <c r="P144" s="78" t="s">
        <v>203</v>
      </c>
      <c r="Q144" s="75">
        <v>100</v>
      </c>
      <c r="R144" s="44" t="s">
        <v>250</v>
      </c>
      <c r="S144" s="79">
        <f t="shared" si="20"/>
        <v>1023</v>
      </c>
      <c r="T144" s="79"/>
      <c r="U144" s="104" t="s">
        <v>287</v>
      </c>
      <c r="V144" s="44"/>
      <c r="W144" s="81"/>
      <c r="X144" s="81"/>
    </row>
    <row r="145" spans="1:24" x14ac:dyDescent="0.2">
      <c r="A145" s="28"/>
      <c r="B145" s="3"/>
      <c r="C145" s="3"/>
      <c r="D145" s="4"/>
      <c r="E145" s="4"/>
      <c r="F145" s="1"/>
      <c r="G145" s="1"/>
      <c r="H145" s="3"/>
      <c r="I145" s="8"/>
      <c r="J145" s="5"/>
      <c r="K145" s="5"/>
      <c r="L145" s="5"/>
      <c r="M145" s="5"/>
      <c r="N145" s="48"/>
      <c r="O145" s="5"/>
      <c r="P145" s="62"/>
      <c r="Q145" s="63"/>
      <c r="R145" s="41"/>
      <c r="S145" s="29"/>
      <c r="T145" s="29"/>
      <c r="U145" s="68"/>
      <c r="V145" s="97"/>
      <c r="W145" s="36"/>
      <c r="X145" s="36"/>
    </row>
    <row r="146" spans="1:24" x14ac:dyDescent="0.2">
      <c r="A146" s="28"/>
      <c r="B146" s="3"/>
      <c r="C146" s="3"/>
      <c r="D146" s="4"/>
      <c r="E146" s="4"/>
      <c r="F146" s="1"/>
      <c r="G146" s="1"/>
      <c r="H146" s="3"/>
      <c r="I146" s="5"/>
      <c r="J146" s="5"/>
      <c r="K146" s="5"/>
      <c r="L146" s="5"/>
      <c r="M146" s="5"/>
      <c r="N146" s="48"/>
      <c r="O146" s="5"/>
      <c r="P146" s="62"/>
      <c r="Q146" s="63"/>
      <c r="R146" s="29"/>
      <c r="S146" s="29"/>
      <c r="T146" s="29"/>
      <c r="U146" s="68"/>
      <c r="V146" s="97"/>
      <c r="W146" s="36"/>
      <c r="X146" s="36"/>
    </row>
    <row r="147" spans="1:24" x14ac:dyDescent="0.2">
      <c r="A147" s="28"/>
      <c r="B147" s="3"/>
      <c r="C147" s="3"/>
      <c r="D147" s="4"/>
      <c r="E147" s="4"/>
      <c r="F147" s="1"/>
      <c r="G147" s="1"/>
      <c r="H147" s="3"/>
      <c r="I147" s="8"/>
      <c r="J147" s="5"/>
      <c r="K147" s="5"/>
      <c r="L147" s="5"/>
      <c r="M147" s="5"/>
      <c r="N147" s="48"/>
      <c r="O147" s="5"/>
      <c r="P147" s="62"/>
      <c r="Q147" s="63"/>
      <c r="R147" s="29"/>
      <c r="S147" s="29"/>
      <c r="T147" s="29"/>
      <c r="U147" s="68"/>
      <c r="V147" s="97"/>
      <c r="W147" s="36"/>
      <c r="X147" s="36"/>
    </row>
    <row r="148" spans="1:24" x14ac:dyDescent="0.2">
      <c r="A148" s="28"/>
      <c r="B148" s="3"/>
      <c r="C148" s="3"/>
      <c r="D148" s="4"/>
      <c r="E148" s="4"/>
      <c r="F148" s="1"/>
      <c r="G148" s="1"/>
      <c r="H148" s="3"/>
      <c r="I148" s="5"/>
      <c r="J148" s="5"/>
      <c r="K148" s="5"/>
      <c r="L148" s="5"/>
      <c r="M148" s="5"/>
      <c r="N148" s="48"/>
      <c r="O148" s="5"/>
      <c r="P148" s="62"/>
      <c r="Q148" s="63"/>
      <c r="R148" s="29"/>
      <c r="S148" s="29"/>
      <c r="T148" s="29"/>
      <c r="U148" s="68"/>
      <c r="V148" s="97"/>
      <c r="W148" s="36"/>
      <c r="X148" s="36"/>
    </row>
    <row r="149" spans="1:24" x14ac:dyDescent="0.2">
      <c r="A149" s="28"/>
      <c r="B149" s="3"/>
      <c r="C149" s="3"/>
      <c r="D149" s="4"/>
      <c r="E149" s="4"/>
      <c r="F149" s="1"/>
      <c r="G149" s="1"/>
      <c r="H149" s="3"/>
      <c r="I149" s="8"/>
      <c r="J149" s="5"/>
      <c r="K149" s="5"/>
      <c r="L149" s="5"/>
      <c r="M149" s="5"/>
      <c r="N149" s="48"/>
      <c r="O149" s="5"/>
      <c r="P149" s="62"/>
      <c r="Q149" s="63"/>
      <c r="R149" s="29"/>
      <c r="S149" s="29"/>
      <c r="T149" s="29"/>
      <c r="U149" s="68"/>
      <c r="V149" s="97"/>
      <c r="W149" s="36"/>
      <c r="X149" s="36"/>
    </row>
    <row r="150" spans="1:24" x14ac:dyDescent="0.2">
      <c r="A150" s="28"/>
      <c r="B150" s="3"/>
      <c r="C150" s="3"/>
      <c r="D150" s="4"/>
      <c r="E150" s="4"/>
      <c r="F150" s="1"/>
      <c r="G150" s="1"/>
      <c r="H150" s="3"/>
      <c r="I150" s="5"/>
      <c r="J150" s="5"/>
      <c r="K150" s="5"/>
      <c r="L150" s="5"/>
      <c r="M150" s="5"/>
      <c r="N150" s="48"/>
      <c r="O150" s="5"/>
      <c r="P150" s="62"/>
      <c r="Q150" s="63"/>
      <c r="R150" s="29"/>
      <c r="S150" s="29"/>
      <c r="T150" s="29"/>
      <c r="U150" s="68"/>
      <c r="V150" s="97"/>
      <c r="W150" s="36"/>
      <c r="X150" s="36"/>
    </row>
    <row r="151" spans="1:24" x14ac:dyDescent="0.2">
      <c r="A151" s="28"/>
      <c r="B151" s="3"/>
      <c r="C151" s="3"/>
      <c r="D151" s="4"/>
      <c r="E151" s="4"/>
      <c r="F151" s="1"/>
      <c r="G151" s="1"/>
      <c r="H151" s="3"/>
      <c r="I151" s="5"/>
      <c r="J151" s="5"/>
      <c r="K151" s="5"/>
      <c r="L151" s="5"/>
      <c r="M151" s="5"/>
      <c r="N151" s="48"/>
      <c r="O151" s="5"/>
      <c r="P151" s="62"/>
      <c r="Q151" s="63"/>
      <c r="R151" s="29"/>
      <c r="S151" s="29"/>
      <c r="T151" s="29"/>
      <c r="U151" s="68"/>
      <c r="V151" s="97"/>
      <c r="W151" s="41"/>
      <c r="X151" s="36"/>
    </row>
    <row r="152" spans="1:24" x14ac:dyDescent="0.2">
      <c r="A152" s="28"/>
      <c r="B152" s="3"/>
      <c r="C152" s="3"/>
      <c r="D152" s="4"/>
      <c r="E152" s="4"/>
      <c r="F152" s="1"/>
      <c r="G152" s="1"/>
      <c r="H152" s="3"/>
      <c r="I152" s="5"/>
      <c r="J152" s="5"/>
      <c r="K152" s="5"/>
      <c r="L152" s="5"/>
      <c r="M152" s="5"/>
      <c r="N152" s="48"/>
      <c r="O152" s="5"/>
      <c r="P152" s="62"/>
      <c r="Q152" s="63"/>
      <c r="R152" s="29"/>
      <c r="S152" s="29"/>
      <c r="T152" s="29"/>
      <c r="U152" s="68"/>
      <c r="V152" s="97"/>
      <c r="W152" s="36"/>
      <c r="X152" s="36"/>
    </row>
    <row r="153" spans="1:24" x14ac:dyDescent="0.2">
      <c r="A153" s="28"/>
      <c r="B153" s="3"/>
      <c r="C153" s="3"/>
      <c r="D153" s="4"/>
      <c r="E153" s="4"/>
      <c r="F153" s="1"/>
      <c r="G153" s="1"/>
      <c r="H153" s="3"/>
      <c r="I153" s="5"/>
      <c r="J153" s="5"/>
      <c r="K153" s="5"/>
      <c r="L153" s="5"/>
      <c r="M153" s="5"/>
      <c r="N153" s="48"/>
      <c r="O153" s="5"/>
      <c r="P153" s="62"/>
      <c r="Q153" s="63"/>
      <c r="R153" s="29"/>
      <c r="S153" s="29"/>
      <c r="T153" s="29"/>
      <c r="U153" s="68"/>
      <c r="V153" s="97"/>
      <c r="W153" s="36"/>
      <c r="X153" s="36"/>
    </row>
    <row r="154" spans="1:24" x14ac:dyDescent="0.2">
      <c r="A154" s="28"/>
      <c r="B154" s="3"/>
      <c r="C154" s="3"/>
      <c r="D154" s="4"/>
      <c r="E154" s="4"/>
      <c r="F154" s="1"/>
      <c r="G154" s="1"/>
      <c r="H154" s="3"/>
      <c r="I154" s="8"/>
      <c r="J154" s="5"/>
      <c r="K154" s="5"/>
      <c r="L154" s="5"/>
      <c r="M154" s="5"/>
      <c r="N154" s="48"/>
      <c r="O154" s="5"/>
      <c r="P154" s="62"/>
      <c r="Q154" s="63"/>
      <c r="R154" s="41"/>
      <c r="S154" s="29"/>
      <c r="T154" s="29"/>
      <c r="U154" s="68"/>
      <c r="V154" s="97"/>
      <c r="W154" s="36"/>
      <c r="X154" s="36"/>
    </row>
    <row r="155" spans="1:24" x14ac:dyDescent="0.2">
      <c r="A155" s="28"/>
      <c r="B155" s="3"/>
      <c r="C155" s="3"/>
      <c r="D155" s="4"/>
      <c r="E155" s="4"/>
      <c r="F155" s="1"/>
      <c r="G155" s="1"/>
      <c r="H155" s="3"/>
      <c r="I155" s="8"/>
      <c r="J155" s="5"/>
      <c r="K155" s="5"/>
      <c r="L155" s="5"/>
      <c r="M155" s="5"/>
      <c r="N155" s="48"/>
      <c r="O155" s="5"/>
      <c r="P155" s="62"/>
      <c r="Q155" s="63"/>
      <c r="R155" s="41"/>
      <c r="S155" s="29"/>
      <c r="T155" s="29"/>
      <c r="U155" s="68"/>
      <c r="V155" s="97"/>
      <c r="W155" s="36"/>
      <c r="X155" s="36"/>
    </row>
    <row r="156" spans="1:24" x14ac:dyDescent="0.2">
      <c r="P156" s="35"/>
      <c r="Q156" s="35"/>
      <c r="R156" s="35"/>
      <c r="S156" s="35"/>
      <c r="T156" s="35"/>
      <c r="U156" s="64"/>
      <c r="V156" s="101"/>
      <c r="W156" s="64"/>
    </row>
    <row r="157" spans="1:24" x14ac:dyDescent="0.2">
      <c r="P157" s="35"/>
      <c r="Q157" s="35"/>
      <c r="R157" s="35"/>
      <c r="S157" s="35"/>
      <c r="T157" s="35"/>
      <c r="U157" s="64"/>
      <c r="V157" s="101"/>
      <c r="W157" s="64"/>
    </row>
  </sheetData>
  <pageMargins left="0.75" right="0.75" top="1" bottom="1" header="0.5" footer="0.5"/>
  <pageSetup orientation="portrait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52"/>
  <sheetViews>
    <sheetView topLeftCell="C4" zoomScale="115" workbookViewId="0">
      <selection activeCell="Q16" activeCellId="1" sqref="Q14 Q16"/>
    </sheetView>
  </sheetViews>
  <sheetFormatPr defaultRowHeight="12.75" x14ac:dyDescent="0.2"/>
  <cols>
    <col min="1" max="1" width="8.85546875" style="26" customWidth="1"/>
    <col min="2" max="2" width="9.140625" style="26"/>
    <col min="3" max="3" width="10.5703125" style="26" customWidth="1"/>
    <col min="4" max="5" width="7.7109375" style="26" customWidth="1"/>
    <col min="6" max="6" width="12.42578125" style="28" customWidth="1"/>
    <col min="7" max="7" width="8" style="28" customWidth="1"/>
    <col min="8" max="8" width="6.42578125" style="26" customWidth="1"/>
    <col min="9" max="9" width="8.85546875" style="26" customWidth="1"/>
    <col min="10" max="13" width="0" style="26" hidden="1" customWidth="1"/>
    <col min="14" max="14" width="0" style="52" hidden="1" customWidth="1"/>
    <col min="15" max="15" width="0" style="26" hidden="1" customWidth="1"/>
    <col min="16" max="16" width="12.28515625" style="26" customWidth="1"/>
    <col min="17" max="17" width="9.140625" style="26"/>
    <col min="18" max="18" width="13.7109375" style="26" customWidth="1"/>
    <col min="19" max="20" width="9.140625" style="26"/>
    <col min="21" max="21" width="13.5703125" style="39" customWidth="1"/>
    <col min="22" max="22" width="42.28515625" style="26" customWidth="1"/>
    <col min="23" max="24" width="9.140625" style="39"/>
    <col min="25" max="25" width="12.42578125" style="26" customWidth="1"/>
    <col min="26" max="16384" width="9.140625" style="26"/>
  </cols>
  <sheetData>
    <row r="1" spans="1:24" x14ac:dyDescent="0.2">
      <c r="A1" s="42" t="s">
        <v>88</v>
      </c>
      <c r="B1" s="3"/>
      <c r="C1" s="3"/>
      <c r="D1" s="4"/>
      <c r="E1" s="4"/>
      <c r="F1" s="1"/>
      <c r="G1" s="1"/>
      <c r="H1" s="3" t="s">
        <v>22</v>
      </c>
      <c r="I1" s="7">
        <v>31</v>
      </c>
      <c r="J1" s="61" t="s">
        <v>48</v>
      </c>
      <c r="K1" s="5"/>
      <c r="L1" s="5"/>
      <c r="M1" s="5"/>
      <c r="N1" s="48"/>
      <c r="O1" s="5"/>
      <c r="P1" s="25"/>
      <c r="Q1" s="2"/>
      <c r="R1" s="29"/>
      <c r="S1" s="29"/>
      <c r="T1" s="29"/>
      <c r="U1" s="68"/>
      <c r="V1" s="29"/>
      <c r="W1" s="36"/>
      <c r="X1" s="36"/>
    </row>
    <row r="2" spans="1:24" x14ac:dyDescent="0.2">
      <c r="A2" s="43" t="s">
        <v>39</v>
      </c>
      <c r="B2" s="43"/>
      <c r="C2" s="43"/>
      <c r="D2" s="4"/>
      <c r="E2" s="4"/>
      <c r="F2" s="1"/>
      <c r="G2" s="1"/>
      <c r="H2" s="3"/>
      <c r="I2" s="7"/>
      <c r="J2" s="61" t="s">
        <v>49</v>
      </c>
      <c r="K2" s="5"/>
      <c r="L2" s="5"/>
      <c r="M2" s="5"/>
      <c r="N2" s="48"/>
      <c r="O2" s="5"/>
      <c r="P2" s="25"/>
      <c r="Q2" s="2"/>
      <c r="R2" s="29"/>
      <c r="S2" s="29"/>
      <c r="T2" s="29"/>
      <c r="U2" s="68"/>
      <c r="V2" s="29"/>
      <c r="W2" s="36"/>
      <c r="X2" s="36"/>
    </row>
    <row r="3" spans="1:24" x14ac:dyDescent="0.2">
      <c r="A3" s="44" t="s">
        <v>40</v>
      </c>
      <c r="B3" s="44"/>
      <c r="C3" s="44"/>
      <c r="D3" s="4"/>
      <c r="E3" s="4"/>
      <c r="F3" s="6" t="s">
        <v>3</v>
      </c>
      <c r="G3" s="1" t="s">
        <v>3</v>
      </c>
      <c r="H3" s="2" t="s">
        <v>3</v>
      </c>
      <c r="I3" s="8"/>
      <c r="J3" s="32" t="s">
        <v>3</v>
      </c>
      <c r="K3" s="5"/>
      <c r="L3" s="32" t="s">
        <v>3</v>
      </c>
      <c r="M3" s="5"/>
      <c r="N3" s="48"/>
      <c r="O3" s="32" t="s">
        <v>3</v>
      </c>
      <c r="P3" s="25"/>
      <c r="Q3" s="2"/>
      <c r="R3" s="29"/>
      <c r="S3" s="29"/>
      <c r="T3" s="29"/>
      <c r="U3" s="68"/>
      <c r="V3" s="29"/>
      <c r="W3" s="36"/>
      <c r="X3" s="36"/>
    </row>
    <row r="4" spans="1:24" x14ac:dyDescent="0.2">
      <c r="A4" s="45" t="s">
        <v>50</v>
      </c>
      <c r="B4" s="46"/>
      <c r="C4" s="46"/>
      <c r="D4" s="4"/>
      <c r="E4" s="4"/>
      <c r="F4" s="33"/>
      <c r="G4" s="1"/>
      <c r="H4" s="33"/>
      <c r="I4" s="8"/>
      <c r="J4" s="33"/>
      <c r="K4" s="5"/>
      <c r="L4" s="33"/>
      <c r="M4" s="2"/>
      <c r="N4" s="48"/>
      <c r="O4" s="2"/>
      <c r="P4" s="25"/>
      <c r="Q4" s="2"/>
      <c r="R4" s="29"/>
      <c r="S4" s="34"/>
      <c r="T4" s="34"/>
      <c r="U4" s="69"/>
      <c r="V4" s="29"/>
      <c r="W4" s="36"/>
      <c r="X4" s="36"/>
    </row>
    <row r="5" spans="1:24" x14ac:dyDescent="0.2">
      <c r="A5" s="1" t="s">
        <v>51</v>
      </c>
      <c r="B5" s="3"/>
      <c r="C5" s="91" t="s">
        <v>89</v>
      </c>
      <c r="D5" s="4"/>
      <c r="E5" s="4"/>
      <c r="F5" s="33"/>
      <c r="G5" s="1"/>
      <c r="H5" s="33"/>
      <c r="I5" s="8"/>
      <c r="J5" s="33"/>
      <c r="K5" s="5"/>
      <c r="L5" s="33"/>
      <c r="M5" s="2"/>
      <c r="N5" s="48"/>
      <c r="O5" s="2"/>
      <c r="P5" s="25"/>
      <c r="Q5" s="2"/>
      <c r="R5" s="29"/>
      <c r="S5" s="34"/>
      <c r="T5" s="34"/>
      <c r="U5" s="69"/>
      <c r="V5" s="29"/>
      <c r="W5" s="36"/>
      <c r="X5" s="36"/>
    </row>
    <row r="6" spans="1:24" x14ac:dyDescent="0.2">
      <c r="A6" s="1"/>
      <c r="B6" s="3"/>
      <c r="C6" s="91" t="s">
        <v>87</v>
      </c>
      <c r="D6" s="4"/>
      <c r="E6" s="4"/>
      <c r="F6" s="33"/>
      <c r="G6" s="1"/>
      <c r="H6" s="33"/>
      <c r="I6" s="8"/>
      <c r="J6" s="33"/>
      <c r="K6" s="5"/>
      <c r="L6" s="33"/>
      <c r="M6" s="2"/>
      <c r="N6" s="48"/>
      <c r="O6" s="2"/>
      <c r="P6" s="25"/>
      <c r="Q6" s="2"/>
      <c r="R6" s="29"/>
      <c r="S6" s="34"/>
      <c r="T6" s="34"/>
      <c r="U6" s="69"/>
      <c r="V6" s="29"/>
      <c r="W6" s="36"/>
      <c r="X6" s="36"/>
    </row>
    <row r="7" spans="1:24" x14ac:dyDescent="0.2">
      <c r="A7" s="1"/>
      <c r="B7" s="3"/>
      <c r="C7" s="91" t="s">
        <v>90</v>
      </c>
      <c r="D7" s="4"/>
      <c r="E7" s="4"/>
      <c r="F7" s="33"/>
      <c r="G7" s="1"/>
      <c r="H7" s="33"/>
      <c r="I7" s="8"/>
      <c r="J7" s="33"/>
      <c r="K7" s="5"/>
      <c r="L7" s="33"/>
      <c r="M7" s="2"/>
      <c r="N7" s="48"/>
      <c r="O7" s="2"/>
      <c r="P7" s="25"/>
      <c r="Q7" s="2"/>
      <c r="R7" s="29"/>
      <c r="S7" s="34"/>
      <c r="T7" s="34"/>
      <c r="U7" s="69"/>
      <c r="V7" s="29"/>
      <c r="W7" s="36"/>
      <c r="X7" s="36"/>
    </row>
    <row r="8" spans="1:24" x14ac:dyDescent="0.2">
      <c r="A8" s="1"/>
      <c r="B8" s="3"/>
      <c r="C8" s="91"/>
      <c r="D8" s="4"/>
      <c r="E8" s="4"/>
      <c r="F8" s="33"/>
      <c r="G8" s="1"/>
      <c r="H8" s="33"/>
      <c r="I8" s="8"/>
      <c r="J8" s="33"/>
      <c r="K8" s="5"/>
      <c r="L8" s="33"/>
      <c r="M8" s="2"/>
      <c r="N8" s="48"/>
      <c r="O8" s="2"/>
      <c r="P8" s="25"/>
      <c r="Q8" s="2"/>
      <c r="R8" s="29"/>
      <c r="S8" s="34"/>
      <c r="T8" s="34"/>
      <c r="U8" s="69"/>
      <c r="V8" s="29"/>
      <c r="W8" s="36"/>
      <c r="X8" s="36"/>
    </row>
    <row r="9" spans="1:24" x14ac:dyDescent="0.2">
      <c r="A9" s="1"/>
      <c r="B9" s="3"/>
      <c r="C9" s="91"/>
      <c r="D9" s="4"/>
      <c r="E9" s="4"/>
      <c r="F9" s="33"/>
      <c r="G9" s="1"/>
      <c r="H9" s="33"/>
      <c r="I9" s="8"/>
      <c r="J9" s="33"/>
      <c r="K9" s="5"/>
      <c r="L9" s="33"/>
      <c r="M9" s="2"/>
      <c r="N9" s="48"/>
      <c r="O9" s="2"/>
      <c r="P9" s="25"/>
      <c r="Q9" s="2"/>
      <c r="R9" s="29"/>
      <c r="S9" s="34"/>
      <c r="T9" s="34"/>
      <c r="U9" s="69"/>
      <c r="V9" s="29"/>
      <c r="W9" s="36"/>
      <c r="X9" s="36"/>
    </row>
    <row r="10" spans="1:24" x14ac:dyDescent="0.2">
      <c r="A10" s="1"/>
      <c r="B10" s="3"/>
      <c r="C10" s="3"/>
      <c r="D10" s="4"/>
      <c r="E10" s="4"/>
      <c r="F10" s="33"/>
      <c r="G10" s="1"/>
      <c r="H10" s="33"/>
      <c r="I10" s="8"/>
      <c r="J10" s="33"/>
      <c r="K10" s="5"/>
      <c r="L10" s="33"/>
      <c r="M10" s="2"/>
      <c r="N10" s="48"/>
      <c r="O10" s="2"/>
      <c r="P10" s="25"/>
      <c r="Q10" s="2"/>
      <c r="R10" s="29"/>
      <c r="S10" s="34"/>
      <c r="T10" s="34"/>
      <c r="U10" s="69"/>
      <c r="V10" s="29"/>
      <c r="W10" s="36"/>
      <c r="X10" s="36"/>
    </row>
    <row r="11" spans="1:24" x14ac:dyDescent="0.2">
      <c r="A11" s="17" t="s">
        <v>4</v>
      </c>
      <c r="B11" s="18" t="s">
        <v>5</v>
      </c>
      <c r="C11" s="18" t="s">
        <v>6</v>
      </c>
      <c r="D11" s="19" t="s">
        <v>7</v>
      </c>
      <c r="E11" s="19"/>
      <c r="F11" s="17" t="s">
        <v>8</v>
      </c>
      <c r="G11" s="17" t="s">
        <v>9</v>
      </c>
      <c r="H11" s="18" t="s">
        <v>10</v>
      </c>
      <c r="I11" s="20" t="s">
        <v>11</v>
      </c>
      <c r="J11" s="18" t="s">
        <v>12</v>
      </c>
      <c r="K11" s="18" t="s">
        <v>13</v>
      </c>
      <c r="L11" s="18" t="s">
        <v>14</v>
      </c>
      <c r="M11" s="18" t="s">
        <v>15</v>
      </c>
      <c r="N11" s="49" t="s">
        <v>16</v>
      </c>
      <c r="O11" s="18" t="s">
        <v>17</v>
      </c>
      <c r="P11" s="21" t="s">
        <v>18</v>
      </c>
      <c r="Q11" s="18" t="s">
        <v>19</v>
      </c>
      <c r="R11" s="17" t="s">
        <v>20</v>
      </c>
      <c r="S11" s="22" t="s">
        <v>86</v>
      </c>
      <c r="T11" s="22" t="s">
        <v>85</v>
      </c>
      <c r="U11" s="70" t="s">
        <v>37</v>
      </c>
      <c r="V11" s="22" t="s">
        <v>52</v>
      </c>
      <c r="W11" s="37"/>
      <c r="X11" s="37"/>
    </row>
    <row r="12" spans="1:24" s="47" customFormat="1" x14ac:dyDescent="0.2">
      <c r="A12" s="43" t="s">
        <v>38</v>
      </c>
      <c r="B12" s="84" t="s">
        <v>46</v>
      </c>
      <c r="C12" s="84" t="s">
        <v>44</v>
      </c>
      <c r="D12" s="85">
        <v>36526</v>
      </c>
      <c r="E12" s="85">
        <v>36830</v>
      </c>
      <c r="F12" s="45" t="s">
        <v>59</v>
      </c>
      <c r="G12" s="45" t="s">
        <v>47</v>
      </c>
      <c r="H12" s="84"/>
      <c r="I12" s="54">
        <f>1.0603/I$1</f>
        <v>3.4203225806451611E-2</v>
      </c>
      <c r="J12" s="86">
        <v>1.6999999999999999E-3</v>
      </c>
      <c r="K12" s="86">
        <v>2.2000000000000001E-3</v>
      </c>
      <c r="L12" s="86">
        <v>0</v>
      </c>
      <c r="M12" s="86">
        <v>0</v>
      </c>
      <c r="N12" s="87">
        <v>5.9300000000000004E-3</v>
      </c>
      <c r="O12" s="86">
        <f t="shared" ref="O12:O18" si="0">SUM(I12:M12)</f>
        <v>3.8103225806451611E-2</v>
      </c>
      <c r="P12" s="88">
        <v>42789</v>
      </c>
      <c r="Q12" s="84">
        <v>30000</v>
      </c>
      <c r="R12" s="43" t="s">
        <v>60</v>
      </c>
      <c r="S12" s="89">
        <f t="shared" ref="S12:S18" si="1">I12*I$1*Q12</f>
        <v>31809</v>
      </c>
      <c r="T12" s="89"/>
      <c r="U12" s="83">
        <v>140447</v>
      </c>
      <c r="V12" s="43"/>
      <c r="W12" s="90"/>
      <c r="X12" s="90"/>
    </row>
    <row r="13" spans="1:24" s="47" customFormat="1" x14ac:dyDescent="0.2">
      <c r="A13" s="43" t="s">
        <v>38</v>
      </c>
      <c r="B13" s="84" t="s">
        <v>46</v>
      </c>
      <c r="C13" s="84" t="s">
        <v>44</v>
      </c>
      <c r="D13" s="85">
        <v>36526</v>
      </c>
      <c r="E13" s="85">
        <v>36830</v>
      </c>
      <c r="F13" s="45" t="s">
        <v>63</v>
      </c>
      <c r="G13" s="45" t="s">
        <v>47</v>
      </c>
      <c r="H13" s="84"/>
      <c r="I13" s="54">
        <f>1.0603/I$1</f>
        <v>3.4203225806451611E-2</v>
      </c>
      <c r="J13" s="86">
        <v>1.6999999999999999E-3</v>
      </c>
      <c r="K13" s="86">
        <v>2.2000000000000001E-3</v>
      </c>
      <c r="L13" s="86">
        <v>0</v>
      </c>
      <c r="M13" s="86">
        <v>0</v>
      </c>
      <c r="N13" s="87">
        <v>5.9300000000000004E-3</v>
      </c>
      <c r="O13" s="86">
        <f t="shared" si="0"/>
        <v>3.8103225806451611E-2</v>
      </c>
      <c r="P13" s="88">
        <v>50250</v>
      </c>
      <c r="Q13" s="84">
        <v>20000</v>
      </c>
      <c r="R13" s="43" t="s">
        <v>64</v>
      </c>
      <c r="S13" s="89">
        <f t="shared" si="1"/>
        <v>21206</v>
      </c>
      <c r="T13" s="89"/>
      <c r="U13" s="83">
        <v>140448</v>
      </c>
      <c r="V13" s="43"/>
      <c r="W13" s="90"/>
      <c r="X13" s="90"/>
    </row>
    <row r="14" spans="1:24" s="47" customFormat="1" x14ac:dyDescent="0.2">
      <c r="A14" s="43" t="s">
        <v>38</v>
      </c>
      <c r="B14" s="84" t="s">
        <v>46</v>
      </c>
      <c r="C14" s="84" t="s">
        <v>44</v>
      </c>
      <c r="D14" s="85">
        <v>36526</v>
      </c>
      <c r="E14" s="85">
        <v>38442</v>
      </c>
      <c r="F14" s="45" t="s">
        <v>47</v>
      </c>
      <c r="G14" s="45" t="s">
        <v>34</v>
      </c>
      <c r="H14" s="84"/>
      <c r="I14" s="54">
        <f>3.145/I$1</f>
        <v>0.10145161290322581</v>
      </c>
      <c r="J14" s="86">
        <v>1.7000000000000001E-2</v>
      </c>
      <c r="K14" s="86">
        <v>2.2000000000000001E-3</v>
      </c>
      <c r="L14" s="86">
        <v>0</v>
      </c>
      <c r="M14" s="86">
        <v>0</v>
      </c>
      <c r="N14" s="87">
        <v>2.988E-2</v>
      </c>
      <c r="O14" s="86">
        <f t="shared" si="0"/>
        <v>0.12065161290322581</v>
      </c>
      <c r="P14" s="88">
        <v>58654</v>
      </c>
      <c r="Q14" s="84">
        <v>15000</v>
      </c>
      <c r="R14" s="43" t="s">
        <v>55</v>
      </c>
      <c r="S14" s="89">
        <f t="shared" si="1"/>
        <v>47175</v>
      </c>
      <c r="T14" s="89"/>
      <c r="U14" s="83">
        <v>140445</v>
      </c>
      <c r="V14" s="43"/>
      <c r="W14" s="90"/>
      <c r="X14" s="90"/>
    </row>
    <row r="15" spans="1:24" s="47" customFormat="1" x14ac:dyDescent="0.2">
      <c r="A15" s="43" t="s">
        <v>38</v>
      </c>
      <c r="B15" s="84" t="s">
        <v>46</v>
      </c>
      <c r="C15" s="84" t="s">
        <v>44</v>
      </c>
      <c r="D15" s="85">
        <v>36526</v>
      </c>
      <c r="E15" s="85">
        <v>37955</v>
      </c>
      <c r="F15" s="45" t="s">
        <v>56</v>
      </c>
      <c r="G15" s="45" t="s">
        <v>57</v>
      </c>
      <c r="H15" s="84"/>
      <c r="I15" s="54">
        <f>1.0603/I$1</f>
        <v>3.4203225806451611E-2</v>
      </c>
      <c r="J15" s="86">
        <v>1.6999999999999999E-3</v>
      </c>
      <c r="K15" s="86">
        <v>2.2000000000000001E-3</v>
      </c>
      <c r="L15" s="86">
        <v>0</v>
      </c>
      <c r="M15" s="86">
        <v>0</v>
      </c>
      <c r="N15" s="87">
        <v>5.9300000000000004E-3</v>
      </c>
      <c r="O15" s="86">
        <f t="shared" si="0"/>
        <v>3.8103225806451611E-2</v>
      </c>
      <c r="P15" s="88">
        <v>62408</v>
      </c>
      <c r="Q15" s="84">
        <v>40000</v>
      </c>
      <c r="R15" s="43" t="s">
        <v>58</v>
      </c>
      <c r="S15" s="89">
        <f t="shared" si="1"/>
        <v>42412</v>
      </c>
      <c r="T15" s="89"/>
      <c r="U15" s="83">
        <v>140443</v>
      </c>
      <c r="V15" s="43"/>
      <c r="W15" s="90"/>
      <c r="X15" s="90"/>
    </row>
    <row r="16" spans="1:24" s="47" customFormat="1" x14ac:dyDescent="0.2">
      <c r="A16" s="43" t="s">
        <v>38</v>
      </c>
      <c r="B16" s="84" t="s">
        <v>46</v>
      </c>
      <c r="C16" s="84" t="s">
        <v>44</v>
      </c>
      <c r="D16" s="85">
        <v>36526</v>
      </c>
      <c r="E16" s="85">
        <v>37346</v>
      </c>
      <c r="F16" s="45" t="s">
        <v>47</v>
      </c>
      <c r="G16" s="45" t="s">
        <v>34</v>
      </c>
      <c r="H16" s="84"/>
      <c r="I16" s="54">
        <v>8.7999999999999995E-2</v>
      </c>
      <c r="J16" s="86">
        <v>1.7000000000000001E-2</v>
      </c>
      <c r="K16" s="86">
        <v>2.2000000000000001E-3</v>
      </c>
      <c r="L16" s="86">
        <v>0</v>
      </c>
      <c r="M16" s="86">
        <v>0</v>
      </c>
      <c r="N16" s="87">
        <v>2.988E-2</v>
      </c>
      <c r="O16" s="86">
        <f t="shared" si="0"/>
        <v>0.10719999999999999</v>
      </c>
      <c r="P16" s="88">
        <v>63115</v>
      </c>
      <c r="Q16" s="84">
        <v>30000</v>
      </c>
      <c r="R16" s="43" t="s">
        <v>55</v>
      </c>
      <c r="S16" s="89">
        <f t="shared" si="1"/>
        <v>81840</v>
      </c>
      <c r="T16" s="89"/>
      <c r="U16" s="83">
        <v>140442</v>
      </c>
      <c r="V16" s="43"/>
      <c r="W16" s="90"/>
      <c r="X16" s="90"/>
    </row>
    <row r="17" spans="1:24" s="47" customFormat="1" x14ac:dyDescent="0.2">
      <c r="A17" s="43" t="s">
        <v>38</v>
      </c>
      <c r="B17" s="84" t="s">
        <v>46</v>
      </c>
      <c r="C17" s="84" t="s">
        <v>44</v>
      </c>
      <c r="D17" s="85">
        <v>36526</v>
      </c>
      <c r="E17" s="85">
        <v>38291</v>
      </c>
      <c r="F17" s="45" t="s">
        <v>61</v>
      </c>
      <c r="G17" s="45" t="s">
        <v>47</v>
      </c>
      <c r="H17" s="84"/>
      <c r="I17" s="54">
        <f>1.0603/I$1</f>
        <v>3.4203225806451611E-2</v>
      </c>
      <c r="J17" s="86">
        <v>1.6999999999999999E-3</v>
      </c>
      <c r="K17" s="86">
        <v>2.2000000000000001E-3</v>
      </c>
      <c r="L17" s="86">
        <v>0</v>
      </c>
      <c r="M17" s="86">
        <v>0</v>
      </c>
      <c r="N17" s="87">
        <v>5.9300000000000004E-3</v>
      </c>
      <c r="O17" s="86">
        <f t="shared" si="0"/>
        <v>3.8103225806451611E-2</v>
      </c>
      <c r="P17" s="88">
        <v>63922</v>
      </c>
      <c r="Q17" s="84">
        <v>25654</v>
      </c>
      <c r="R17" s="43" t="s">
        <v>62</v>
      </c>
      <c r="S17" s="89">
        <f t="shared" si="1"/>
        <v>27200.9362</v>
      </c>
      <c r="T17" s="89"/>
      <c r="U17" s="83">
        <v>140444</v>
      </c>
      <c r="V17" s="43"/>
      <c r="W17" s="90"/>
      <c r="X17" s="90"/>
    </row>
    <row r="18" spans="1:24" s="47" customFormat="1" x14ac:dyDescent="0.2">
      <c r="A18" s="43" t="s">
        <v>38</v>
      </c>
      <c r="B18" s="84" t="s">
        <v>46</v>
      </c>
      <c r="C18" s="84" t="s">
        <v>44</v>
      </c>
      <c r="D18" s="85">
        <v>36526</v>
      </c>
      <c r="E18" s="85">
        <v>36769</v>
      </c>
      <c r="F18" s="45" t="s">
        <v>42</v>
      </c>
      <c r="G18" s="45" t="s">
        <v>43</v>
      </c>
      <c r="H18" s="84"/>
      <c r="I18" s="54">
        <v>6.4799999999999996E-2</v>
      </c>
      <c r="J18" s="86">
        <v>0</v>
      </c>
      <c r="K18" s="86">
        <v>2.2000000000000001E-3</v>
      </c>
      <c r="L18" s="86">
        <v>0</v>
      </c>
      <c r="M18" s="86">
        <v>0</v>
      </c>
      <c r="N18" s="87">
        <v>5.9300000000000004E-3</v>
      </c>
      <c r="O18" s="86">
        <f t="shared" si="0"/>
        <v>6.699999999999999E-2</v>
      </c>
      <c r="P18" s="88">
        <v>64502</v>
      </c>
      <c r="Q18" s="84">
        <v>29000</v>
      </c>
      <c r="R18" s="43" t="s">
        <v>45</v>
      </c>
      <c r="S18" s="89">
        <f t="shared" si="1"/>
        <v>58255.199999999997</v>
      </c>
      <c r="T18" s="89"/>
      <c r="U18" s="83">
        <v>140440</v>
      </c>
      <c r="V18" s="89"/>
      <c r="W18" s="90"/>
      <c r="X18" s="90"/>
    </row>
    <row r="20" spans="1:24" x14ac:dyDescent="0.2">
      <c r="A20" s="10" t="s">
        <v>3</v>
      </c>
      <c r="B20" s="11" t="s">
        <v>3</v>
      </c>
      <c r="C20" s="12" t="s">
        <v>3</v>
      </c>
      <c r="D20" s="13" t="s">
        <v>3</v>
      </c>
      <c r="E20" s="13"/>
      <c r="F20" s="10" t="s">
        <v>3</v>
      </c>
      <c r="G20" s="31" t="s">
        <v>3</v>
      </c>
      <c r="H20" s="11" t="s">
        <v>3</v>
      </c>
      <c r="I20" s="14"/>
      <c r="J20" s="15"/>
      <c r="K20" s="15"/>
      <c r="L20" s="15"/>
      <c r="M20" s="15"/>
      <c r="N20" s="50"/>
      <c r="O20" s="15"/>
      <c r="P20" s="27" t="s">
        <v>3</v>
      </c>
      <c r="Q20" s="11">
        <f>SUM(Q12:Q18)</f>
        <v>189654</v>
      </c>
      <c r="R20" s="10" t="s">
        <v>3</v>
      </c>
      <c r="S20" s="23">
        <f>SUM(S12:S18)</f>
        <v>309898.13620000001</v>
      </c>
      <c r="T20" s="23">
        <f>SUM(T12:T18)</f>
        <v>0</v>
      </c>
      <c r="U20" s="72"/>
      <c r="V20" s="16"/>
      <c r="W20" s="37"/>
      <c r="X20" s="37"/>
    </row>
    <row r="21" spans="1:24" x14ac:dyDescent="0.2">
      <c r="A21" s="17" t="s">
        <v>4</v>
      </c>
      <c r="B21" s="18" t="s">
        <v>5</v>
      </c>
      <c r="C21" s="18" t="s">
        <v>6</v>
      </c>
      <c r="D21" s="19" t="s">
        <v>7</v>
      </c>
      <c r="E21" s="19"/>
      <c r="F21" s="17" t="s">
        <v>8</v>
      </c>
      <c r="G21" s="17" t="s">
        <v>9</v>
      </c>
      <c r="H21" s="18" t="s">
        <v>10</v>
      </c>
      <c r="I21" s="20" t="s">
        <v>11</v>
      </c>
      <c r="J21" s="18" t="s">
        <v>12</v>
      </c>
      <c r="K21" s="18" t="s">
        <v>13</v>
      </c>
      <c r="L21" s="18" t="s">
        <v>14</v>
      </c>
      <c r="M21" s="18" t="s">
        <v>15</v>
      </c>
      <c r="N21" s="49" t="s">
        <v>16</v>
      </c>
      <c r="O21" s="18" t="s">
        <v>17</v>
      </c>
      <c r="P21" s="21" t="s">
        <v>18</v>
      </c>
      <c r="Q21" s="18" t="s">
        <v>19</v>
      </c>
      <c r="R21" s="17" t="s">
        <v>20</v>
      </c>
      <c r="S21" s="22" t="s">
        <v>21</v>
      </c>
      <c r="T21" s="22" t="s">
        <v>21</v>
      </c>
      <c r="U21" s="70"/>
      <c r="V21" s="22" t="str">
        <f>+V11</f>
        <v>Questions</v>
      </c>
      <c r="W21" s="37"/>
      <c r="X21" s="37"/>
    </row>
    <row r="22" spans="1:24" s="47" customFormat="1" x14ac:dyDescent="0.2">
      <c r="A22" s="43" t="s">
        <v>150</v>
      </c>
      <c r="B22" s="84" t="s">
        <v>65</v>
      </c>
      <c r="C22" s="84" t="s">
        <v>44</v>
      </c>
      <c r="D22" s="85">
        <v>36526</v>
      </c>
      <c r="E22" s="85">
        <v>36646</v>
      </c>
      <c r="F22" s="45" t="s">
        <v>75</v>
      </c>
      <c r="G22" s="45" t="s">
        <v>71</v>
      </c>
      <c r="H22" s="84"/>
      <c r="I22" s="54">
        <f>6.53/I$1</f>
        <v>0.2106451612903226</v>
      </c>
      <c r="J22" s="86">
        <v>1.32E-2</v>
      </c>
      <c r="K22" s="86">
        <v>2.2000000000000001E-3</v>
      </c>
      <c r="L22" s="86">
        <v>7.4999999999999997E-3</v>
      </c>
      <c r="M22" s="86">
        <v>0</v>
      </c>
      <c r="N22" s="87">
        <v>2.1160000000000002E-2</v>
      </c>
      <c r="O22" s="86">
        <f t="shared" ref="O22:O32" si="2">SUM(I22:M22)</f>
        <v>0.2335451612903226</v>
      </c>
      <c r="P22" s="88">
        <v>37956</v>
      </c>
      <c r="Q22" s="84">
        <v>600</v>
      </c>
      <c r="R22" s="43" t="s">
        <v>82</v>
      </c>
      <c r="S22" s="89">
        <f t="shared" ref="S22:S32" si="3">I22*I$1*Q22</f>
        <v>3918</v>
      </c>
      <c r="T22" s="89"/>
      <c r="U22" s="83">
        <v>140439</v>
      </c>
      <c r="V22" s="89"/>
      <c r="W22" s="90"/>
      <c r="X22" s="90"/>
    </row>
    <row r="23" spans="1:24" s="47" customFormat="1" x14ac:dyDescent="0.2">
      <c r="A23" s="43" t="s">
        <v>150</v>
      </c>
      <c r="B23" s="84" t="s">
        <v>65</v>
      </c>
      <c r="C23" s="84" t="s">
        <v>44</v>
      </c>
      <c r="D23" s="85">
        <v>36526</v>
      </c>
      <c r="E23" s="85">
        <v>36830</v>
      </c>
      <c r="F23" s="45" t="s">
        <v>79</v>
      </c>
      <c r="G23" s="45" t="s">
        <v>71</v>
      </c>
      <c r="H23" s="84"/>
      <c r="I23" s="54">
        <v>0.15</v>
      </c>
      <c r="J23" s="86">
        <v>1.32E-2</v>
      </c>
      <c r="K23" s="86">
        <v>2.2000000000000001E-3</v>
      </c>
      <c r="L23" s="86">
        <v>7.4999999999999997E-3</v>
      </c>
      <c r="M23" s="86">
        <v>0</v>
      </c>
      <c r="N23" s="87">
        <v>2.1160000000000002E-2</v>
      </c>
      <c r="O23" s="86">
        <f t="shared" si="2"/>
        <v>0.1729</v>
      </c>
      <c r="P23" s="88">
        <v>61825</v>
      </c>
      <c r="Q23" s="84">
        <v>8000</v>
      </c>
      <c r="R23" s="43" t="s">
        <v>80</v>
      </c>
      <c r="S23" s="89">
        <f t="shared" si="3"/>
        <v>37199.999999999993</v>
      </c>
      <c r="T23" s="89"/>
      <c r="U23" s="83">
        <v>140437</v>
      </c>
      <c r="V23" s="89"/>
      <c r="W23" s="90"/>
      <c r="X23" s="90"/>
    </row>
    <row r="24" spans="1:24" s="47" customFormat="1" x14ac:dyDescent="0.2">
      <c r="A24" s="43" t="s">
        <v>150</v>
      </c>
      <c r="B24" s="84" t="s">
        <v>65</v>
      </c>
      <c r="C24" s="84" t="s">
        <v>44</v>
      </c>
      <c r="D24" s="85">
        <v>36526</v>
      </c>
      <c r="E24" s="85">
        <v>36830</v>
      </c>
      <c r="F24" s="45" t="s">
        <v>70</v>
      </c>
      <c r="G24" s="45" t="s">
        <v>71</v>
      </c>
      <c r="H24" s="84"/>
      <c r="I24" s="54">
        <v>0.15</v>
      </c>
      <c r="J24" s="86">
        <v>1.32E-2</v>
      </c>
      <c r="K24" s="86">
        <v>2.2000000000000001E-3</v>
      </c>
      <c r="L24" s="86">
        <v>7.4999999999999997E-3</v>
      </c>
      <c r="M24" s="86">
        <v>0</v>
      </c>
      <c r="N24" s="87">
        <v>2.1160000000000002E-2</v>
      </c>
      <c r="O24" s="86">
        <f t="shared" si="2"/>
        <v>0.1729</v>
      </c>
      <c r="P24" s="88">
        <v>61990</v>
      </c>
      <c r="Q24" s="84">
        <v>2000</v>
      </c>
      <c r="R24" s="43" t="s">
        <v>81</v>
      </c>
      <c r="S24" s="89">
        <f t="shared" si="3"/>
        <v>9299.9999999999982</v>
      </c>
      <c r="T24" s="89"/>
      <c r="U24" s="83">
        <v>140438</v>
      </c>
      <c r="V24" s="89"/>
      <c r="W24" s="90"/>
      <c r="X24" s="90"/>
    </row>
    <row r="25" spans="1:24" s="82" customFormat="1" x14ac:dyDescent="0.2">
      <c r="A25" s="43" t="s">
        <v>150</v>
      </c>
      <c r="B25" s="75" t="s">
        <v>65</v>
      </c>
      <c r="C25" s="75" t="s">
        <v>44</v>
      </c>
      <c r="D25" s="76">
        <v>36526</v>
      </c>
      <c r="E25" s="76">
        <v>36616</v>
      </c>
      <c r="F25" s="44" t="s">
        <v>70</v>
      </c>
      <c r="G25" s="44" t="s">
        <v>71</v>
      </c>
      <c r="H25" s="75"/>
      <c r="I25" s="77">
        <v>0.15</v>
      </c>
      <c r="J25" s="66">
        <v>1.32E-2</v>
      </c>
      <c r="K25" s="66">
        <v>2.2000000000000001E-3</v>
      </c>
      <c r="L25" s="66">
        <v>7.4999999999999997E-3</v>
      </c>
      <c r="M25" s="66">
        <v>0</v>
      </c>
      <c r="N25" s="65">
        <v>2.1160000000000002E-2</v>
      </c>
      <c r="O25" s="66">
        <f t="shared" si="2"/>
        <v>0.1729</v>
      </c>
      <c r="P25" s="78">
        <v>62039</v>
      </c>
      <c r="Q25" s="75">
        <v>20000</v>
      </c>
      <c r="R25" s="44" t="s">
        <v>72</v>
      </c>
      <c r="S25" s="79">
        <f t="shared" si="3"/>
        <v>92999.999999999985</v>
      </c>
      <c r="T25" s="79"/>
      <c r="U25" s="80"/>
      <c r="V25" s="44" t="s">
        <v>142</v>
      </c>
      <c r="W25" s="81"/>
      <c r="X25" s="81"/>
    </row>
    <row r="26" spans="1:24" s="47" customFormat="1" x14ac:dyDescent="0.2">
      <c r="A26" s="43" t="s">
        <v>150</v>
      </c>
      <c r="B26" s="84" t="s">
        <v>65</v>
      </c>
      <c r="C26" s="84" t="s">
        <v>44</v>
      </c>
      <c r="D26" s="85">
        <v>36526</v>
      </c>
      <c r="E26" s="85">
        <v>36616</v>
      </c>
      <c r="F26" s="45" t="s">
        <v>66</v>
      </c>
      <c r="G26" s="45" t="s">
        <v>67</v>
      </c>
      <c r="H26" s="84"/>
      <c r="I26" s="54">
        <v>0.05</v>
      </c>
      <c r="J26" s="86">
        <v>1.32E-2</v>
      </c>
      <c r="K26" s="86">
        <v>2.2000000000000001E-3</v>
      </c>
      <c r="L26" s="86">
        <v>7.4999999999999997E-3</v>
      </c>
      <c r="M26" s="86">
        <v>0</v>
      </c>
      <c r="N26" s="87">
        <v>2.1160000000000002E-2</v>
      </c>
      <c r="O26" s="86">
        <f t="shared" si="2"/>
        <v>7.2899999999999993E-2</v>
      </c>
      <c r="P26" s="88">
        <v>62978</v>
      </c>
      <c r="Q26" s="84">
        <v>8000</v>
      </c>
      <c r="R26" s="43" t="s">
        <v>68</v>
      </c>
      <c r="S26" s="89">
        <f t="shared" si="3"/>
        <v>12400</v>
      </c>
      <c r="T26" s="89"/>
      <c r="U26" s="83">
        <v>139318</v>
      </c>
      <c r="V26" s="89"/>
      <c r="W26" s="90"/>
      <c r="X26" s="90"/>
    </row>
    <row r="27" spans="1:24" s="47" customFormat="1" x14ac:dyDescent="0.2">
      <c r="A27" s="43" t="s">
        <v>150</v>
      </c>
      <c r="B27" s="84" t="s">
        <v>65</v>
      </c>
      <c r="C27" s="84" t="s">
        <v>44</v>
      </c>
      <c r="D27" s="85">
        <v>36526</v>
      </c>
      <c r="E27" s="85">
        <v>36616</v>
      </c>
      <c r="F27" s="45" t="s">
        <v>66</v>
      </c>
      <c r="G27" s="45" t="s">
        <v>67</v>
      </c>
      <c r="H27" s="84"/>
      <c r="I27" s="54">
        <v>4.4999999999999998E-2</v>
      </c>
      <c r="J27" s="86">
        <v>1.32E-2</v>
      </c>
      <c r="K27" s="86">
        <v>2.2000000000000001E-3</v>
      </c>
      <c r="L27" s="86">
        <v>7.4999999999999997E-3</v>
      </c>
      <c r="M27" s="86">
        <v>0</v>
      </c>
      <c r="N27" s="87">
        <v>2.1160000000000002E-2</v>
      </c>
      <c r="O27" s="86">
        <f t="shared" si="2"/>
        <v>6.7900000000000002E-2</v>
      </c>
      <c r="P27" s="88">
        <v>63764</v>
      </c>
      <c r="Q27" s="84">
        <v>10000</v>
      </c>
      <c r="R27" s="43" t="s">
        <v>69</v>
      </c>
      <c r="S27" s="89">
        <f t="shared" si="3"/>
        <v>13950</v>
      </c>
      <c r="T27" s="89"/>
      <c r="U27" s="83">
        <v>139469</v>
      </c>
      <c r="V27" s="89"/>
      <c r="W27" s="90"/>
      <c r="X27" s="90"/>
    </row>
    <row r="28" spans="1:24" s="47" customFormat="1" x14ac:dyDescent="0.2">
      <c r="A28" s="43" t="s">
        <v>150</v>
      </c>
      <c r="B28" s="84" t="s">
        <v>65</v>
      </c>
      <c r="C28" s="84" t="s">
        <v>44</v>
      </c>
      <c r="D28" s="85">
        <v>36526</v>
      </c>
      <c r="E28" s="85">
        <v>36830</v>
      </c>
      <c r="F28" s="45" t="s">
        <v>34</v>
      </c>
      <c r="G28" s="45" t="s">
        <v>78</v>
      </c>
      <c r="H28" s="84"/>
      <c r="I28" s="54">
        <f>6.53/I$1</f>
        <v>0.2106451612903226</v>
      </c>
      <c r="J28" s="86">
        <v>1.32E-2</v>
      </c>
      <c r="K28" s="86">
        <v>2.2000000000000001E-3</v>
      </c>
      <c r="L28" s="86">
        <v>7.4999999999999997E-3</v>
      </c>
      <c r="M28" s="86">
        <v>0</v>
      </c>
      <c r="N28" s="87">
        <v>2.1160000000000002E-2</v>
      </c>
      <c r="O28" s="86">
        <f t="shared" si="2"/>
        <v>0.2335451612903226</v>
      </c>
      <c r="P28" s="88">
        <v>65026</v>
      </c>
      <c r="Q28" s="84">
        <v>128</v>
      </c>
      <c r="R28" s="43" t="s">
        <v>76</v>
      </c>
      <c r="S28" s="89">
        <f t="shared" si="3"/>
        <v>835.84</v>
      </c>
      <c r="T28" s="89"/>
      <c r="U28" s="83">
        <v>140436</v>
      </c>
      <c r="V28" s="43" t="s">
        <v>137</v>
      </c>
      <c r="W28" s="90"/>
      <c r="X28" s="90"/>
    </row>
    <row r="29" spans="1:24" s="47" customFormat="1" x14ac:dyDescent="0.2">
      <c r="A29" s="43" t="s">
        <v>150</v>
      </c>
      <c r="B29" s="84" t="s">
        <v>65</v>
      </c>
      <c r="C29" s="84" t="s">
        <v>44</v>
      </c>
      <c r="D29" s="85">
        <v>36526</v>
      </c>
      <c r="E29" s="85">
        <v>36830</v>
      </c>
      <c r="F29" s="45" t="s">
        <v>77</v>
      </c>
      <c r="G29" s="45" t="s">
        <v>67</v>
      </c>
      <c r="H29" s="84"/>
      <c r="I29" s="54">
        <f>6.53/I$1</f>
        <v>0.2106451612903226</v>
      </c>
      <c r="J29" s="86">
        <v>1.32E-2</v>
      </c>
      <c r="K29" s="86">
        <v>2.2000000000000001E-3</v>
      </c>
      <c r="L29" s="86">
        <v>7.4999999999999997E-3</v>
      </c>
      <c r="M29" s="86">
        <v>0</v>
      </c>
      <c r="N29" s="87">
        <v>2.1160000000000002E-2</v>
      </c>
      <c r="O29" s="86">
        <f t="shared" si="2"/>
        <v>0.2335451612903226</v>
      </c>
      <c r="P29" s="88">
        <v>65041</v>
      </c>
      <c r="Q29" s="84">
        <v>9619</v>
      </c>
      <c r="R29" s="43" t="s">
        <v>76</v>
      </c>
      <c r="S29" s="89">
        <f t="shared" si="3"/>
        <v>62812.07</v>
      </c>
      <c r="T29" s="89"/>
      <c r="U29" s="83">
        <v>140435</v>
      </c>
      <c r="V29" s="43" t="s">
        <v>137</v>
      </c>
      <c r="W29" s="90"/>
      <c r="X29" s="90"/>
    </row>
    <row r="30" spans="1:24" s="47" customFormat="1" x14ac:dyDescent="0.2">
      <c r="A30" s="43" t="s">
        <v>150</v>
      </c>
      <c r="B30" s="84" t="s">
        <v>65</v>
      </c>
      <c r="C30" s="84" t="s">
        <v>44</v>
      </c>
      <c r="D30" s="85">
        <v>36526</v>
      </c>
      <c r="E30" s="85">
        <v>36830</v>
      </c>
      <c r="F30" s="45" t="s">
        <v>75</v>
      </c>
      <c r="G30" s="45" t="s">
        <v>67</v>
      </c>
      <c r="H30" s="84"/>
      <c r="I30" s="54">
        <f>6.53/I$1</f>
        <v>0.2106451612903226</v>
      </c>
      <c r="J30" s="86">
        <v>1.32E-2</v>
      </c>
      <c r="K30" s="86">
        <v>2.2000000000000001E-3</v>
      </c>
      <c r="L30" s="86">
        <v>7.4999999999999997E-3</v>
      </c>
      <c r="M30" s="86">
        <v>0</v>
      </c>
      <c r="N30" s="87">
        <v>2.1160000000000002E-2</v>
      </c>
      <c r="O30" s="86">
        <f t="shared" si="2"/>
        <v>0.2335451612903226</v>
      </c>
      <c r="P30" s="88">
        <v>65042</v>
      </c>
      <c r="Q30" s="84">
        <v>4427</v>
      </c>
      <c r="R30" s="43" t="s">
        <v>76</v>
      </c>
      <c r="S30" s="89">
        <f t="shared" si="3"/>
        <v>28908.31</v>
      </c>
      <c r="T30" s="89"/>
      <c r="U30" s="83">
        <v>140434</v>
      </c>
      <c r="V30" s="43" t="s">
        <v>137</v>
      </c>
      <c r="W30" s="90"/>
      <c r="X30" s="90"/>
    </row>
    <row r="31" spans="1:24" s="47" customFormat="1" x14ac:dyDescent="0.2">
      <c r="A31" s="43" t="s">
        <v>150</v>
      </c>
      <c r="B31" s="84" t="s">
        <v>65</v>
      </c>
      <c r="C31" s="84" t="s">
        <v>44</v>
      </c>
      <c r="D31" s="85">
        <v>36526</v>
      </c>
      <c r="E31" s="85">
        <v>37011</v>
      </c>
      <c r="F31" s="45" t="s">
        <v>34</v>
      </c>
      <c r="G31" s="45" t="s">
        <v>73</v>
      </c>
      <c r="H31" s="84"/>
      <c r="I31" s="54">
        <v>0.20599999999999999</v>
      </c>
      <c r="J31" s="86">
        <v>1.32E-2</v>
      </c>
      <c r="K31" s="86">
        <v>2.2000000000000001E-3</v>
      </c>
      <c r="L31" s="86">
        <v>7.4999999999999997E-3</v>
      </c>
      <c r="M31" s="86">
        <v>0</v>
      </c>
      <c r="N31" s="87">
        <v>2.1160000000000002E-2</v>
      </c>
      <c r="O31" s="86">
        <f t="shared" si="2"/>
        <v>0.22889999999999999</v>
      </c>
      <c r="P31" s="88">
        <v>65108</v>
      </c>
      <c r="Q31" s="84">
        <v>5000</v>
      </c>
      <c r="R31" s="43" t="s">
        <v>74</v>
      </c>
      <c r="S31" s="89">
        <f t="shared" si="3"/>
        <v>31929.999999999996</v>
      </c>
      <c r="T31" s="89"/>
      <c r="U31" s="83">
        <v>140433</v>
      </c>
      <c r="V31" s="43" t="s">
        <v>137</v>
      </c>
      <c r="W31" s="90"/>
      <c r="X31" s="90"/>
    </row>
    <row r="32" spans="1:24" s="60" customFormat="1" x14ac:dyDescent="0.2">
      <c r="A32" s="43" t="s">
        <v>150</v>
      </c>
      <c r="B32" s="46" t="s">
        <v>65</v>
      </c>
      <c r="C32" s="46" t="s">
        <v>83</v>
      </c>
      <c r="D32" s="53">
        <v>36434</v>
      </c>
      <c r="E32" s="53">
        <v>36714</v>
      </c>
      <c r="F32" s="45" t="s">
        <v>75</v>
      </c>
      <c r="G32" s="45" t="s">
        <v>84</v>
      </c>
      <c r="H32" s="46"/>
      <c r="I32" s="54">
        <v>8.5000000000000006E-2</v>
      </c>
      <c r="J32" s="55">
        <v>1.32E-2</v>
      </c>
      <c r="K32" s="55">
        <v>2.2000000000000001E-3</v>
      </c>
      <c r="L32" s="55">
        <v>7.4999999999999997E-3</v>
      </c>
      <c r="M32" s="55">
        <v>0</v>
      </c>
      <c r="N32" s="56">
        <v>2.1160000000000002E-2</v>
      </c>
      <c r="O32" s="55">
        <f t="shared" si="2"/>
        <v>0.1079</v>
      </c>
      <c r="P32" s="59"/>
      <c r="Q32" s="46">
        <v>40000</v>
      </c>
      <c r="R32" s="45" t="s">
        <v>82</v>
      </c>
      <c r="S32" s="57">
        <f t="shared" si="3"/>
        <v>105400.00000000001</v>
      </c>
      <c r="T32" s="57"/>
      <c r="U32" s="71"/>
      <c r="V32" s="57"/>
      <c r="W32" s="58"/>
      <c r="X32" s="58"/>
    </row>
    <row r="33" spans="1:24" x14ac:dyDescent="0.2">
      <c r="A33" s="10" t="s">
        <v>3</v>
      </c>
      <c r="B33" s="11" t="s">
        <v>3</v>
      </c>
      <c r="C33" s="11" t="s">
        <v>3</v>
      </c>
      <c r="D33" s="13" t="s">
        <v>3</v>
      </c>
      <c r="E33" s="13" t="s">
        <v>3</v>
      </c>
      <c r="F33" s="10" t="s">
        <v>3</v>
      </c>
      <c r="G33" s="31" t="s">
        <v>3</v>
      </c>
      <c r="H33" s="11" t="s">
        <v>3</v>
      </c>
      <c r="I33" s="14"/>
      <c r="J33" s="15"/>
      <c r="K33" s="15"/>
      <c r="L33" s="15"/>
      <c r="M33" s="15"/>
      <c r="N33" s="50"/>
      <c r="O33" s="15"/>
      <c r="P33" s="27" t="s">
        <v>3</v>
      </c>
      <c r="Q33" s="11">
        <f>SUM(Q22:Q32)</f>
        <v>107774</v>
      </c>
      <c r="R33" s="10" t="s">
        <v>3</v>
      </c>
      <c r="S33" s="23">
        <f>SUM(S22:S32)</f>
        <v>399654.22</v>
      </c>
      <c r="T33" s="23">
        <f>SUM(T22:T32)</f>
        <v>0</v>
      </c>
      <c r="U33" s="72"/>
      <c r="V33" s="23"/>
      <c r="W33" s="37"/>
      <c r="X33" s="37"/>
    </row>
    <row r="34" spans="1:24" x14ac:dyDescent="0.2">
      <c r="A34" s="17" t="s">
        <v>4</v>
      </c>
      <c r="B34" s="18" t="s">
        <v>5</v>
      </c>
      <c r="C34" s="18" t="s">
        <v>6</v>
      </c>
      <c r="D34" s="19" t="s">
        <v>7</v>
      </c>
      <c r="E34" s="19"/>
      <c r="F34" s="17" t="s">
        <v>8</v>
      </c>
      <c r="G34" s="17" t="s">
        <v>9</v>
      </c>
      <c r="H34" s="18" t="s">
        <v>91</v>
      </c>
      <c r="I34" s="20" t="s">
        <v>11</v>
      </c>
      <c r="J34" s="18" t="s">
        <v>12</v>
      </c>
      <c r="K34" s="18" t="s">
        <v>13</v>
      </c>
      <c r="L34" s="18" t="s">
        <v>14</v>
      </c>
      <c r="M34" s="18" t="s">
        <v>15</v>
      </c>
      <c r="N34" s="49" t="s">
        <v>16</v>
      </c>
      <c r="O34" s="18" t="s">
        <v>17</v>
      </c>
      <c r="P34" s="21" t="s">
        <v>18</v>
      </c>
      <c r="Q34" s="18" t="s">
        <v>19</v>
      </c>
      <c r="R34" s="17" t="s">
        <v>20</v>
      </c>
      <c r="S34" s="22" t="s">
        <v>86</v>
      </c>
      <c r="T34" s="22" t="s">
        <v>85</v>
      </c>
      <c r="U34" s="70" t="s">
        <v>37</v>
      </c>
      <c r="V34" s="99">
        <f>+V2</f>
        <v>0</v>
      </c>
      <c r="W34" s="37"/>
      <c r="X34" s="37"/>
    </row>
    <row r="35" spans="1:24" s="47" customFormat="1" x14ac:dyDescent="0.2">
      <c r="A35" s="43" t="s">
        <v>168</v>
      </c>
      <c r="B35" s="84" t="s">
        <v>1</v>
      </c>
      <c r="C35" s="84" t="s">
        <v>243</v>
      </c>
      <c r="D35" s="85">
        <v>36526</v>
      </c>
      <c r="E35" s="85">
        <v>36556</v>
      </c>
      <c r="F35" s="43" t="s">
        <v>244</v>
      </c>
      <c r="G35" s="95" t="s">
        <v>245</v>
      </c>
      <c r="H35" s="84" t="s">
        <v>227</v>
      </c>
      <c r="I35" s="67">
        <f>8.061/$I$1</f>
        <v>0.26003225806451613</v>
      </c>
      <c r="J35" s="86">
        <v>0</v>
      </c>
      <c r="K35" s="86">
        <v>2.2000000000000001E-3</v>
      </c>
      <c r="L35" s="86">
        <v>7.1999999999999998E-3</v>
      </c>
      <c r="M35" s="86">
        <v>1.3100000000000001E-2</v>
      </c>
      <c r="N35" s="87">
        <v>0</v>
      </c>
      <c r="O35" s="86">
        <f>SUM(I35:M35)</f>
        <v>0.2825322580645161</v>
      </c>
      <c r="P35" s="102" t="s">
        <v>251</v>
      </c>
      <c r="Q35" s="84">
        <v>10000</v>
      </c>
      <c r="R35" s="43" t="s">
        <v>246</v>
      </c>
      <c r="S35" s="89">
        <f>I35*I$1*Q35</f>
        <v>80610</v>
      </c>
      <c r="T35" s="89"/>
      <c r="U35" s="103" t="s">
        <v>286</v>
      </c>
      <c r="V35" s="43"/>
      <c r="W35" s="90"/>
      <c r="X35" s="90"/>
    </row>
    <row r="36" spans="1:24" x14ac:dyDescent="0.2">
      <c r="A36" s="1"/>
      <c r="B36" s="3"/>
      <c r="C36" s="3"/>
      <c r="D36" s="4"/>
      <c r="E36" s="4"/>
      <c r="F36" s="1"/>
      <c r="G36" s="1"/>
      <c r="H36" s="3"/>
      <c r="I36" s="8"/>
      <c r="J36" s="5"/>
      <c r="K36" s="24"/>
      <c r="L36" s="5"/>
      <c r="M36" s="5"/>
      <c r="N36" s="48"/>
      <c r="O36" s="5"/>
      <c r="P36" s="25"/>
      <c r="Q36" s="2"/>
      <c r="R36" s="3"/>
      <c r="S36" s="9"/>
      <c r="T36" s="9"/>
      <c r="U36" s="73"/>
      <c r="V36" s="9"/>
      <c r="W36" s="37"/>
      <c r="X36" s="37"/>
    </row>
    <row r="37" spans="1:24" x14ac:dyDescent="0.2">
      <c r="A37" s="1"/>
      <c r="B37" s="3"/>
      <c r="C37" s="3"/>
      <c r="D37" s="4"/>
      <c r="E37" s="4"/>
      <c r="F37" s="1"/>
      <c r="G37" s="1"/>
      <c r="H37" s="3"/>
      <c r="I37" s="8"/>
      <c r="J37" s="5"/>
      <c r="K37" s="24"/>
      <c r="L37" s="5"/>
      <c r="M37" s="5"/>
      <c r="N37" s="48"/>
      <c r="O37" s="5"/>
      <c r="P37" s="25"/>
      <c r="Q37" s="2"/>
      <c r="R37" s="3"/>
      <c r="S37" s="92"/>
      <c r="T37" s="9"/>
      <c r="U37" s="73"/>
      <c r="V37" s="9"/>
      <c r="W37" s="37"/>
      <c r="X37" s="37"/>
    </row>
    <row r="38" spans="1:24" x14ac:dyDescent="0.2">
      <c r="A38" s="1"/>
      <c r="B38" s="3"/>
      <c r="C38" s="3"/>
      <c r="D38" s="4"/>
      <c r="E38" s="4"/>
      <c r="F38" s="1"/>
      <c r="G38" s="1"/>
      <c r="H38" s="3"/>
      <c r="I38" s="8"/>
      <c r="J38" s="5"/>
      <c r="K38" s="24"/>
      <c r="L38" s="5"/>
      <c r="M38" s="5"/>
      <c r="N38" s="51"/>
      <c r="O38" s="5"/>
      <c r="P38" s="25"/>
      <c r="Q38" s="3"/>
      <c r="R38" s="3"/>
      <c r="V38" s="30"/>
      <c r="W38" s="38"/>
      <c r="X38" s="38"/>
    </row>
    <row r="39" spans="1:24" x14ac:dyDescent="0.2">
      <c r="A39" s="1"/>
      <c r="B39" s="3"/>
      <c r="C39" s="3"/>
      <c r="D39" s="4" t="s">
        <v>3</v>
      </c>
      <c r="E39" s="4"/>
      <c r="F39" s="1"/>
      <c r="G39" s="1"/>
      <c r="H39" s="3"/>
      <c r="I39" s="8"/>
      <c r="J39" s="5"/>
      <c r="K39" s="24"/>
      <c r="L39" s="5"/>
      <c r="M39" s="5"/>
      <c r="N39" s="48"/>
      <c r="O39" s="5"/>
      <c r="P39" s="62"/>
      <c r="Q39" s="34"/>
      <c r="R39" s="41"/>
      <c r="S39" s="93"/>
      <c r="T39" s="40"/>
      <c r="U39" s="74"/>
      <c r="V39" s="40"/>
      <c r="W39" s="36"/>
      <c r="X39" s="36"/>
    </row>
    <row r="40" spans="1:24" x14ac:dyDescent="0.2">
      <c r="A40" s="28"/>
      <c r="B40" s="3"/>
      <c r="C40" s="3"/>
      <c r="D40" s="4"/>
      <c r="E40" s="4"/>
      <c r="F40" s="1"/>
      <c r="G40" s="1"/>
      <c r="H40" s="3"/>
      <c r="I40" s="8"/>
      <c r="J40" s="5"/>
      <c r="K40" s="5"/>
      <c r="L40" s="5"/>
      <c r="M40" s="5"/>
      <c r="N40" s="48"/>
      <c r="O40" s="5"/>
      <c r="P40" s="62"/>
      <c r="Q40" s="63"/>
      <c r="R40" s="41"/>
      <c r="S40" s="29"/>
      <c r="T40" s="29"/>
      <c r="U40" s="68"/>
      <c r="V40" s="29"/>
      <c r="W40" s="36"/>
      <c r="X40" s="36"/>
    </row>
    <row r="41" spans="1:24" x14ac:dyDescent="0.2">
      <c r="A41" s="28"/>
      <c r="B41" s="3"/>
      <c r="C41" s="3"/>
      <c r="D41" s="4"/>
      <c r="E41" s="4"/>
      <c r="F41" s="1"/>
      <c r="G41" s="1"/>
      <c r="H41" s="3"/>
      <c r="I41" s="5"/>
      <c r="J41" s="5"/>
      <c r="K41" s="5"/>
      <c r="L41" s="5"/>
      <c r="M41" s="5"/>
      <c r="N41" s="48"/>
      <c r="O41" s="5"/>
      <c r="P41" s="62"/>
      <c r="Q41" s="63"/>
      <c r="R41" s="29"/>
      <c r="S41" s="29"/>
      <c r="T41" s="29"/>
      <c r="U41" s="68"/>
      <c r="V41" s="29"/>
      <c r="W41" s="36"/>
      <c r="X41" s="36"/>
    </row>
    <row r="42" spans="1:24" x14ac:dyDescent="0.2">
      <c r="A42" s="28"/>
      <c r="B42" s="3"/>
      <c r="C42" s="3"/>
      <c r="D42" s="4"/>
      <c r="E42" s="4"/>
      <c r="F42" s="1"/>
      <c r="G42" s="1"/>
      <c r="H42" s="3"/>
      <c r="I42" s="8"/>
      <c r="J42" s="5"/>
      <c r="K42" s="5"/>
      <c r="L42" s="5"/>
      <c r="M42" s="5"/>
      <c r="N42" s="48"/>
      <c r="O42" s="5"/>
      <c r="P42" s="62"/>
      <c r="Q42" s="63"/>
      <c r="R42" s="29"/>
      <c r="S42" s="29"/>
      <c r="T42" s="29"/>
      <c r="U42" s="68"/>
      <c r="V42" s="29"/>
      <c r="W42" s="36"/>
      <c r="X42" s="36"/>
    </row>
    <row r="43" spans="1:24" x14ac:dyDescent="0.2">
      <c r="A43" s="28"/>
      <c r="B43" s="3"/>
      <c r="C43" s="3"/>
      <c r="D43" s="4"/>
      <c r="E43" s="4"/>
      <c r="F43" s="1"/>
      <c r="G43" s="1"/>
      <c r="H43" s="3"/>
      <c r="I43" s="5"/>
      <c r="J43" s="5"/>
      <c r="K43" s="5"/>
      <c r="L43" s="5"/>
      <c r="M43" s="5"/>
      <c r="N43" s="48"/>
      <c r="O43" s="5"/>
      <c r="P43" s="62"/>
      <c r="Q43" s="63"/>
      <c r="R43" s="29"/>
      <c r="S43" s="29"/>
      <c r="T43" s="29"/>
      <c r="U43" s="68"/>
      <c r="V43" s="29"/>
      <c r="W43" s="36"/>
      <c r="X43" s="36"/>
    </row>
    <row r="44" spans="1:24" x14ac:dyDescent="0.2">
      <c r="A44" s="28"/>
      <c r="B44" s="3"/>
      <c r="C44" s="3"/>
      <c r="D44" s="4"/>
      <c r="E44" s="4"/>
      <c r="F44" s="1"/>
      <c r="G44" s="1"/>
      <c r="H44" s="3"/>
      <c r="I44" s="8"/>
      <c r="J44" s="5"/>
      <c r="K44" s="5"/>
      <c r="L44" s="5"/>
      <c r="M44" s="5"/>
      <c r="N44" s="48"/>
      <c r="O44" s="5"/>
      <c r="P44" s="62"/>
      <c r="Q44" s="63"/>
      <c r="R44" s="29"/>
      <c r="S44" s="29"/>
      <c r="T44" s="29"/>
      <c r="U44" s="68"/>
      <c r="V44" s="29"/>
      <c r="W44" s="36"/>
      <c r="X44" s="36"/>
    </row>
    <row r="45" spans="1:24" x14ac:dyDescent="0.2">
      <c r="A45" s="28"/>
      <c r="B45" s="3"/>
      <c r="C45" s="3"/>
      <c r="D45" s="4"/>
      <c r="E45" s="4"/>
      <c r="F45" s="1"/>
      <c r="G45" s="1"/>
      <c r="H45" s="3"/>
      <c r="I45" s="5"/>
      <c r="J45" s="5"/>
      <c r="K45" s="5"/>
      <c r="L45" s="5"/>
      <c r="M45" s="5"/>
      <c r="N45" s="48"/>
      <c r="O45" s="5"/>
      <c r="P45" s="62"/>
      <c r="Q45" s="63"/>
      <c r="R45" s="29"/>
      <c r="S45" s="29"/>
      <c r="T45" s="29"/>
      <c r="U45" s="68"/>
      <c r="V45" s="29"/>
      <c r="W45" s="36"/>
      <c r="X45" s="36"/>
    </row>
    <row r="46" spans="1:24" x14ac:dyDescent="0.2">
      <c r="A46" s="28"/>
      <c r="B46" s="3"/>
      <c r="C46" s="3"/>
      <c r="D46" s="4"/>
      <c r="E46" s="4"/>
      <c r="F46" s="1"/>
      <c r="G46" s="1"/>
      <c r="H46" s="3"/>
      <c r="I46" s="5"/>
      <c r="J46" s="5"/>
      <c r="K46" s="5"/>
      <c r="L46" s="5"/>
      <c r="M46" s="5"/>
      <c r="N46" s="48"/>
      <c r="O46" s="5"/>
      <c r="P46" s="62"/>
      <c r="Q46" s="63"/>
      <c r="R46" s="29"/>
      <c r="S46" s="29"/>
      <c r="T46" s="29"/>
      <c r="U46" s="68"/>
      <c r="V46" s="29"/>
      <c r="W46" s="41"/>
      <c r="X46" s="36"/>
    </row>
    <row r="47" spans="1:24" x14ac:dyDescent="0.2">
      <c r="A47" s="28"/>
      <c r="B47" s="3"/>
      <c r="C47" s="3"/>
      <c r="D47" s="4"/>
      <c r="E47" s="4"/>
      <c r="F47" s="1"/>
      <c r="G47" s="1"/>
      <c r="H47" s="3"/>
      <c r="I47" s="5"/>
      <c r="J47" s="5"/>
      <c r="K47" s="5"/>
      <c r="L47" s="5"/>
      <c r="M47" s="5"/>
      <c r="N47" s="48"/>
      <c r="O47" s="5"/>
      <c r="P47" s="62"/>
      <c r="Q47" s="63"/>
      <c r="R47" s="29"/>
      <c r="S47" s="29"/>
      <c r="T47" s="29"/>
      <c r="U47" s="68"/>
      <c r="V47" s="29"/>
      <c r="W47" s="36"/>
      <c r="X47" s="36"/>
    </row>
    <row r="48" spans="1:24" x14ac:dyDescent="0.2">
      <c r="A48" s="28"/>
      <c r="B48" s="3"/>
      <c r="C48" s="3"/>
      <c r="D48" s="4"/>
      <c r="E48" s="4"/>
      <c r="F48" s="1"/>
      <c r="G48" s="1"/>
      <c r="H48" s="3"/>
      <c r="I48" s="5"/>
      <c r="J48" s="5"/>
      <c r="K48" s="5"/>
      <c r="L48" s="5"/>
      <c r="M48" s="5"/>
      <c r="N48" s="48"/>
      <c r="O48" s="5"/>
      <c r="P48" s="62"/>
      <c r="Q48" s="63"/>
      <c r="R48" s="29"/>
      <c r="S48" s="29"/>
      <c r="T48" s="29"/>
      <c r="U48" s="68"/>
      <c r="V48" s="29"/>
      <c r="W48" s="36"/>
      <c r="X48" s="36"/>
    </row>
    <row r="49" spans="1:24" x14ac:dyDescent="0.2">
      <c r="A49" s="28"/>
      <c r="B49" s="3"/>
      <c r="C49" s="3"/>
      <c r="D49" s="4"/>
      <c r="E49" s="4"/>
      <c r="F49" s="1"/>
      <c r="G49" s="1"/>
      <c r="H49" s="3"/>
      <c r="I49" s="8"/>
      <c r="J49" s="5"/>
      <c r="K49" s="5"/>
      <c r="L49" s="5"/>
      <c r="M49" s="5"/>
      <c r="N49" s="48"/>
      <c r="O49" s="5"/>
      <c r="P49" s="62"/>
      <c r="Q49" s="63"/>
      <c r="R49" s="41"/>
      <c r="S49" s="29"/>
      <c r="T49" s="29"/>
      <c r="U49" s="68"/>
      <c r="V49" s="29"/>
      <c r="W49" s="36"/>
      <c r="X49" s="36"/>
    </row>
    <row r="50" spans="1:24" x14ac:dyDescent="0.2">
      <c r="A50" s="28"/>
      <c r="B50" s="3"/>
      <c r="C50" s="3"/>
      <c r="D50" s="4"/>
      <c r="E50" s="4"/>
      <c r="F50" s="1"/>
      <c r="G50" s="1"/>
      <c r="H50" s="3"/>
      <c r="I50" s="8"/>
      <c r="J50" s="5"/>
      <c r="K50" s="5"/>
      <c r="L50" s="5"/>
      <c r="M50" s="5"/>
      <c r="N50" s="48"/>
      <c r="O50" s="5"/>
      <c r="P50" s="62"/>
      <c r="Q50" s="63"/>
      <c r="R50" s="41"/>
      <c r="S50" s="29"/>
      <c r="T50" s="29"/>
      <c r="U50" s="68"/>
      <c r="V50" s="29"/>
      <c r="W50" s="36"/>
      <c r="X50" s="36"/>
    </row>
    <row r="51" spans="1:24" x14ac:dyDescent="0.2">
      <c r="P51" s="35"/>
      <c r="Q51" s="35"/>
      <c r="R51" s="35"/>
      <c r="S51" s="35"/>
      <c r="T51" s="35"/>
      <c r="U51" s="64"/>
      <c r="V51" s="35"/>
      <c r="W51" s="64"/>
    </row>
    <row r="52" spans="1:24" x14ac:dyDescent="0.2">
      <c r="P52" s="35"/>
      <c r="Q52" s="35"/>
      <c r="R52" s="35"/>
      <c r="S52" s="35"/>
      <c r="T52" s="35"/>
      <c r="U52" s="64"/>
      <c r="V52" s="35"/>
      <c r="W52" s="64"/>
    </row>
  </sheetData>
  <pageMargins left="0.75" right="0.75" top="1" bottom="1" header="0.5" footer="0.5"/>
  <pageSetup paperSize="5" scale="81" orientation="landscape" horizont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Ces Retail</vt:lpstr>
      <vt:lpstr>Ces Wholesale</vt:lpstr>
    </vt:vector>
  </TitlesOfParts>
  <Company>Enron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</dc:creator>
  <cp:lastModifiedBy>Felienne</cp:lastModifiedBy>
  <cp:lastPrinted>1999-12-23T14:30:58Z</cp:lastPrinted>
  <dcterms:created xsi:type="dcterms:W3CDTF">1998-07-21T12:15:25Z</dcterms:created>
  <dcterms:modified xsi:type="dcterms:W3CDTF">2014-09-03T12:31:43Z</dcterms:modified>
</cp:coreProperties>
</file>