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090" windowHeight="5340" tabRatio="602" activeTab="2"/>
  </bookViews>
  <sheets>
    <sheet name="Ces Retail" sheetId="19" r:id="rId1"/>
    <sheet name="IT &amp; Pooling" sheetId="20" r:id="rId2"/>
    <sheet name="Ces Wholesale" sheetId="18" r:id="rId3"/>
  </sheets>
  <calcPr calcId="152511"/>
</workbook>
</file>

<file path=xl/calcChain.xml><?xml version="1.0" encoding="utf-8"?>
<calcChain xmlns="http://schemas.openxmlformats.org/spreadsheetml/2006/main">
  <c r="I12" i="19" l="1"/>
  <c r="S12" i="19" s="1"/>
  <c r="O12" i="19"/>
  <c r="I13" i="19"/>
  <c r="O13" i="19"/>
  <c r="S13" i="19"/>
  <c r="I14" i="19"/>
  <c r="O14" i="19"/>
  <c r="S14" i="19"/>
  <c r="I15" i="19"/>
  <c r="O15" i="19" s="1"/>
  <c r="I16" i="19"/>
  <c r="S16" i="19" s="1"/>
  <c r="O16" i="19"/>
  <c r="I17" i="19"/>
  <c r="O17" i="19"/>
  <c r="S17" i="19"/>
  <c r="I18" i="19"/>
  <c r="O18" i="19"/>
  <c r="S18" i="19"/>
  <c r="I19" i="19"/>
  <c r="O19" i="19" s="1"/>
  <c r="I20" i="19"/>
  <c r="S20" i="19" s="1"/>
  <c r="O20" i="19"/>
  <c r="I21" i="19"/>
  <c r="O21" i="19"/>
  <c r="S21" i="19"/>
  <c r="I22" i="19"/>
  <c r="O22" i="19"/>
  <c r="S22" i="19"/>
  <c r="I23" i="19"/>
  <c r="O23" i="19" s="1"/>
  <c r="I24" i="19"/>
  <c r="S24" i="19" s="1"/>
  <c r="O24" i="19"/>
  <c r="I25" i="19"/>
  <c r="O25" i="19"/>
  <c r="S25" i="19"/>
  <c r="Q26" i="19"/>
  <c r="T26" i="19"/>
  <c r="I28" i="19"/>
  <c r="O28" i="19" s="1"/>
  <c r="I29" i="19"/>
  <c r="S29" i="19" s="1"/>
  <c r="O29" i="19"/>
  <c r="I30" i="19"/>
  <c r="O30" i="19"/>
  <c r="S30" i="19"/>
  <c r="I31" i="19"/>
  <c r="O31" i="19"/>
  <c r="S31" i="19"/>
  <c r="I32" i="19"/>
  <c r="O32" i="19" s="1"/>
  <c r="I33" i="19"/>
  <c r="S33" i="19" s="1"/>
  <c r="O33" i="19"/>
  <c r="O34" i="19"/>
  <c r="S34" i="19"/>
  <c r="I35" i="19"/>
  <c r="O35" i="19" s="1"/>
  <c r="I36" i="19"/>
  <c r="S36" i="19" s="1"/>
  <c r="O36" i="19"/>
  <c r="Q40" i="19"/>
  <c r="T40" i="19"/>
  <c r="V41" i="19"/>
  <c r="I42" i="19"/>
  <c r="O42" i="19"/>
  <c r="S42" i="19"/>
  <c r="I43" i="19"/>
  <c r="O43" i="19"/>
  <c r="S43" i="19"/>
  <c r="O44" i="19"/>
  <c r="S44" i="19"/>
  <c r="I45" i="19"/>
  <c r="O45" i="19"/>
  <c r="S45" i="19"/>
  <c r="O46" i="19"/>
  <c r="S46" i="19"/>
  <c r="I47" i="19"/>
  <c r="S47" i="19" s="1"/>
  <c r="O47" i="19"/>
  <c r="O48" i="19"/>
  <c r="S48" i="19"/>
  <c r="I49" i="19"/>
  <c r="O49" i="19" s="1"/>
  <c r="O50" i="19"/>
  <c r="S50" i="19"/>
  <c r="I51" i="19"/>
  <c r="O51" i="19"/>
  <c r="S51" i="19"/>
  <c r="I52" i="19"/>
  <c r="O52" i="19" s="1"/>
  <c r="I53" i="19"/>
  <c r="S53" i="19" s="1"/>
  <c r="O53" i="19"/>
  <c r="I54" i="19"/>
  <c r="O54" i="19"/>
  <c r="S54" i="19"/>
  <c r="I55" i="19"/>
  <c r="O55" i="19"/>
  <c r="S55" i="19"/>
  <c r="I56" i="19"/>
  <c r="O56" i="19" s="1"/>
  <c r="O57" i="19"/>
  <c r="S57" i="19"/>
  <c r="I58" i="19"/>
  <c r="O58" i="19"/>
  <c r="S58" i="19"/>
  <c r="O59" i="19"/>
  <c r="S59" i="19"/>
  <c r="I60" i="19"/>
  <c r="O60" i="19"/>
  <c r="S60" i="19"/>
  <c r="I61" i="19"/>
  <c r="O61" i="19"/>
  <c r="S61" i="19"/>
  <c r="I62" i="19"/>
  <c r="O62" i="19" s="1"/>
  <c r="I63" i="19"/>
  <c r="S63" i="19" s="1"/>
  <c r="O63" i="19"/>
  <c r="I64" i="19"/>
  <c r="O64" i="19"/>
  <c r="S64" i="19"/>
  <c r="I65" i="19"/>
  <c r="O65" i="19"/>
  <c r="S65" i="19"/>
  <c r="I66" i="19"/>
  <c r="O66" i="19" s="1"/>
  <c r="I67" i="19"/>
  <c r="S67" i="19" s="1"/>
  <c r="O67" i="19"/>
  <c r="I68" i="19"/>
  <c r="O68" i="19"/>
  <c r="S68" i="19"/>
  <c r="I69" i="19"/>
  <c r="O69" i="19"/>
  <c r="S69" i="19"/>
  <c r="I70" i="19"/>
  <c r="O70" i="19" s="1"/>
  <c r="I71" i="19"/>
  <c r="S71" i="19" s="1"/>
  <c r="O71" i="19"/>
  <c r="I72" i="19"/>
  <c r="O72" i="19"/>
  <c r="S72" i="19"/>
  <c r="O73" i="19"/>
  <c r="S73" i="19"/>
  <c r="I74" i="19"/>
  <c r="S74" i="19" s="1"/>
  <c r="O74" i="19"/>
  <c r="I75" i="19"/>
  <c r="O75" i="19"/>
  <c r="S75" i="19"/>
  <c r="I76" i="19"/>
  <c r="O76" i="19"/>
  <c r="S76" i="19"/>
  <c r="I77" i="19"/>
  <c r="O77" i="19" s="1"/>
  <c r="I78" i="19"/>
  <c r="S78" i="19" s="1"/>
  <c r="O78" i="19"/>
  <c r="I79" i="19"/>
  <c r="O79" i="19"/>
  <c r="S79" i="19"/>
  <c r="I80" i="19"/>
  <c r="O80" i="19"/>
  <c r="S80" i="19"/>
  <c r="Q81" i="19"/>
  <c r="T81" i="19"/>
  <c r="V82" i="19"/>
  <c r="I83" i="19"/>
  <c r="O83" i="19" s="1"/>
  <c r="I84" i="19"/>
  <c r="S84" i="19" s="1"/>
  <c r="O84" i="19"/>
  <c r="I85" i="19"/>
  <c r="O85" i="19"/>
  <c r="S85" i="19"/>
  <c r="I86" i="19"/>
  <c r="O86" i="19"/>
  <c r="S86" i="19"/>
  <c r="I87" i="19"/>
  <c r="O87" i="19" s="1"/>
  <c r="I88" i="19"/>
  <c r="S88" i="19" s="1"/>
  <c r="O88" i="19"/>
  <c r="I89" i="19"/>
  <c r="O89" i="19"/>
  <c r="S89" i="19"/>
  <c r="I90" i="19"/>
  <c r="O90" i="19"/>
  <c r="S90" i="19"/>
  <c r="I91" i="19"/>
  <c r="O91" i="19" s="1"/>
  <c r="I92" i="19"/>
  <c r="S92" i="19" s="1"/>
  <c r="O92" i="19"/>
  <c r="I93" i="19"/>
  <c r="O93" i="19"/>
  <c r="S93" i="19"/>
  <c r="I94" i="19"/>
  <c r="O94" i="19"/>
  <c r="S94" i="19"/>
  <c r="I95" i="19"/>
  <c r="O95" i="19" s="1"/>
  <c r="I96" i="19"/>
  <c r="S96" i="19" s="1"/>
  <c r="O96" i="19"/>
  <c r="I97" i="19"/>
  <c r="O97" i="19"/>
  <c r="S97" i="19"/>
  <c r="I98" i="19"/>
  <c r="O98" i="19"/>
  <c r="S98" i="19"/>
  <c r="O99" i="19"/>
  <c r="S99" i="19"/>
  <c r="O100" i="19"/>
  <c r="S100" i="19"/>
  <c r="Q101" i="19"/>
  <c r="V102" i="19"/>
  <c r="O103" i="19"/>
  <c r="S103" i="19"/>
  <c r="O104" i="19"/>
  <c r="S104" i="19"/>
  <c r="I105" i="19"/>
  <c r="O105" i="19"/>
  <c r="S105" i="19"/>
  <c r="O106" i="19"/>
  <c r="S106" i="19"/>
  <c r="O107" i="19"/>
  <c r="S107" i="19"/>
  <c r="O108" i="19"/>
  <c r="S108" i="19"/>
  <c r="O109" i="19"/>
  <c r="S109" i="19"/>
  <c r="V112" i="19"/>
  <c r="O113" i="19"/>
  <c r="S113" i="19"/>
  <c r="O114" i="19"/>
  <c r="S114" i="19"/>
  <c r="O115" i="19"/>
  <c r="S115" i="19"/>
  <c r="O116" i="19"/>
  <c r="S116" i="19"/>
  <c r="O117" i="19"/>
  <c r="S117" i="19"/>
  <c r="O118" i="19"/>
  <c r="S118" i="19"/>
  <c r="O119" i="19"/>
  <c r="S119" i="19"/>
  <c r="O120" i="19"/>
  <c r="S120" i="19"/>
  <c r="O121" i="19"/>
  <c r="S121" i="19"/>
  <c r="O122" i="19"/>
  <c r="S122" i="19"/>
  <c r="O123" i="19"/>
  <c r="S123" i="19"/>
  <c r="Q124" i="19"/>
  <c r="V125" i="19"/>
  <c r="O126" i="19"/>
  <c r="S126" i="19"/>
  <c r="O127" i="19"/>
  <c r="S127" i="19"/>
  <c r="O128" i="19"/>
  <c r="S128" i="19"/>
  <c r="O129" i="19"/>
  <c r="S129" i="19"/>
  <c r="O130" i="19"/>
  <c r="S130" i="19"/>
  <c r="O131" i="19"/>
  <c r="S131" i="19"/>
  <c r="O132" i="19"/>
  <c r="T132" i="19"/>
  <c r="Q133" i="19"/>
  <c r="V134" i="19"/>
  <c r="O135" i="19"/>
  <c r="S135" i="19"/>
  <c r="O136" i="19"/>
  <c r="S136" i="19"/>
  <c r="O137" i="19"/>
  <c r="Q137" i="19"/>
  <c r="S137" i="19"/>
  <c r="I138" i="19"/>
  <c r="O138" i="19"/>
  <c r="S138" i="19"/>
  <c r="I139" i="19"/>
  <c r="O139" i="19" s="1"/>
  <c r="I140" i="19"/>
  <c r="S140" i="19" s="1"/>
  <c r="O140" i="19"/>
  <c r="Q140" i="19"/>
  <c r="I141" i="19"/>
  <c r="S141" i="19" s="1"/>
  <c r="O141" i="19"/>
  <c r="I142" i="19"/>
  <c r="O142" i="19"/>
  <c r="S142" i="19"/>
  <c r="I143" i="19"/>
  <c r="O143" i="19"/>
  <c r="Q143" i="19"/>
  <c r="S143" i="19"/>
  <c r="I144" i="19"/>
  <c r="O144" i="19"/>
  <c r="S144" i="19"/>
  <c r="I145" i="19"/>
  <c r="O145" i="19" s="1"/>
  <c r="I146" i="19"/>
  <c r="S146" i="19" s="1"/>
  <c r="O146" i="19"/>
  <c r="Q146" i="19"/>
  <c r="I147" i="19"/>
  <c r="S147" i="19" s="1"/>
  <c r="O147" i="19"/>
  <c r="I148" i="19"/>
  <c r="O148" i="19"/>
  <c r="S148" i="19"/>
  <c r="O149" i="19"/>
  <c r="S149" i="19"/>
  <c r="O150" i="19"/>
  <c r="S150" i="19"/>
  <c r="O151" i="19"/>
  <c r="S151" i="19"/>
  <c r="O152" i="19"/>
  <c r="S152" i="19"/>
  <c r="I153" i="19"/>
  <c r="O153" i="19"/>
  <c r="S153" i="19"/>
  <c r="I154" i="19"/>
  <c r="O154" i="19" s="1"/>
  <c r="I155" i="19"/>
  <c r="S155" i="19" s="1"/>
  <c r="O155" i="19"/>
  <c r="O156" i="19"/>
  <c r="S156" i="19"/>
  <c r="I12" i="18"/>
  <c r="O12" i="18" s="1"/>
  <c r="I13" i="18"/>
  <c r="S13" i="18" s="1"/>
  <c r="O13" i="18"/>
  <c r="I14" i="18"/>
  <c r="O14" i="18"/>
  <c r="S14" i="18"/>
  <c r="I17" i="18"/>
  <c r="O17" i="18"/>
  <c r="S17" i="18"/>
  <c r="I18" i="18"/>
  <c r="O18" i="18"/>
  <c r="S18" i="18"/>
  <c r="I19" i="18"/>
  <c r="O19" i="18" s="1"/>
  <c r="I20" i="18"/>
  <c r="S20" i="18" s="1"/>
  <c r="O20" i="18"/>
  <c r="O21" i="18"/>
  <c r="S21" i="18"/>
  <c r="I22" i="18"/>
  <c r="O22" i="18" s="1"/>
  <c r="O23" i="18"/>
  <c r="S23" i="18"/>
  <c r="I24" i="18"/>
  <c r="O24" i="18"/>
  <c r="S24" i="18"/>
  <c r="I25" i="18"/>
  <c r="O25" i="18" s="1"/>
  <c r="I26" i="18"/>
  <c r="S26" i="18" s="1"/>
  <c r="O26" i="18"/>
  <c r="I27" i="18"/>
  <c r="O27" i="18"/>
  <c r="S27" i="18"/>
  <c r="Q28" i="18"/>
  <c r="T28" i="18"/>
  <c r="V29" i="18"/>
  <c r="V38" i="18" s="1"/>
  <c r="V41" i="18" s="1"/>
  <c r="V46" i="18" s="1"/>
  <c r="I30" i="18"/>
  <c r="O30" i="18"/>
  <c r="S30" i="18"/>
  <c r="I31" i="18"/>
  <c r="O31" i="18" s="1"/>
  <c r="I32" i="18"/>
  <c r="S32" i="18" s="1"/>
  <c r="O32" i="18"/>
  <c r="I33" i="18"/>
  <c r="O33" i="18"/>
  <c r="S33" i="18"/>
  <c r="I34" i="18"/>
  <c r="O34" i="18"/>
  <c r="S34" i="18"/>
  <c r="I35" i="18"/>
  <c r="O35" i="18" s="1"/>
  <c r="O36" i="18"/>
  <c r="S36" i="18"/>
  <c r="Q37" i="18"/>
  <c r="T37" i="18"/>
  <c r="I39" i="18"/>
  <c r="O39" i="18"/>
  <c r="S39" i="18"/>
  <c r="S40" i="18"/>
  <c r="I42" i="18"/>
  <c r="O42" i="18"/>
  <c r="S42" i="18"/>
  <c r="I43" i="18"/>
  <c r="O43" i="18"/>
  <c r="S43" i="18"/>
  <c r="I44" i="18"/>
  <c r="O44" i="18" s="1"/>
  <c r="I47" i="18"/>
  <c r="O47" i="18"/>
  <c r="S47" i="18"/>
  <c r="S49" i="18" s="1"/>
  <c r="O48" i="18"/>
  <c r="S48" i="18"/>
  <c r="I12" i="20"/>
  <c r="O12" i="20"/>
  <c r="S12" i="20"/>
  <c r="S13" i="20" s="1"/>
  <c r="Q13" i="20"/>
  <c r="T13" i="20"/>
  <c r="V14" i="20"/>
  <c r="O15" i="20"/>
  <c r="S15" i="20"/>
  <c r="O16" i="20"/>
  <c r="S16" i="20"/>
  <c r="O17" i="20"/>
  <c r="S17" i="20"/>
  <c r="O18" i="20"/>
  <c r="S18" i="20"/>
  <c r="O21" i="20"/>
  <c r="S21" i="20"/>
  <c r="Q22" i="20"/>
  <c r="S22" i="20"/>
  <c r="T22" i="20"/>
  <c r="O24" i="20"/>
  <c r="S24" i="20"/>
  <c r="S25" i="20" s="1"/>
  <c r="Q25" i="20"/>
  <c r="T25" i="20"/>
  <c r="S37" i="18" l="1"/>
  <c r="S35" i="18"/>
  <c r="S139" i="19"/>
  <c r="S91" i="19"/>
  <c r="S83" i="19"/>
  <c r="S77" i="19"/>
  <c r="S66" i="19"/>
  <c r="S52" i="19"/>
  <c r="S49" i="19"/>
  <c r="S81" i="19" s="1"/>
  <c r="S28" i="19"/>
  <c r="S19" i="19"/>
  <c r="S44" i="18"/>
  <c r="S31" i="18"/>
  <c r="S25" i="18"/>
  <c r="S22" i="18"/>
  <c r="S28" i="18" s="1"/>
  <c r="S19" i="18"/>
  <c r="S12" i="18"/>
  <c r="S15" i="18" s="1"/>
  <c r="S154" i="19"/>
  <c r="S145" i="19"/>
  <c r="S95" i="19"/>
  <c r="S87" i="19"/>
  <c r="S70" i="19"/>
  <c r="S62" i="19"/>
  <c r="S56" i="19"/>
  <c r="S35" i="19"/>
  <c r="S32" i="19"/>
  <c r="S23" i="19"/>
  <c r="S15" i="19"/>
  <c r="S26" i="19" s="1"/>
  <c r="S40" i="19" l="1"/>
  <c r="S53" i="18"/>
  <c r="S45" i="18"/>
  <c r="S52" i="18" s="1"/>
  <c r="S54" i="18" s="1"/>
</calcChain>
</file>

<file path=xl/sharedStrings.xml><?xml version="1.0" encoding="utf-8"?>
<sst xmlns="http://schemas.openxmlformats.org/spreadsheetml/2006/main" count="1615" uniqueCount="333">
  <si>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</si>
  <si>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</si>
  <si>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</si>
  <si>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</si>
  <si>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</si>
  <si>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</si>
  <si>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</si>
  <si>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</si>
  <si>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</si>
  <si>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</si>
  <si>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</si>
  <si>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</si>
  <si>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</si>
  <si>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</si>
  <si>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</si>
  <si>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</si>
  <si>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</si>
  <si>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</si>
  <si>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</si>
  <si>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</si>
  <si>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</si>
  <si>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demand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</si>
  <si>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</si>
  <si>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</si>
  <si>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</si>
  <si>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</si>
  <si>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</si>
  <si>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</si>
  <si>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</si>
  <si>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</si>
  <si>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</si>
  <si>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</si>
  <si>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</si>
  <si>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</si>
  <si>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</si>
  <si>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</si>
  <si>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</si>
  <si>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</si>
  <si>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</si>
  <si>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</si>
  <si>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</si>
  <si>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</si>
  <si>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WC560</t>
  </si>
  <si>
    <t>WC537</t>
  </si>
  <si>
    <t>CES</t>
  </si>
  <si>
    <t>WC537/560 Discounted offshore FT transortation, reimbursed full IT rate by Pennzoil, volumetric demand charge.  CES pays $.0648 for all Pennzoil production from this block.</t>
  </si>
  <si>
    <t>Col Gulf</t>
  </si>
  <si>
    <t>Rayne</t>
  </si>
  <si>
    <t>CES Contact:  John Hodge 713-693-2801</t>
  </si>
  <si>
    <t>ENA Structuring Contact:  Mark Breese 3-6751</t>
  </si>
  <si>
    <t>Entered from Structuring's Worksheet.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</si>
  <si>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</si>
  <si>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</si>
  <si>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</si>
  <si>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</si>
  <si>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Mainline capacity</t>
  </si>
  <si>
    <t>24,000 - NGPL Chalkely, 16,000 - Venice</t>
  </si>
  <si>
    <t>20,000 - Sonat Shadyside, 20,000 - FGT</t>
  </si>
  <si>
    <t>Onshore capacity - 16,000 of Venice capacity.</t>
  </si>
  <si>
    <t>12,000 - Erath, 12,000 - Henry, 6,000 - Venice</t>
  </si>
  <si>
    <t>Onshore capacity - 6,000 day Venice receipt, CES has exclusive right of termination.</t>
  </si>
  <si>
    <t>8,285 - Mobil Lowry, 8,774 - Erath, 3,200 - Henry, 5,395 - Venice</t>
  </si>
  <si>
    <t>Onshore capacity - 5,395 venice capacity.</t>
  </si>
  <si>
    <t>Venice</t>
  </si>
  <si>
    <t>Onshore capacity - 20,000 day Venice receipt, CES has exclusive right of termination.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</si>
  <si>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</si>
  <si>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</si>
  <si>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</si>
  <si>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</si>
  <si>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</si>
  <si>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</si>
  <si>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</si>
  <si>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Broad run</t>
  </si>
  <si>
    <t>CMD</t>
  </si>
  <si>
    <t>Toledo Agg</t>
  </si>
  <si>
    <t>Primary to Op 5, ROFR</t>
  </si>
  <si>
    <t>Primary to contrained Op 7, ROFR</t>
  </si>
  <si>
    <t>Primary delivery to constrained area on TCO 5-7.  For Retail needs.</t>
  </si>
  <si>
    <t>CES/CALP</t>
  </si>
  <si>
    <t>CALP</t>
  </si>
  <si>
    <t>Act Demand</t>
  </si>
  <si>
    <t>Est Demand</t>
  </si>
  <si>
    <t>2000 GRI Changes  $.0075 ==&gt; $.0072     and $.23 ==&gt; $.20</t>
  </si>
  <si>
    <t>CES Wholesale East Desk Transportation Capacity for Jan, 2000</t>
  </si>
  <si>
    <t>12/18/99 could not find contract 62039 in Navigator.</t>
  </si>
  <si>
    <t>Moved contract 65027 from Wholesale to Retail.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</si>
  <si>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</si>
  <si>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</si>
  <si>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</si>
  <si>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</si>
  <si>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</si>
  <si>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</si>
  <si>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</si>
  <si>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</si>
  <si>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</si>
  <si>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</si>
  <si>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</si>
  <si>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</si>
  <si>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</si>
  <si>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</si>
  <si>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</si>
  <si>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</si>
  <si>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</si>
  <si>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</si>
  <si>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</si>
  <si>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</si>
  <si>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</si>
  <si>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</si>
  <si>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</si>
  <si>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</si>
  <si>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</si>
  <si>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</si>
  <si>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</si>
  <si>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</si>
  <si>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</si>
  <si>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</si>
  <si>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</si>
  <si>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</si>
  <si>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</si>
  <si>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</si>
  <si>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</si>
  <si>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</si>
  <si>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</si>
  <si>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</si>
  <si>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</si>
  <si>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</si>
  <si>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</si>
  <si>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</si>
  <si>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</si>
  <si>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</si>
  <si>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</si>
  <si>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</si>
  <si>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</si>
  <si>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</si>
  <si>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</si>
  <si>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</si>
  <si>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</si>
  <si>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</si>
  <si>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</si>
  <si>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</si>
  <si>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</si>
  <si>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</si>
  <si>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</si>
  <si>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</si>
  <si>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</si>
  <si>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</si>
  <si>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</si>
  <si>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</si>
  <si>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</si>
  <si>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</si>
  <si>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</si>
  <si>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</si>
  <si>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</si>
  <si>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</si>
  <si>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</si>
  <si>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</si>
  <si>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</si>
  <si>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</si>
  <si>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</si>
  <si>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</si>
  <si>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</si>
  <si>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</si>
  <si>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</si>
  <si>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</si>
  <si>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</si>
  <si>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</si>
  <si>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</si>
  <si>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</si>
  <si>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</si>
  <si>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50004 Finnefrock</t>
  </si>
  <si>
    <t>20500 NIMO</t>
  </si>
  <si>
    <t>#12154</t>
  </si>
  <si>
    <t>5A1866</t>
  </si>
  <si>
    <t>60004 Finnefrock</t>
  </si>
  <si>
    <t>MARQ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</si>
  <si>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</si>
  <si>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</si>
  <si>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</si>
  <si>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</si>
  <si>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</si>
  <si>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</si>
  <si>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</si>
  <si>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</si>
  <si>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</si>
  <si>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</si>
  <si>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</si>
  <si>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</si>
  <si>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</si>
  <si>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</si>
  <si>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</si>
  <si>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</si>
  <si>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</si>
  <si>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</si>
  <si>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</si>
  <si>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</si>
  <si>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</si>
  <si>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</si>
  <si>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</si>
  <si>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</si>
  <si>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</si>
  <si>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</si>
  <si>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</si>
  <si>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</si>
  <si>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</si>
  <si>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</si>
  <si>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</si>
  <si>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</si>
  <si>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</si>
  <si>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</si>
  <si>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</si>
  <si>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</si>
  <si>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</si>
  <si>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</si>
  <si>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</si>
  <si>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</si>
  <si>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</si>
  <si>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</si>
  <si>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</si>
  <si>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</si>
  <si>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</si>
  <si>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</si>
  <si>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</si>
  <si>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</si>
  <si>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</si>
  <si>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</si>
  <si>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</si>
  <si>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</si>
  <si>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</si>
  <si>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</si>
  <si>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</si>
  <si>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</si>
  <si>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</si>
  <si>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</si>
  <si>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</si>
  <si>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</si>
  <si>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</si>
  <si>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 Jersey</t>
  </si>
  <si>
    <t>St 65</t>
  </si>
  <si>
    <t>6583 S Jersey</t>
  </si>
  <si>
    <t>#17792</t>
  </si>
  <si>
    <t>PSNC</t>
  </si>
  <si>
    <t>6608 PSNC</t>
  </si>
  <si>
    <t>FTR</t>
  </si>
  <si>
    <t>volumetric</t>
  </si>
  <si>
    <t>3.3022 / 2.1432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</si>
  <si>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</si>
  <si>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</si>
  <si>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</si>
  <si>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</si>
  <si>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</si>
  <si>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</si>
  <si>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</si>
  <si>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</si>
  <si>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</si>
  <si>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</si>
  <si>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</si>
  <si>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</si>
  <si>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</si>
  <si>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</si>
  <si>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</si>
  <si>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</si>
  <si>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</si>
  <si>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</si>
  <si>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</si>
  <si>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</si>
  <si>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</si>
  <si>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</si>
  <si>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</si>
  <si>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</si>
  <si>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</si>
  <si>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</si>
  <si>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</si>
  <si>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</si>
  <si>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</si>
  <si>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</si>
  <si>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</si>
  <si>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</si>
  <si>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</si>
  <si>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</si>
  <si>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143933 / 143932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</si>
  <si>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</si>
  <si>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</si>
  <si>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</si>
  <si>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</si>
  <si>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</si>
  <si>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</si>
  <si>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</si>
  <si>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</si>
  <si>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801 Leach</t>
  </si>
  <si>
    <t>56-25 PFG-04 Lancaster</t>
  </si>
  <si>
    <t>#26782, Penn Fuel asset management capacity</t>
  </si>
  <si>
    <t>Penn Fuel</t>
  </si>
  <si>
    <t>56-29 PFG-04 Downington</t>
  </si>
  <si>
    <t>56W PFG-08 Olean</t>
  </si>
  <si>
    <t>Delmarva</t>
  </si>
  <si>
    <t>Release to Delmarva</t>
  </si>
  <si>
    <t>NUI Energy Brokers</t>
  </si>
  <si>
    <t>UGI Energy Services</t>
  </si>
  <si>
    <t>Release to NUI Energy Brokers</t>
  </si>
  <si>
    <t>Release to UGI Energy Services</t>
  </si>
  <si>
    <t>270010 Rayne</t>
  </si>
  <si>
    <t>#26785, Penn Fuel</t>
  </si>
  <si>
    <t>Tetco</t>
  </si>
  <si>
    <t>BUG</t>
  </si>
  <si>
    <t>Evergreen</t>
  </si>
  <si>
    <t>all</t>
  </si>
  <si>
    <t>IT</t>
  </si>
  <si>
    <t>CES IT Contract</t>
  </si>
  <si>
    <t>1.1501</t>
  </si>
  <si>
    <t>Nipsco</t>
  </si>
  <si>
    <t>Portland</t>
  </si>
  <si>
    <t>Nipcso</t>
  </si>
  <si>
    <t>T015904</t>
  </si>
  <si>
    <t>East Tenn</t>
  </si>
  <si>
    <t>Lobelville</t>
  </si>
  <si>
    <t>P10</t>
  </si>
  <si>
    <t>Similar to ENA's k#37147</t>
  </si>
  <si>
    <t>Primary receipt Toledo agg., ROFR, total MDQ is 20,000 day, contract will be split between retail and wholesale with 15,000/day going to Retail-Mass Markets.  Old contract was 62039.</t>
  </si>
  <si>
    <t>CEM</t>
  </si>
  <si>
    <t>Similar to ENA's k#39149</t>
  </si>
  <si>
    <t>Total Demand</t>
  </si>
  <si>
    <t>Net East Desk Demand</t>
  </si>
  <si>
    <t>Penn Fuel Reimbursements</t>
  </si>
  <si>
    <t>B9 Broad run</t>
  </si>
  <si>
    <t>Used for Zone 2 PVR</t>
  </si>
  <si>
    <t>Asset Management Deals</t>
  </si>
  <si>
    <t>CALPS Exchange</t>
  </si>
  <si>
    <t>Buy</t>
  </si>
  <si>
    <t>Sell</t>
  </si>
  <si>
    <t>Equitrans</t>
  </si>
  <si>
    <t>??</t>
  </si>
  <si>
    <t>Environgas</t>
  </si>
  <si>
    <t>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</si>
</sst>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87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0" borderId="0" xfId="0" applyNumberFormat="1" applyFont="1" applyFill="1" applyAlignment="1"/>
    <xf numFmtId="167" fontId="2" fillId="0" borderId="0" xfId="1" applyNumberFormat="1" applyFont="1" applyFill="1" applyAlignment="1">
      <alignment horizontal="right"/>
    </xf>
    <xf numFmtId="187" fontId="2" fillId="0" borderId="0" xfId="1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38" fontId="2" fillId="4" borderId="0" xfId="0" quotePrefix="1" applyNumberFormat="1" applyFont="1" applyFill="1" applyAlignment="1">
      <alignment horizontal="lef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38" fontId="5" fillId="0" borderId="0" xfId="0" applyNumberFormat="1" applyFont="1" applyFill="1" applyBorder="1" applyAlignment="1">
      <alignment horizontal="center"/>
    </xf>
    <xf numFmtId="44" fontId="2" fillId="0" borderId="0" xfId="1" quotePrefix="1" applyNumberFormat="1" applyFont="1" applyFill="1" applyBorder="1" applyAlignment="1">
      <alignment horizontal="right"/>
    </xf>
    <xf numFmtId="40" fontId="2" fillId="0" borderId="2" xfId="0" applyNumberFormat="1" applyFont="1" applyFill="1" applyBorder="1" applyAlignment="1">
      <alignment horizontal="right"/>
    </xf>
    <xf numFmtId="40" fontId="2" fillId="0" borderId="0" xfId="0" applyNumberFormat="1" applyFont="1" applyFill="1" applyBorder="1" applyAlignment="1">
      <alignment horizontal="right"/>
    </xf>
    <xf numFmtId="0" fontId="2" fillId="4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quotePrefix="1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9"/>
  <sheetViews>
    <sheetView topLeftCell="N31" workbookViewId="0">
      <selection activeCell="U43" sqref="U43:U44"/>
    </sheetView>
  </sheetViews>
  <sheetFormatPr defaultRowHeight="12.75" x14ac:dyDescent="0.2"/>
  <cols>
    <col min="1" max="1" width="10" style="26" customWidth="1"/>
    <col min="2" max="2" width="9.140625" style="26"/>
    <col min="3" max="3" width="10.5703125" style="26" customWidth="1"/>
    <col min="4" max="4" width="7.7109375" style="26" customWidth="1"/>
    <col min="5" max="5" width="9.5703125" style="26" customWidth="1"/>
    <col min="6" max="6" width="12.42578125" style="28" customWidth="1"/>
    <col min="7" max="7" width="10.7109375" style="28" customWidth="1"/>
    <col min="8" max="8" width="13" style="26" customWidth="1"/>
    <col min="9" max="9" width="7.7109375" style="26" customWidth="1"/>
    <col min="10" max="13" width="9.140625" style="26"/>
    <col min="14" max="14" width="9.140625" style="52"/>
    <col min="15" max="15" width="9.140625" style="26"/>
    <col min="16" max="16" width="12.7109375" style="26" customWidth="1"/>
    <col min="17" max="17" width="10.85546875" style="26" customWidth="1"/>
    <col min="18" max="18" width="10.140625" style="26" customWidth="1"/>
    <col min="19" max="20" width="9.140625" style="26"/>
    <col min="21" max="21" width="15.28515625" style="39" customWidth="1"/>
    <col min="22" max="22" width="42.28515625" style="28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41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97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97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97"/>
      <c r="W3" s="36"/>
      <c r="X3" s="36"/>
    </row>
    <row r="4" spans="1:24" x14ac:dyDescent="0.2">
      <c r="A4" s="45"/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97"/>
      <c r="W4" s="36"/>
      <c r="X4" s="36"/>
    </row>
    <row r="5" spans="1:24" x14ac:dyDescent="0.2">
      <c r="A5" s="1" t="s">
        <v>51</v>
      </c>
      <c r="B5" s="3"/>
      <c r="C5" s="1"/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97"/>
      <c r="W5" s="36"/>
      <c r="X5" s="36"/>
    </row>
    <row r="6" spans="1:24" x14ac:dyDescent="0.2">
      <c r="A6" s="1"/>
      <c r="B6" s="3"/>
      <c r="C6" s="3"/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97"/>
      <c r="W6" s="36"/>
      <c r="X6" s="36"/>
    </row>
    <row r="7" spans="1:24" x14ac:dyDescent="0.2">
      <c r="A7" s="1"/>
      <c r="B7" s="3"/>
      <c r="C7" s="3"/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97"/>
      <c r="W7" s="36"/>
      <c r="X7" s="36"/>
    </row>
    <row r="8" spans="1:24" x14ac:dyDescent="0.2">
      <c r="A8" s="1"/>
      <c r="B8" s="3"/>
      <c r="C8" s="3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97"/>
      <c r="W8" s="36"/>
      <c r="X8" s="36"/>
    </row>
    <row r="9" spans="1:24" x14ac:dyDescent="0.2">
      <c r="A9" s="1"/>
      <c r="B9" s="3"/>
      <c r="C9" s="3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97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97"/>
      <c r="W10" s="36"/>
      <c r="X10" s="36"/>
    </row>
    <row r="11" spans="1:24" x14ac:dyDescent="0.2">
      <c r="A11" s="17" t="s">
        <v>4</v>
      </c>
      <c r="B11" s="18" t="s">
        <v>5</v>
      </c>
      <c r="C11" s="18" t="s">
        <v>136</v>
      </c>
      <c r="D11" s="19" t="s">
        <v>7</v>
      </c>
      <c r="E11" s="19"/>
      <c r="F11" s="17" t="s">
        <v>8</v>
      </c>
      <c r="G11" s="17" t="s">
        <v>9</v>
      </c>
      <c r="H11" s="18" t="s">
        <v>86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99" t="s">
        <v>52</v>
      </c>
      <c r="W11" s="37"/>
      <c r="X11" s="37"/>
    </row>
    <row r="12" spans="1:24" s="47" customFormat="1" x14ac:dyDescent="0.2">
      <c r="A12" s="43" t="s">
        <v>143</v>
      </c>
      <c r="B12" s="84" t="s">
        <v>35</v>
      </c>
      <c r="C12" s="84" t="s">
        <v>23</v>
      </c>
      <c r="D12" s="85">
        <v>35977</v>
      </c>
      <c r="E12" s="85">
        <v>36830</v>
      </c>
      <c r="F12" s="95" t="s">
        <v>137</v>
      </c>
      <c r="G12" s="43" t="s">
        <v>145</v>
      </c>
      <c r="H12" s="84" t="s">
        <v>138</v>
      </c>
      <c r="I12" s="67">
        <f>6.7854/I$1</f>
        <v>0.21888387096774195</v>
      </c>
      <c r="J12" s="86">
        <v>1.12E-2</v>
      </c>
      <c r="K12" s="86">
        <v>2.2000000000000001E-3</v>
      </c>
      <c r="L12" s="86">
        <v>7.1999999999999998E-3</v>
      </c>
      <c r="M12" s="86">
        <v>0</v>
      </c>
      <c r="N12" s="87">
        <v>1.11E-2</v>
      </c>
      <c r="O12" s="86">
        <f t="shared" ref="O12:O25" si="0">SUM(I12:M12)</f>
        <v>0.23948387096774196</v>
      </c>
      <c r="P12" s="88">
        <v>770407</v>
      </c>
      <c r="Q12" s="84">
        <v>69</v>
      </c>
      <c r="R12" s="43"/>
      <c r="S12" s="89">
        <f t="shared" ref="S12:S25" si="1">I12*I$1*Q12</f>
        <v>468.19260000000003</v>
      </c>
      <c r="T12" s="89"/>
      <c r="U12" s="83">
        <v>142005</v>
      </c>
      <c r="V12" s="43"/>
      <c r="W12" s="90"/>
      <c r="X12" s="90"/>
    </row>
    <row r="13" spans="1:24" s="47" customFormat="1" x14ac:dyDescent="0.2">
      <c r="A13" s="43" t="s">
        <v>143</v>
      </c>
      <c r="B13" s="84" t="s">
        <v>35</v>
      </c>
      <c r="C13" s="84" t="s">
        <v>23</v>
      </c>
      <c r="D13" s="85">
        <v>35977</v>
      </c>
      <c r="E13" s="85">
        <v>40117</v>
      </c>
      <c r="F13" s="95" t="s">
        <v>137</v>
      </c>
      <c r="G13" s="95" t="s">
        <v>144</v>
      </c>
      <c r="H13" s="84" t="s">
        <v>31</v>
      </c>
      <c r="I13" s="67">
        <f t="shared" ref="I13:I25" si="2">6.7854/I$1</f>
        <v>0.21888387096774195</v>
      </c>
      <c r="J13" s="86">
        <v>1.12E-2</v>
      </c>
      <c r="K13" s="86">
        <v>2.2000000000000001E-3</v>
      </c>
      <c r="L13" s="86">
        <v>7.1999999999999998E-3</v>
      </c>
      <c r="M13" s="86">
        <v>0</v>
      </c>
      <c r="N13" s="87">
        <v>1.11E-2</v>
      </c>
      <c r="O13" s="86">
        <f t="shared" si="0"/>
        <v>0.23948387096774196</v>
      </c>
      <c r="P13" s="88">
        <v>770409</v>
      </c>
      <c r="Q13" s="84">
        <v>64</v>
      </c>
      <c r="R13" s="43"/>
      <c r="S13" s="89">
        <f t="shared" si="1"/>
        <v>434.26560000000001</v>
      </c>
      <c r="T13" s="89"/>
      <c r="U13" s="83">
        <v>142007</v>
      </c>
      <c r="V13" s="43"/>
      <c r="W13" s="90"/>
      <c r="X13" s="90"/>
    </row>
    <row r="14" spans="1:24" s="47" customFormat="1" x14ac:dyDescent="0.2">
      <c r="A14" s="43" t="s">
        <v>143</v>
      </c>
      <c r="B14" s="84" t="s">
        <v>35</v>
      </c>
      <c r="C14" s="84" t="s">
        <v>23</v>
      </c>
      <c r="D14" s="85">
        <v>35977</v>
      </c>
      <c r="E14" s="85">
        <v>41213</v>
      </c>
      <c r="F14" s="95" t="s">
        <v>146</v>
      </c>
      <c r="G14" s="95" t="s">
        <v>144</v>
      </c>
      <c r="H14" s="84" t="s">
        <v>142</v>
      </c>
      <c r="I14" s="67">
        <f t="shared" si="2"/>
        <v>0.21888387096774195</v>
      </c>
      <c r="J14" s="86">
        <v>1.12E-2</v>
      </c>
      <c r="K14" s="86">
        <v>2.2000000000000001E-3</v>
      </c>
      <c r="L14" s="86">
        <v>7.1999999999999998E-3</v>
      </c>
      <c r="M14" s="86">
        <v>0</v>
      </c>
      <c r="N14" s="87">
        <v>1.11E-2</v>
      </c>
      <c r="O14" s="86">
        <f t="shared" si="0"/>
        <v>0.23948387096774196</v>
      </c>
      <c r="P14" s="88">
        <v>770412</v>
      </c>
      <c r="Q14" s="84">
        <v>46</v>
      </c>
      <c r="R14" s="43"/>
      <c r="S14" s="89">
        <f t="shared" si="1"/>
        <v>312.1284</v>
      </c>
      <c r="T14" s="89"/>
      <c r="U14" s="83">
        <v>142009</v>
      </c>
      <c r="V14" s="43"/>
      <c r="W14" s="90"/>
      <c r="X14" s="90"/>
    </row>
    <row r="15" spans="1:24" s="47" customFormat="1" x14ac:dyDescent="0.2">
      <c r="A15" s="43" t="s">
        <v>143</v>
      </c>
      <c r="B15" s="84" t="s">
        <v>35</v>
      </c>
      <c r="C15" s="84" t="s">
        <v>23</v>
      </c>
      <c r="D15" s="85">
        <v>36130</v>
      </c>
      <c r="E15" s="85">
        <v>36830</v>
      </c>
      <c r="F15" s="95" t="s">
        <v>137</v>
      </c>
      <c r="G15" s="95" t="s">
        <v>147</v>
      </c>
      <c r="H15" s="84" t="s">
        <v>138</v>
      </c>
      <c r="I15" s="67">
        <f t="shared" si="2"/>
        <v>0.21888387096774195</v>
      </c>
      <c r="J15" s="86">
        <v>1.12E-2</v>
      </c>
      <c r="K15" s="86">
        <v>2.2000000000000001E-3</v>
      </c>
      <c r="L15" s="86">
        <v>7.1999999999999998E-3</v>
      </c>
      <c r="M15" s="86">
        <v>0</v>
      </c>
      <c r="N15" s="87">
        <v>1.11E-2</v>
      </c>
      <c r="O15" s="86">
        <f t="shared" si="0"/>
        <v>0.23948387096774196</v>
      </c>
      <c r="P15" s="88">
        <v>770612</v>
      </c>
      <c r="Q15" s="84">
        <v>12</v>
      </c>
      <c r="R15" s="43"/>
      <c r="S15" s="89">
        <f t="shared" si="1"/>
        <v>81.424800000000005</v>
      </c>
      <c r="T15" s="89"/>
      <c r="U15" s="83">
        <v>142010</v>
      </c>
      <c r="V15" s="43"/>
      <c r="W15" s="90"/>
      <c r="X15" s="90"/>
    </row>
    <row r="16" spans="1:24" s="47" customFormat="1" x14ac:dyDescent="0.2">
      <c r="A16" s="43" t="s">
        <v>143</v>
      </c>
      <c r="B16" s="84" t="s">
        <v>35</v>
      </c>
      <c r="C16" s="84" t="s">
        <v>23</v>
      </c>
      <c r="D16" s="85">
        <v>36130</v>
      </c>
      <c r="E16" s="85">
        <v>40117</v>
      </c>
      <c r="F16" s="95" t="s">
        <v>137</v>
      </c>
      <c r="G16" s="95" t="s">
        <v>144</v>
      </c>
      <c r="H16" s="84" t="s">
        <v>31</v>
      </c>
      <c r="I16" s="67">
        <f t="shared" si="2"/>
        <v>0.21888387096774195</v>
      </c>
      <c r="J16" s="86">
        <v>1.12E-2</v>
      </c>
      <c r="K16" s="86">
        <v>2.2000000000000001E-3</v>
      </c>
      <c r="L16" s="86">
        <v>7.1999999999999998E-3</v>
      </c>
      <c r="M16" s="86">
        <v>0</v>
      </c>
      <c r="N16" s="87">
        <v>1.11E-2</v>
      </c>
      <c r="O16" s="86">
        <f t="shared" si="0"/>
        <v>0.23948387096774196</v>
      </c>
      <c r="P16" s="88">
        <v>770614</v>
      </c>
      <c r="Q16" s="84">
        <v>11</v>
      </c>
      <c r="R16" s="43"/>
      <c r="S16" s="89">
        <f t="shared" si="1"/>
        <v>74.639399999999995</v>
      </c>
      <c r="T16" s="89"/>
      <c r="U16" s="83">
        <v>142012</v>
      </c>
      <c r="V16" s="43"/>
      <c r="W16" s="90"/>
      <c r="X16" s="90"/>
    </row>
    <row r="17" spans="1:24" s="47" customFormat="1" x14ac:dyDescent="0.2">
      <c r="A17" s="43" t="s">
        <v>143</v>
      </c>
      <c r="B17" s="84" t="s">
        <v>35</v>
      </c>
      <c r="C17" s="84" t="s">
        <v>23</v>
      </c>
      <c r="D17" s="85">
        <v>36130</v>
      </c>
      <c r="E17" s="85">
        <v>41213</v>
      </c>
      <c r="F17" s="95" t="s">
        <v>146</v>
      </c>
      <c r="G17" s="95" t="s">
        <v>144</v>
      </c>
      <c r="H17" s="84" t="s">
        <v>142</v>
      </c>
      <c r="I17" s="67">
        <f t="shared" si="2"/>
        <v>0.21888387096774195</v>
      </c>
      <c r="J17" s="86">
        <v>1.12E-2</v>
      </c>
      <c r="K17" s="86">
        <v>2.2000000000000001E-3</v>
      </c>
      <c r="L17" s="86">
        <v>7.1999999999999998E-3</v>
      </c>
      <c r="M17" s="86">
        <v>0</v>
      </c>
      <c r="N17" s="87">
        <v>1.11E-2</v>
      </c>
      <c r="O17" s="86">
        <f t="shared" si="0"/>
        <v>0.23948387096774196</v>
      </c>
      <c r="P17" s="88">
        <v>770617</v>
      </c>
      <c r="Q17" s="84">
        <v>8</v>
      </c>
      <c r="R17" s="43"/>
      <c r="S17" s="89">
        <f t="shared" si="1"/>
        <v>54.283200000000001</v>
      </c>
      <c r="T17" s="89"/>
      <c r="U17" s="83">
        <v>142013</v>
      </c>
      <c r="V17" s="43"/>
      <c r="W17" s="90"/>
      <c r="X17" s="90"/>
    </row>
    <row r="18" spans="1:24" s="47" customFormat="1" x14ac:dyDescent="0.2">
      <c r="A18" s="43" t="s">
        <v>143</v>
      </c>
      <c r="B18" s="84" t="s">
        <v>35</v>
      </c>
      <c r="C18" s="84" t="s">
        <v>23</v>
      </c>
      <c r="D18" s="85">
        <v>35855</v>
      </c>
      <c r="E18" s="85">
        <v>41213</v>
      </c>
      <c r="F18" s="95" t="s">
        <v>146</v>
      </c>
      <c r="G18" s="95" t="s">
        <v>144</v>
      </c>
      <c r="H18" s="84" t="s">
        <v>142</v>
      </c>
      <c r="I18" s="67">
        <f t="shared" si="2"/>
        <v>0.21888387096774195</v>
      </c>
      <c r="J18" s="86">
        <v>1.12E-2</v>
      </c>
      <c r="K18" s="86">
        <v>2.2000000000000001E-3</v>
      </c>
      <c r="L18" s="86">
        <v>7.1999999999999998E-3</v>
      </c>
      <c r="M18" s="86">
        <v>0</v>
      </c>
      <c r="N18" s="87">
        <v>1.11E-2</v>
      </c>
      <c r="O18" s="86">
        <f t="shared" si="0"/>
        <v>0.23948387096774196</v>
      </c>
      <c r="P18" s="88">
        <v>770729</v>
      </c>
      <c r="Q18" s="84">
        <v>15</v>
      </c>
      <c r="R18" s="43"/>
      <c r="S18" s="89">
        <f t="shared" si="1"/>
        <v>101.78100000000001</v>
      </c>
      <c r="T18" s="89"/>
      <c r="U18" s="83">
        <v>142015</v>
      </c>
      <c r="V18" s="43"/>
      <c r="W18" s="90"/>
      <c r="X18" s="90"/>
    </row>
    <row r="19" spans="1:24" s="47" customFormat="1" x14ac:dyDescent="0.2">
      <c r="A19" s="43" t="s">
        <v>143</v>
      </c>
      <c r="B19" s="84" t="s">
        <v>35</v>
      </c>
      <c r="C19" s="84" t="s">
        <v>23</v>
      </c>
      <c r="D19" s="85">
        <v>35855</v>
      </c>
      <c r="E19" s="85">
        <v>40117</v>
      </c>
      <c r="F19" s="95" t="s">
        <v>137</v>
      </c>
      <c r="G19" s="95" t="s">
        <v>144</v>
      </c>
      <c r="H19" s="84" t="s">
        <v>31</v>
      </c>
      <c r="I19" s="67">
        <f t="shared" si="2"/>
        <v>0.21888387096774195</v>
      </c>
      <c r="J19" s="86">
        <v>1.12E-2</v>
      </c>
      <c r="K19" s="86">
        <v>2.2000000000000001E-3</v>
      </c>
      <c r="L19" s="86">
        <v>7.1999999999999998E-3</v>
      </c>
      <c r="M19" s="86">
        <v>0</v>
      </c>
      <c r="N19" s="87">
        <v>1.11E-2</v>
      </c>
      <c r="O19" s="86">
        <f t="shared" si="0"/>
        <v>0.23948387096774196</v>
      </c>
      <c r="P19" s="88">
        <v>770732</v>
      </c>
      <c r="Q19" s="84">
        <v>21</v>
      </c>
      <c r="R19" s="43"/>
      <c r="S19" s="89">
        <f t="shared" si="1"/>
        <v>142.49340000000001</v>
      </c>
      <c r="T19" s="89"/>
      <c r="U19" s="83">
        <v>142016</v>
      </c>
      <c r="V19" s="43"/>
      <c r="W19" s="90"/>
      <c r="X19" s="90"/>
    </row>
    <row r="20" spans="1:24" s="47" customFormat="1" x14ac:dyDescent="0.2">
      <c r="A20" s="43" t="s">
        <v>143</v>
      </c>
      <c r="B20" s="84" t="s">
        <v>35</v>
      </c>
      <c r="C20" s="84" t="s">
        <v>23</v>
      </c>
      <c r="D20" s="85">
        <v>35855</v>
      </c>
      <c r="E20" s="85">
        <v>36830</v>
      </c>
      <c r="F20" s="95" t="s">
        <v>137</v>
      </c>
      <c r="G20" s="43" t="s">
        <v>145</v>
      </c>
      <c r="H20" s="84" t="s">
        <v>138</v>
      </c>
      <c r="I20" s="67">
        <f t="shared" si="2"/>
        <v>0.21888387096774195</v>
      </c>
      <c r="J20" s="86">
        <v>1.12E-2</v>
      </c>
      <c r="K20" s="86">
        <v>2.2000000000000001E-3</v>
      </c>
      <c r="L20" s="86">
        <v>7.1999999999999998E-3</v>
      </c>
      <c r="M20" s="86">
        <v>0</v>
      </c>
      <c r="N20" s="87">
        <v>1.11E-2</v>
      </c>
      <c r="O20" s="86">
        <f t="shared" si="0"/>
        <v>0.23948387096774196</v>
      </c>
      <c r="P20" s="88">
        <v>770734</v>
      </c>
      <c r="Q20" s="84">
        <v>23</v>
      </c>
      <c r="R20" s="43"/>
      <c r="S20" s="89">
        <f t="shared" si="1"/>
        <v>156.0642</v>
      </c>
      <c r="T20" s="89"/>
      <c r="U20" s="83">
        <v>142018</v>
      </c>
      <c r="V20" s="43"/>
      <c r="W20" s="90"/>
      <c r="X20" s="90"/>
    </row>
    <row r="21" spans="1:24" s="47" customFormat="1" x14ac:dyDescent="0.2">
      <c r="A21" s="43" t="s">
        <v>143</v>
      </c>
      <c r="B21" s="84" t="s">
        <v>35</v>
      </c>
      <c r="C21" s="84" t="s">
        <v>23</v>
      </c>
      <c r="D21" s="85">
        <v>36465</v>
      </c>
      <c r="E21" s="85">
        <v>36830</v>
      </c>
      <c r="F21" s="95" t="s">
        <v>137</v>
      </c>
      <c r="G21" s="95" t="s">
        <v>148</v>
      </c>
      <c r="H21" s="84" t="s">
        <v>30</v>
      </c>
      <c r="I21" s="67">
        <f t="shared" si="2"/>
        <v>0.21888387096774195</v>
      </c>
      <c r="J21" s="86">
        <v>1.12E-2</v>
      </c>
      <c r="K21" s="86">
        <v>2.2000000000000001E-3</v>
      </c>
      <c r="L21" s="86">
        <v>7.1999999999999998E-3</v>
      </c>
      <c r="M21" s="86">
        <v>0</v>
      </c>
      <c r="N21" s="87">
        <v>1.11E-2</v>
      </c>
      <c r="O21" s="86">
        <f t="shared" si="0"/>
        <v>0.23948387096774196</v>
      </c>
      <c r="P21" s="88">
        <v>770990</v>
      </c>
      <c r="Q21" s="84">
        <v>11</v>
      </c>
      <c r="R21" s="43"/>
      <c r="S21" s="89">
        <f t="shared" si="1"/>
        <v>74.639399999999995</v>
      </c>
      <c r="T21" s="89"/>
      <c r="U21" s="83">
        <v>142020</v>
      </c>
      <c r="V21" s="43"/>
      <c r="W21" s="90"/>
      <c r="X21" s="90"/>
    </row>
    <row r="22" spans="1:24" s="47" customFormat="1" x14ac:dyDescent="0.2">
      <c r="A22" s="43" t="s">
        <v>143</v>
      </c>
      <c r="B22" s="84" t="s">
        <v>35</v>
      </c>
      <c r="C22" s="84" t="s">
        <v>23</v>
      </c>
      <c r="D22" s="85">
        <v>36465</v>
      </c>
      <c r="E22" s="85">
        <v>39021</v>
      </c>
      <c r="F22" s="95" t="s">
        <v>137</v>
      </c>
      <c r="G22" s="95" t="s">
        <v>149</v>
      </c>
      <c r="H22" s="84" t="s">
        <v>30</v>
      </c>
      <c r="I22" s="67">
        <f t="shared" si="2"/>
        <v>0.21888387096774195</v>
      </c>
      <c r="J22" s="86">
        <v>1.12E-2</v>
      </c>
      <c r="K22" s="86">
        <v>2.2000000000000001E-3</v>
      </c>
      <c r="L22" s="86">
        <v>7.1999999999999998E-3</v>
      </c>
      <c r="M22" s="86">
        <v>0</v>
      </c>
      <c r="N22" s="87">
        <v>1.11E-2</v>
      </c>
      <c r="O22" s="86">
        <f t="shared" si="0"/>
        <v>0.23948387096774196</v>
      </c>
      <c r="P22" s="88">
        <v>770991</v>
      </c>
      <c r="Q22" s="84">
        <v>73</v>
      </c>
      <c r="R22" s="43"/>
      <c r="S22" s="89">
        <f t="shared" si="1"/>
        <v>495.33420000000001</v>
      </c>
      <c r="T22" s="89"/>
      <c r="U22" s="83">
        <v>142022</v>
      </c>
      <c r="V22" s="43"/>
      <c r="W22" s="90"/>
      <c r="X22" s="90"/>
    </row>
    <row r="23" spans="1:24" s="47" customFormat="1" x14ac:dyDescent="0.2">
      <c r="A23" s="43" t="s">
        <v>143</v>
      </c>
      <c r="B23" s="84" t="s">
        <v>35</v>
      </c>
      <c r="C23" s="84" t="s">
        <v>23</v>
      </c>
      <c r="D23" s="85">
        <v>36465</v>
      </c>
      <c r="E23" s="85">
        <v>38656</v>
      </c>
      <c r="F23" s="95" t="s">
        <v>245</v>
      </c>
      <c r="G23" s="95" t="s">
        <v>150</v>
      </c>
      <c r="H23" s="84" t="s">
        <v>30</v>
      </c>
      <c r="I23" s="67">
        <f t="shared" si="2"/>
        <v>0.21888387096774195</v>
      </c>
      <c r="J23" s="86">
        <v>1.12E-2</v>
      </c>
      <c r="K23" s="86">
        <v>2.2000000000000001E-3</v>
      </c>
      <c r="L23" s="86">
        <v>7.1999999999999998E-3</v>
      </c>
      <c r="M23" s="86">
        <v>0</v>
      </c>
      <c r="N23" s="87">
        <v>1.11E-2</v>
      </c>
      <c r="O23" s="86">
        <f t="shared" si="0"/>
        <v>0.23948387096774196</v>
      </c>
      <c r="P23" s="88">
        <v>770992</v>
      </c>
      <c r="Q23" s="84">
        <v>158</v>
      </c>
      <c r="R23" s="43"/>
      <c r="S23" s="89">
        <f t="shared" si="1"/>
        <v>1072.0932</v>
      </c>
      <c r="T23" s="89"/>
      <c r="U23" s="83">
        <v>142024</v>
      </c>
      <c r="V23" s="43"/>
      <c r="W23" s="90"/>
      <c r="X23" s="90"/>
    </row>
    <row r="24" spans="1:24" s="47" customFormat="1" x14ac:dyDescent="0.2">
      <c r="A24" s="43" t="s">
        <v>143</v>
      </c>
      <c r="B24" s="84" t="s">
        <v>35</v>
      </c>
      <c r="C24" s="84" t="s">
        <v>23</v>
      </c>
      <c r="D24" s="85">
        <v>36465</v>
      </c>
      <c r="E24" s="85">
        <v>38656</v>
      </c>
      <c r="F24" s="95" t="s">
        <v>137</v>
      </c>
      <c r="G24" s="43" t="s">
        <v>145</v>
      </c>
      <c r="H24" s="84" t="s">
        <v>30</v>
      </c>
      <c r="I24" s="67">
        <f t="shared" si="2"/>
        <v>0.21888387096774195</v>
      </c>
      <c r="J24" s="86">
        <v>1.12E-2</v>
      </c>
      <c r="K24" s="86">
        <v>2.2000000000000001E-3</v>
      </c>
      <c r="L24" s="86">
        <v>7.1999999999999998E-3</v>
      </c>
      <c r="M24" s="86">
        <v>0</v>
      </c>
      <c r="N24" s="87">
        <v>1.11E-2</v>
      </c>
      <c r="O24" s="86">
        <f t="shared" si="0"/>
        <v>0.23948387096774196</v>
      </c>
      <c r="P24" s="88">
        <v>770993</v>
      </c>
      <c r="Q24" s="84">
        <v>264</v>
      </c>
      <c r="R24" s="43"/>
      <c r="S24" s="89">
        <f t="shared" si="1"/>
        <v>1791.3456000000001</v>
      </c>
      <c r="T24" s="89"/>
      <c r="U24" s="83">
        <v>142025</v>
      </c>
      <c r="V24" s="43"/>
      <c r="W24" s="90"/>
      <c r="X24" s="90"/>
    </row>
    <row r="25" spans="1:24" s="47" customFormat="1" x14ac:dyDescent="0.2">
      <c r="A25" s="43" t="s">
        <v>143</v>
      </c>
      <c r="B25" s="84" t="s">
        <v>35</v>
      </c>
      <c r="C25" s="84" t="s">
        <v>139</v>
      </c>
      <c r="D25" s="85">
        <v>36479</v>
      </c>
      <c r="E25" s="85">
        <v>36676</v>
      </c>
      <c r="F25" s="95" t="s">
        <v>140</v>
      </c>
      <c r="G25" s="95" t="s">
        <v>141</v>
      </c>
      <c r="H25" s="84" t="s">
        <v>142</v>
      </c>
      <c r="I25" s="67">
        <f t="shared" si="2"/>
        <v>0.21888387096774195</v>
      </c>
      <c r="J25" s="86">
        <v>1.12E-2</v>
      </c>
      <c r="K25" s="86">
        <v>2.2000000000000001E-3</v>
      </c>
      <c r="L25" s="86">
        <v>7.1999999999999998E-3</v>
      </c>
      <c r="M25" s="86">
        <v>0</v>
      </c>
      <c r="N25" s="87">
        <v>1.11E-2</v>
      </c>
      <c r="O25" s="86">
        <f t="shared" si="0"/>
        <v>0.23948387096774196</v>
      </c>
      <c r="P25" s="88">
        <v>771013</v>
      </c>
      <c r="Q25" s="84">
        <v>69</v>
      </c>
      <c r="R25" s="43"/>
      <c r="S25" s="89">
        <f t="shared" si="1"/>
        <v>468.19260000000003</v>
      </c>
      <c r="T25" s="89"/>
      <c r="U25" s="83">
        <v>142030</v>
      </c>
      <c r="V25" s="43"/>
      <c r="W25" s="90"/>
      <c r="X25" s="90"/>
    </row>
    <row r="26" spans="1:24" x14ac:dyDescent="0.2">
      <c r="A26" s="10" t="s">
        <v>3</v>
      </c>
      <c r="B26" s="11" t="s">
        <v>3</v>
      </c>
      <c r="C26" s="12" t="s">
        <v>3</v>
      </c>
      <c r="D26" s="13" t="s">
        <v>3</v>
      </c>
      <c r="E26" s="13"/>
      <c r="F26" s="10" t="s">
        <v>3</v>
      </c>
      <c r="G26" s="31" t="s">
        <v>3</v>
      </c>
      <c r="H26" s="11" t="s">
        <v>3</v>
      </c>
      <c r="I26" s="14"/>
      <c r="J26" s="15"/>
      <c r="K26" s="15"/>
      <c r="L26" s="15"/>
      <c r="M26" s="15"/>
      <c r="N26" s="50"/>
      <c r="O26" s="15"/>
      <c r="P26" s="27" t="s">
        <v>3</v>
      </c>
      <c r="Q26" s="11">
        <f>SUM(Q12:Q25)</f>
        <v>844</v>
      </c>
      <c r="R26" s="10" t="s">
        <v>3</v>
      </c>
      <c r="S26" s="23">
        <f>SUM(S12:S25)</f>
        <v>5726.8776000000016</v>
      </c>
      <c r="T26" s="23">
        <f>SUM(T12:T25)</f>
        <v>0</v>
      </c>
      <c r="U26" s="72"/>
      <c r="V26" s="10"/>
      <c r="W26" s="37"/>
      <c r="X26" s="37"/>
    </row>
    <row r="27" spans="1:24" x14ac:dyDescent="0.2">
      <c r="A27" s="17" t="s">
        <v>4</v>
      </c>
      <c r="B27" s="18" t="s">
        <v>5</v>
      </c>
      <c r="C27" s="18" t="s">
        <v>136</v>
      </c>
      <c r="D27" s="19" t="s">
        <v>7</v>
      </c>
      <c r="E27" s="19"/>
      <c r="F27" s="17" t="s">
        <v>8</v>
      </c>
      <c r="G27" s="17" t="s">
        <v>9</v>
      </c>
      <c r="H27" s="18" t="s">
        <v>86</v>
      </c>
      <c r="I27" s="20" t="s">
        <v>11</v>
      </c>
      <c r="J27" s="18" t="s">
        <v>12</v>
      </c>
      <c r="K27" s="18" t="s">
        <v>13</v>
      </c>
      <c r="L27" s="18" t="s">
        <v>14</v>
      </c>
      <c r="M27" s="18" t="s">
        <v>15</v>
      </c>
      <c r="N27" s="49" t="s">
        <v>16</v>
      </c>
      <c r="O27" s="18" t="s">
        <v>17</v>
      </c>
      <c r="P27" s="21" t="s">
        <v>18</v>
      </c>
      <c r="Q27" s="18" t="s">
        <v>19</v>
      </c>
      <c r="R27" s="17" t="s">
        <v>20</v>
      </c>
      <c r="S27" s="22" t="s">
        <v>81</v>
      </c>
      <c r="T27" s="22" t="s">
        <v>80</v>
      </c>
      <c r="U27" s="70" t="s">
        <v>37</v>
      </c>
      <c r="V27" s="99" t="s">
        <v>52</v>
      </c>
      <c r="W27" s="37"/>
      <c r="X27" s="37"/>
    </row>
    <row r="28" spans="1:24" s="47" customFormat="1" x14ac:dyDescent="0.2">
      <c r="A28" s="43" t="s">
        <v>143</v>
      </c>
      <c r="B28" s="84" t="s">
        <v>29</v>
      </c>
      <c r="C28" s="84" t="s">
        <v>168</v>
      </c>
      <c r="D28" s="85">
        <v>36526</v>
      </c>
      <c r="E28" s="85">
        <v>36556</v>
      </c>
      <c r="F28" s="43" t="s">
        <v>157</v>
      </c>
      <c r="G28" s="43" t="s">
        <v>170</v>
      </c>
      <c r="H28" s="84" t="s">
        <v>153</v>
      </c>
      <c r="I28" s="67">
        <f>5.769/I$1</f>
        <v>0.18609677419354839</v>
      </c>
      <c r="J28" s="86">
        <v>4.3400000000000001E-2</v>
      </c>
      <c r="K28" s="86">
        <v>2.2000000000000001E-3</v>
      </c>
      <c r="L28" s="86">
        <v>0</v>
      </c>
      <c r="M28" s="86">
        <v>0</v>
      </c>
      <c r="N28" s="87">
        <v>2.2800000000000001E-2</v>
      </c>
      <c r="O28" s="86">
        <f t="shared" ref="O28:O36" si="3">SUM(I28:M28)</f>
        <v>0.23169677419354839</v>
      </c>
      <c r="P28" s="88" t="s">
        <v>280</v>
      </c>
      <c r="Q28" s="84">
        <v>420</v>
      </c>
      <c r="R28" s="43" t="s">
        <v>282</v>
      </c>
      <c r="S28" s="89">
        <f t="shared" ref="S28:S33" si="4">I28*I$1*Q28</f>
        <v>2422.98</v>
      </c>
      <c r="T28" s="89"/>
      <c r="U28" s="83">
        <v>144296</v>
      </c>
      <c r="V28" s="43"/>
      <c r="W28" s="90"/>
      <c r="X28" s="90"/>
    </row>
    <row r="29" spans="1:24" s="47" customFormat="1" x14ac:dyDescent="0.2">
      <c r="A29" s="43" t="s">
        <v>143</v>
      </c>
      <c r="B29" s="84" t="s">
        <v>29</v>
      </c>
      <c r="C29" s="84" t="s">
        <v>168</v>
      </c>
      <c r="D29" s="85">
        <v>36526</v>
      </c>
      <c r="E29" s="85">
        <v>36556</v>
      </c>
      <c r="F29" s="43" t="s">
        <v>157</v>
      </c>
      <c r="G29" s="43" t="s">
        <v>170</v>
      </c>
      <c r="H29" s="84" t="s">
        <v>153</v>
      </c>
      <c r="I29" s="67">
        <f>5.769/I$1</f>
        <v>0.18609677419354839</v>
      </c>
      <c r="J29" s="86">
        <v>4.3400000000000001E-2</v>
      </c>
      <c r="K29" s="86">
        <v>2.2000000000000001E-3</v>
      </c>
      <c r="L29" s="86">
        <v>0</v>
      </c>
      <c r="M29" s="86">
        <v>0</v>
      </c>
      <c r="N29" s="87">
        <v>2.2800000000000001E-2</v>
      </c>
      <c r="O29" s="86">
        <f t="shared" si="3"/>
        <v>0.23169677419354839</v>
      </c>
      <c r="P29" s="88" t="s">
        <v>281</v>
      </c>
      <c r="Q29" s="84">
        <v>476</v>
      </c>
      <c r="R29" s="43" t="s">
        <v>283</v>
      </c>
      <c r="S29" s="89">
        <f t="shared" si="4"/>
        <v>2746.0439999999999</v>
      </c>
      <c r="T29" s="89"/>
      <c r="U29" s="83">
        <v>144297</v>
      </c>
      <c r="V29" s="43"/>
      <c r="W29" s="90"/>
      <c r="X29" s="90"/>
    </row>
    <row r="30" spans="1:24" s="47" customFormat="1" x14ac:dyDescent="0.2">
      <c r="A30" s="43" t="s">
        <v>143</v>
      </c>
      <c r="B30" s="84" t="s">
        <v>29</v>
      </c>
      <c r="C30" s="84" t="s">
        <v>23</v>
      </c>
      <c r="D30" s="85">
        <v>36220</v>
      </c>
      <c r="E30" s="85">
        <v>37711</v>
      </c>
      <c r="F30" s="95" t="s">
        <v>151</v>
      </c>
      <c r="G30" s="95" t="s">
        <v>152</v>
      </c>
      <c r="H30" s="84" t="s">
        <v>153</v>
      </c>
      <c r="I30" s="67">
        <f>5.627/I$1</f>
        <v>0.18151612903225806</v>
      </c>
      <c r="J30" s="86">
        <v>4.3400000000000001E-2</v>
      </c>
      <c r="K30" s="86">
        <v>2.2000000000000001E-3</v>
      </c>
      <c r="L30" s="86">
        <v>0</v>
      </c>
      <c r="M30" s="86">
        <v>0</v>
      </c>
      <c r="N30" s="87">
        <v>2.2800000000000001E-2</v>
      </c>
      <c r="O30" s="86">
        <f t="shared" si="3"/>
        <v>0.22711612903225806</v>
      </c>
      <c r="P30" s="88" t="s">
        <v>154</v>
      </c>
      <c r="Q30" s="84">
        <v>12</v>
      </c>
      <c r="R30" s="43" t="s">
        <v>155</v>
      </c>
      <c r="S30" s="89">
        <f t="shared" si="4"/>
        <v>67.524000000000001</v>
      </c>
      <c r="T30" s="89"/>
      <c r="U30" s="83">
        <v>142039</v>
      </c>
      <c r="V30" s="43"/>
      <c r="W30" s="90"/>
      <c r="X30" s="90"/>
    </row>
    <row r="31" spans="1:24" s="47" customFormat="1" x14ac:dyDescent="0.2">
      <c r="A31" s="43" t="s">
        <v>143</v>
      </c>
      <c r="B31" s="84" t="s">
        <v>29</v>
      </c>
      <c r="C31" s="84" t="s">
        <v>23</v>
      </c>
      <c r="D31" s="85">
        <v>36220</v>
      </c>
      <c r="E31" s="85">
        <v>37711</v>
      </c>
      <c r="F31" s="95" t="s">
        <v>156</v>
      </c>
      <c r="G31" s="95" t="s">
        <v>152</v>
      </c>
      <c r="H31" s="84" t="s">
        <v>153</v>
      </c>
      <c r="I31" s="67">
        <f>5.627/I$1</f>
        <v>0.18151612903225806</v>
      </c>
      <c r="J31" s="86">
        <v>4.3400000000000001E-2</v>
      </c>
      <c r="K31" s="86">
        <v>2.2000000000000001E-3</v>
      </c>
      <c r="L31" s="86">
        <v>0</v>
      </c>
      <c r="M31" s="86">
        <v>0</v>
      </c>
      <c r="N31" s="87">
        <v>2.2800000000000001E-2</v>
      </c>
      <c r="O31" s="86">
        <f t="shared" si="3"/>
        <v>0.22711612903225806</v>
      </c>
      <c r="P31" s="88" t="s">
        <v>154</v>
      </c>
      <c r="Q31" s="84">
        <v>16</v>
      </c>
      <c r="R31" s="43" t="s">
        <v>155</v>
      </c>
      <c r="S31" s="89">
        <f t="shared" si="4"/>
        <v>90.031999999999996</v>
      </c>
      <c r="T31" s="89"/>
      <c r="U31" s="83">
        <v>142039</v>
      </c>
      <c r="V31" s="43"/>
      <c r="W31" s="90"/>
      <c r="X31" s="90"/>
    </row>
    <row r="32" spans="1:24" s="47" customFormat="1" x14ac:dyDescent="0.2">
      <c r="A32" s="43" t="s">
        <v>143</v>
      </c>
      <c r="B32" s="84" t="s">
        <v>29</v>
      </c>
      <c r="C32" s="84" t="s">
        <v>23</v>
      </c>
      <c r="D32" s="85">
        <v>36220</v>
      </c>
      <c r="E32" s="85">
        <v>37711</v>
      </c>
      <c r="F32" s="95" t="s">
        <v>157</v>
      </c>
      <c r="G32" s="95" t="s">
        <v>152</v>
      </c>
      <c r="H32" s="84" t="s">
        <v>153</v>
      </c>
      <c r="I32" s="67">
        <f>5.627/I$1</f>
        <v>0.18151612903225806</v>
      </c>
      <c r="J32" s="86">
        <v>4.3400000000000001E-2</v>
      </c>
      <c r="K32" s="86">
        <v>2.2000000000000001E-3</v>
      </c>
      <c r="L32" s="86">
        <v>0</v>
      </c>
      <c r="M32" s="86">
        <v>0</v>
      </c>
      <c r="N32" s="87">
        <v>2.2800000000000001E-2</v>
      </c>
      <c r="O32" s="86">
        <f t="shared" si="3"/>
        <v>0.22711612903225806</v>
      </c>
      <c r="P32" s="88" t="s">
        <v>154</v>
      </c>
      <c r="Q32" s="84">
        <v>46</v>
      </c>
      <c r="R32" s="43" t="s">
        <v>155</v>
      </c>
      <c r="S32" s="89">
        <f t="shared" si="4"/>
        <v>258.84199999999998</v>
      </c>
      <c r="T32" s="89"/>
      <c r="U32" s="83">
        <v>142039</v>
      </c>
      <c r="V32" s="43"/>
      <c r="W32" s="90"/>
      <c r="X32" s="90"/>
    </row>
    <row r="33" spans="1:24" s="47" customFormat="1" x14ac:dyDescent="0.2">
      <c r="A33" s="43" t="s">
        <v>143</v>
      </c>
      <c r="B33" s="84" t="s">
        <v>29</v>
      </c>
      <c r="C33" s="84" t="s">
        <v>23</v>
      </c>
      <c r="D33" s="85">
        <v>36220</v>
      </c>
      <c r="E33" s="85">
        <v>38807</v>
      </c>
      <c r="F33" s="43" t="s">
        <v>165</v>
      </c>
      <c r="G33" s="95"/>
      <c r="H33" s="84" t="s">
        <v>164</v>
      </c>
      <c r="I33" s="67">
        <f>1.8533/I$1</f>
        <v>5.9783870967741931E-2</v>
      </c>
      <c r="J33" s="86">
        <v>0</v>
      </c>
      <c r="K33" s="86">
        <v>0</v>
      </c>
      <c r="L33" s="86">
        <v>0</v>
      </c>
      <c r="M33" s="86">
        <v>0</v>
      </c>
      <c r="N33" s="87">
        <v>0</v>
      </c>
      <c r="O33" s="86">
        <f t="shared" si="3"/>
        <v>5.9783870967741931E-2</v>
      </c>
      <c r="P33" s="88">
        <v>560042</v>
      </c>
      <c r="Q33" s="84">
        <v>147</v>
      </c>
      <c r="R33" s="43" t="s">
        <v>167</v>
      </c>
      <c r="S33" s="96">
        <f t="shared" si="4"/>
        <v>272.43509999999998</v>
      </c>
      <c r="T33" s="89"/>
      <c r="U33" s="83">
        <v>142434</v>
      </c>
      <c r="V33" s="43"/>
      <c r="W33" s="90"/>
      <c r="X33" s="90"/>
    </row>
    <row r="34" spans="1:24" s="47" customFormat="1" x14ac:dyDescent="0.2">
      <c r="A34" s="43" t="s">
        <v>143</v>
      </c>
      <c r="B34" s="84" t="s">
        <v>29</v>
      </c>
      <c r="C34" s="84" t="s">
        <v>23</v>
      </c>
      <c r="D34" s="85">
        <v>36220</v>
      </c>
      <c r="E34" s="85">
        <v>38807</v>
      </c>
      <c r="F34" s="43" t="s">
        <v>166</v>
      </c>
      <c r="G34" s="95"/>
      <c r="H34" s="84" t="s">
        <v>164</v>
      </c>
      <c r="I34" s="67">
        <v>1.37E-2</v>
      </c>
      <c r="J34" s="86">
        <v>0</v>
      </c>
      <c r="K34" s="86">
        <v>0</v>
      </c>
      <c r="L34" s="86">
        <v>0</v>
      </c>
      <c r="M34" s="86">
        <v>0</v>
      </c>
      <c r="N34" s="87">
        <v>0</v>
      </c>
      <c r="O34" s="86">
        <f t="shared" si="3"/>
        <v>1.37E-2</v>
      </c>
      <c r="P34" s="88">
        <v>560042</v>
      </c>
      <c r="Q34" s="84">
        <v>16275</v>
      </c>
      <c r="R34" s="43" t="s">
        <v>167</v>
      </c>
      <c r="S34" s="96">
        <f>+Q34*I34</f>
        <v>222.9675</v>
      </c>
      <c r="T34" s="89"/>
      <c r="U34" s="83">
        <v>142434</v>
      </c>
      <c r="V34" s="43"/>
      <c r="W34" s="90"/>
      <c r="X34" s="90"/>
    </row>
    <row r="35" spans="1:24" s="47" customFormat="1" x14ac:dyDescent="0.2">
      <c r="A35" s="43" t="s">
        <v>161</v>
      </c>
      <c r="B35" s="84" t="s">
        <v>29</v>
      </c>
      <c r="C35" s="84" t="s">
        <v>139</v>
      </c>
      <c r="D35" s="85">
        <v>36465</v>
      </c>
      <c r="E35" s="85">
        <v>36677</v>
      </c>
      <c r="F35" s="95" t="s">
        <v>157</v>
      </c>
      <c r="G35" s="95" t="s">
        <v>160</v>
      </c>
      <c r="H35" s="84" t="s">
        <v>153</v>
      </c>
      <c r="I35" s="67">
        <f>5.75/I$1</f>
        <v>0.18548387096774194</v>
      </c>
      <c r="J35" s="86">
        <v>4.3400000000000001E-2</v>
      </c>
      <c r="K35" s="86">
        <v>2.2000000000000001E-3</v>
      </c>
      <c r="L35" s="86">
        <v>0</v>
      </c>
      <c r="M35" s="86">
        <v>0</v>
      </c>
      <c r="N35" s="87">
        <v>2.2800000000000001E-2</v>
      </c>
      <c r="O35" s="86">
        <f t="shared" si="3"/>
        <v>0.23108387096774194</v>
      </c>
      <c r="P35" s="88" t="s">
        <v>159</v>
      </c>
      <c r="Q35" s="84">
        <v>186</v>
      </c>
      <c r="R35" s="43" t="s">
        <v>158</v>
      </c>
      <c r="S35" s="89">
        <f>I35*I$1*Q35</f>
        <v>1069.5</v>
      </c>
      <c r="T35" s="89"/>
      <c r="U35" s="83">
        <v>142040</v>
      </c>
      <c r="V35" s="43"/>
      <c r="W35" s="90"/>
      <c r="X35" s="90"/>
    </row>
    <row r="36" spans="1:24" s="47" customFormat="1" x14ac:dyDescent="0.2">
      <c r="A36" s="43" t="s">
        <v>161</v>
      </c>
      <c r="B36" s="84" t="s">
        <v>29</v>
      </c>
      <c r="C36" s="84" t="s">
        <v>139</v>
      </c>
      <c r="D36" s="85">
        <v>36495</v>
      </c>
      <c r="E36" s="85">
        <v>36616</v>
      </c>
      <c r="F36" s="95" t="s">
        <v>157</v>
      </c>
      <c r="G36" s="95" t="s">
        <v>160</v>
      </c>
      <c r="H36" s="84" t="s">
        <v>153</v>
      </c>
      <c r="I36" s="67">
        <f>5.75/I$1</f>
        <v>0.18548387096774194</v>
      </c>
      <c r="J36" s="86">
        <v>4.3400000000000001E-2</v>
      </c>
      <c r="K36" s="86">
        <v>2.2000000000000001E-3</v>
      </c>
      <c r="L36" s="86">
        <v>0</v>
      </c>
      <c r="M36" s="86">
        <v>0</v>
      </c>
      <c r="N36" s="87">
        <v>2.2800000000000001E-2</v>
      </c>
      <c r="O36" s="86">
        <f t="shared" si="3"/>
        <v>0.23108387096774194</v>
      </c>
      <c r="P36" s="88" t="s">
        <v>163</v>
      </c>
      <c r="Q36" s="84">
        <v>11</v>
      </c>
      <c r="R36" s="43" t="s">
        <v>162</v>
      </c>
      <c r="S36" s="89">
        <f>I36*I$1*Q36</f>
        <v>63.25</v>
      </c>
      <c r="T36" s="89"/>
      <c r="U36" s="83">
        <v>142041</v>
      </c>
      <c r="V36" s="43"/>
      <c r="W36" s="90"/>
      <c r="X36" s="90"/>
    </row>
    <row r="40" spans="1:24" x14ac:dyDescent="0.2">
      <c r="A40" s="10" t="s">
        <v>3</v>
      </c>
      <c r="B40" s="11" t="s">
        <v>3</v>
      </c>
      <c r="C40" s="12" t="s">
        <v>3</v>
      </c>
      <c r="D40" s="13" t="s">
        <v>3</v>
      </c>
      <c r="E40" s="13"/>
      <c r="F40" s="10" t="s">
        <v>3</v>
      </c>
      <c r="G40" s="31" t="s">
        <v>3</v>
      </c>
      <c r="H40" s="11" t="s">
        <v>3</v>
      </c>
      <c r="I40" s="14"/>
      <c r="J40" s="15"/>
      <c r="K40" s="15"/>
      <c r="L40" s="15"/>
      <c r="M40" s="15"/>
      <c r="N40" s="50"/>
      <c r="O40" s="15"/>
      <c r="P40" s="27" t="s">
        <v>3</v>
      </c>
      <c r="Q40" s="11">
        <f>SUM(Q28:Q36)</f>
        <v>17589</v>
      </c>
      <c r="R40" s="10" t="s">
        <v>3</v>
      </c>
      <c r="S40" s="23">
        <f>SUM(S28:S36)</f>
        <v>7213.574599999999</v>
      </c>
      <c r="T40" s="23">
        <f>SUM(T28:T36)</f>
        <v>0</v>
      </c>
      <c r="U40" s="72"/>
      <c r="V40" s="10"/>
      <c r="W40" s="37"/>
      <c r="X40" s="37"/>
    </row>
    <row r="41" spans="1:24" x14ac:dyDescent="0.2">
      <c r="A41" s="17" t="s">
        <v>4</v>
      </c>
      <c r="B41" s="18" t="s">
        <v>5</v>
      </c>
      <c r="C41" s="18" t="s">
        <v>6</v>
      </c>
      <c r="D41" s="19" t="s">
        <v>7</v>
      </c>
      <c r="E41" s="19"/>
      <c r="F41" s="17" t="s">
        <v>8</v>
      </c>
      <c r="G41" s="17" t="s">
        <v>9</v>
      </c>
      <c r="H41" s="18" t="s">
        <v>86</v>
      </c>
      <c r="I41" s="20" t="s">
        <v>11</v>
      </c>
      <c r="J41" s="18" t="s">
        <v>12</v>
      </c>
      <c r="K41" s="18" t="s">
        <v>13</v>
      </c>
      <c r="L41" s="18" t="s">
        <v>14</v>
      </c>
      <c r="M41" s="18" t="s">
        <v>15</v>
      </c>
      <c r="N41" s="49" t="s">
        <v>16</v>
      </c>
      <c r="O41" s="18" t="s">
        <v>17</v>
      </c>
      <c r="P41" s="21" t="s">
        <v>18</v>
      </c>
      <c r="Q41" s="18" t="s">
        <v>19</v>
      </c>
      <c r="R41" s="17" t="s">
        <v>20</v>
      </c>
      <c r="S41" s="22" t="s">
        <v>81</v>
      </c>
      <c r="T41" s="22" t="s">
        <v>80</v>
      </c>
      <c r="U41" s="70" t="s">
        <v>37</v>
      </c>
      <c r="V41" s="99" t="str">
        <f>+V27</f>
        <v>Questions</v>
      </c>
      <c r="W41" s="37"/>
      <c r="X41" s="37"/>
    </row>
    <row r="42" spans="1:24" s="47" customFormat="1" x14ac:dyDescent="0.2">
      <c r="A42" s="43" t="s">
        <v>143</v>
      </c>
      <c r="B42" s="84" t="s">
        <v>65</v>
      </c>
      <c r="C42" s="84" t="s">
        <v>44</v>
      </c>
      <c r="D42" s="85">
        <v>36526</v>
      </c>
      <c r="E42" s="85">
        <v>36646</v>
      </c>
      <c r="F42" s="45" t="s">
        <v>323</v>
      </c>
      <c r="G42" s="45" t="s">
        <v>176</v>
      </c>
      <c r="H42" s="84" t="s">
        <v>90</v>
      </c>
      <c r="I42" s="54">
        <f>6.53/'Ces Wholesale'!I$1</f>
        <v>0.2106451612903226</v>
      </c>
      <c r="J42" s="86">
        <v>1.32E-2</v>
      </c>
      <c r="K42" s="86">
        <v>2.2000000000000001E-3</v>
      </c>
      <c r="L42" s="86">
        <v>7.4999999999999997E-3</v>
      </c>
      <c r="M42" s="86">
        <v>0</v>
      </c>
      <c r="N42" s="87">
        <v>2.1160000000000002E-2</v>
      </c>
      <c r="O42" s="86">
        <f>SUM(I42:M42)</f>
        <v>0.2335451612903226</v>
      </c>
      <c r="P42" s="88">
        <v>37956</v>
      </c>
      <c r="Q42" s="84">
        <v>600</v>
      </c>
      <c r="R42" s="43" t="s">
        <v>77</v>
      </c>
      <c r="S42" s="89">
        <f>I42*'Ces Wholesale'!I$1*Q42</f>
        <v>3918</v>
      </c>
      <c r="T42" s="89"/>
      <c r="U42" s="83">
        <v>140439</v>
      </c>
      <c r="V42" s="89"/>
      <c r="W42" s="90"/>
      <c r="X42" s="90"/>
    </row>
    <row r="43" spans="1:24" s="47" customFormat="1" x14ac:dyDescent="0.2">
      <c r="A43" s="44" t="s">
        <v>38</v>
      </c>
      <c r="B43" s="75" t="s">
        <v>65</v>
      </c>
      <c r="C43" s="75" t="s">
        <v>99</v>
      </c>
      <c r="D43" s="76">
        <v>36251</v>
      </c>
      <c r="E43" s="76">
        <v>36616</v>
      </c>
      <c r="F43" s="44" t="s">
        <v>100</v>
      </c>
      <c r="G43" s="44" t="s">
        <v>102</v>
      </c>
      <c r="H43" s="75" t="s">
        <v>101</v>
      </c>
      <c r="I43" s="77">
        <f>2.91/I$1</f>
        <v>9.3870967741935485E-2</v>
      </c>
      <c r="J43" s="66">
        <v>0</v>
      </c>
      <c r="K43" s="66">
        <v>0</v>
      </c>
      <c r="L43" s="66">
        <v>0</v>
      </c>
      <c r="M43" s="66">
        <v>0</v>
      </c>
      <c r="N43" s="65">
        <v>0</v>
      </c>
      <c r="O43" s="66">
        <f t="shared" ref="O43:O79" si="5">SUM(I43:M43)</f>
        <v>9.3870967741935485E-2</v>
      </c>
      <c r="P43" s="78">
        <v>51407</v>
      </c>
      <c r="Q43" s="75">
        <v>0</v>
      </c>
      <c r="R43" s="44" t="s">
        <v>104</v>
      </c>
      <c r="S43" s="79">
        <f>I43*Q43</f>
        <v>0</v>
      </c>
      <c r="T43" s="79"/>
      <c r="U43" s="80">
        <v>151880</v>
      </c>
      <c r="V43" s="44"/>
      <c r="W43" s="90"/>
      <c r="X43" s="90"/>
    </row>
    <row r="44" spans="1:24" s="47" customFormat="1" x14ac:dyDescent="0.2">
      <c r="A44" s="44" t="s">
        <v>38</v>
      </c>
      <c r="B44" s="75" t="s">
        <v>65</v>
      </c>
      <c r="C44" s="75" t="s">
        <v>99</v>
      </c>
      <c r="D44" s="76">
        <v>36251</v>
      </c>
      <c r="E44" s="76">
        <v>36616</v>
      </c>
      <c r="F44" s="44" t="s">
        <v>100</v>
      </c>
      <c r="G44" s="44" t="s">
        <v>103</v>
      </c>
      <c r="H44" s="75" t="s">
        <v>101</v>
      </c>
      <c r="I44" s="77">
        <v>1.5299999999999999E-2</v>
      </c>
      <c r="J44" s="66">
        <v>0</v>
      </c>
      <c r="K44" s="66">
        <v>0</v>
      </c>
      <c r="L44" s="66">
        <v>0</v>
      </c>
      <c r="M44" s="66">
        <v>0</v>
      </c>
      <c r="N44" s="65">
        <v>0</v>
      </c>
      <c r="O44" s="66">
        <f t="shared" si="5"/>
        <v>1.5299999999999999E-2</v>
      </c>
      <c r="P44" s="78">
        <v>51407</v>
      </c>
      <c r="Q44" s="75">
        <v>0</v>
      </c>
      <c r="R44" s="44" t="s">
        <v>104</v>
      </c>
      <c r="S44" s="79">
        <f>I44*I$1*Q44</f>
        <v>0</v>
      </c>
      <c r="T44" s="79"/>
      <c r="U44" s="80">
        <v>151880</v>
      </c>
      <c r="V44" s="44"/>
      <c r="W44" s="90"/>
      <c r="X44" s="90"/>
    </row>
    <row r="45" spans="1:24" s="47" customFormat="1" x14ac:dyDescent="0.2">
      <c r="A45" s="43" t="s">
        <v>38</v>
      </c>
      <c r="B45" s="84" t="s">
        <v>65</v>
      </c>
      <c r="C45" s="84"/>
      <c r="D45" s="85">
        <v>36100</v>
      </c>
      <c r="E45" s="85">
        <v>36830</v>
      </c>
      <c r="F45" s="95" t="s">
        <v>175</v>
      </c>
      <c r="G45" s="43" t="s">
        <v>176</v>
      </c>
      <c r="H45" s="84" t="s">
        <v>90</v>
      </c>
      <c r="I45" s="67">
        <f>4.56/I$1</f>
        <v>0.14709677419354839</v>
      </c>
      <c r="J45" s="86">
        <v>1.32E-2</v>
      </c>
      <c r="K45" s="86">
        <v>2.2000000000000001E-3</v>
      </c>
      <c r="L45" s="86">
        <v>7.1999999999999998E-3</v>
      </c>
      <c r="M45" s="86">
        <v>0</v>
      </c>
      <c r="N45" s="87">
        <v>2.1160000000000002E-2</v>
      </c>
      <c r="O45" s="86">
        <f t="shared" si="5"/>
        <v>0.16969677419354839</v>
      </c>
      <c r="P45" s="88">
        <v>61822</v>
      </c>
      <c r="Q45" s="84">
        <v>4000</v>
      </c>
      <c r="R45" s="43" t="s">
        <v>177</v>
      </c>
      <c r="S45" s="89">
        <f t="shared" ref="S45:S57" si="6">I45*I$1*Q45</f>
        <v>18240</v>
      </c>
      <c r="T45" s="89"/>
      <c r="U45" s="83">
        <v>142757</v>
      </c>
      <c r="V45" s="43"/>
      <c r="W45" s="90"/>
      <c r="X45" s="90"/>
    </row>
    <row r="46" spans="1:24" s="47" customFormat="1" x14ac:dyDescent="0.2">
      <c r="A46" s="43" t="s">
        <v>143</v>
      </c>
      <c r="B46" s="84" t="s">
        <v>65</v>
      </c>
      <c r="C46" s="84" t="s">
        <v>44</v>
      </c>
      <c r="D46" s="85">
        <v>36526</v>
      </c>
      <c r="E46" s="85">
        <v>36830</v>
      </c>
      <c r="F46" s="45" t="s">
        <v>74</v>
      </c>
      <c r="G46" s="45" t="s">
        <v>71</v>
      </c>
      <c r="H46" s="84" t="s">
        <v>90</v>
      </c>
      <c r="I46" s="54">
        <v>0.15</v>
      </c>
      <c r="J46" s="86">
        <v>1.32E-2</v>
      </c>
      <c r="K46" s="86">
        <v>2.2000000000000001E-3</v>
      </c>
      <c r="L46" s="86">
        <v>7.4999999999999997E-3</v>
      </c>
      <c r="M46" s="86">
        <v>0</v>
      </c>
      <c r="N46" s="87">
        <v>2.1160000000000002E-2</v>
      </c>
      <c r="O46" s="86">
        <f>SUM(I46:M46)</f>
        <v>0.1729</v>
      </c>
      <c r="P46" s="88">
        <v>61825</v>
      </c>
      <c r="Q46" s="84">
        <v>8000</v>
      </c>
      <c r="R46" s="43" t="s">
        <v>75</v>
      </c>
      <c r="S46" s="89">
        <f>I46*'Ces Wholesale'!I$1*Q46</f>
        <v>37199.999999999993</v>
      </c>
      <c r="T46" s="89"/>
      <c r="U46" s="83">
        <v>140437</v>
      </c>
      <c r="V46" s="89"/>
      <c r="W46" s="90"/>
      <c r="X46" s="90"/>
    </row>
    <row r="47" spans="1:24" s="47" customFormat="1" x14ac:dyDescent="0.2">
      <c r="A47" s="43" t="s">
        <v>38</v>
      </c>
      <c r="B47" s="84" t="s">
        <v>65</v>
      </c>
      <c r="C47" s="84"/>
      <c r="D47" s="85">
        <v>36100</v>
      </c>
      <c r="E47" s="85">
        <v>36830</v>
      </c>
      <c r="F47" s="43" t="s">
        <v>178</v>
      </c>
      <c r="G47" s="95" t="s">
        <v>179</v>
      </c>
      <c r="H47" s="84" t="s">
        <v>90</v>
      </c>
      <c r="I47" s="67">
        <f>4.56/I$1</f>
        <v>0.14709677419354839</v>
      </c>
      <c r="J47" s="86">
        <v>1.32E-2</v>
      </c>
      <c r="K47" s="86">
        <v>2.2000000000000001E-3</v>
      </c>
      <c r="L47" s="86">
        <v>7.1999999999999998E-3</v>
      </c>
      <c r="M47" s="86">
        <v>0</v>
      </c>
      <c r="N47" s="87">
        <v>2.1160000000000002E-2</v>
      </c>
      <c r="O47" s="86">
        <f t="shared" si="5"/>
        <v>0.16969677419354839</v>
      </c>
      <c r="P47" s="88">
        <v>61838</v>
      </c>
      <c r="Q47" s="84">
        <v>1000</v>
      </c>
      <c r="R47" s="43" t="s">
        <v>180</v>
      </c>
      <c r="S47" s="89">
        <f t="shared" ref="S47:S79" si="7">I47*I$1*Q47</f>
        <v>4560</v>
      </c>
      <c r="T47" s="89"/>
      <c r="U47" s="83">
        <v>142768</v>
      </c>
      <c r="V47" s="43"/>
      <c r="W47" s="90"/>
      <c r="X47" s="90"/>
    </row>
    <row r="48" spans="1:24" s="47" customFormat="1" x14ac:dyDescent="0.2">
      <c r="A48" s="43" t="s">
        <v>143</v>
      </c>
      <c r="B48" s="84" t="s">
        <v>65</v>
      </c>
      <c r="C48" s="84" t="s">
        <v>44</v>
      </c>
      <c r="D48" s="85">
        <v>36526</v>
      </c>
      <c r="E48" s="85">
        <v>36830</v>
      </c>
      <c r="F48" s="45" t="s">
        <v>70</v>
      </c>
      <c r="G48" s="45" t="s">
        <v>71</v>
      </c>
      <c r="H48" s="84" t="s">
        <v>90</v>
      </c>
      <c r="I48" s="54">
        <v>0.15</v>
      </c>
      <c r="J48" s="86">
        <v>1.32E-2</v>
      </c>
      <c r="K48" s="86">
        <v>2.2000000000000001E-3</v>
      </c>
      <c r="L48" s="86">
        <v>7.4999999999999997E-3</v>
      </c>
      <c r="M48" s="86">
        <v>0</v>
      </c>
      <c r="N48" s="87">
        <v>2.1160000000000002E-2</v>
      </c>
      <c r="O48" s="86">
        <f>SUM(I48:M48)</f>
        <v>0.1729</v>
      </c>
      <c r="P48" s="88">
        <v>61990</v>
      </c>
      <c r="Q48" s="84">
        <v>2000</v>
      </c>
      <c r="R48" s="43" t="s">
        <v>76</v>
      </c>
      <c r="S48" s="89">
        <f>I48*'Ces Wholesale'!I$1*Q48</f>
        <v>9299.9999999999982</v>
      </c>
      <c r="T48" s="89"/>
      <c r="U48" s="83">
        <v>140438</v>
      </c>
      <c r="V48" s="89"/>
      <c r="W48" s="90"/>
      <c r="X48" s="90"/>
    </row>
    <row r="49" spans="1:24" s="47" customFormat="1" x14ac:dyDescent="0.2">
      <c r="A49" s="43" t="s">
        <v>38</v>
      </c>
      <c r="B49" s="84" t="s">
        <v>65</v>
      </c>
      <c r="C49" s="84" t="s">
        <v>87</v>
      </c>
      <c r="D49" s="85">
        <v>36192</v>
      </c>
      <c r="E49" s="85">
        <v>36556</v>
      </c>
      <c r="F49" s="43" t="s">
        <v>89</v>
      </c>
      <c r="G49" s="43" t="s">
        <v>91</v>
      </c>
      <c r="H49" s="84" t="s">
        <v>90</v>
      </c>
      <c r="I49" s="67">
        <f>6.53/I$1</f>
        <v>0.2106451612903226</v>
      </c>
      <c r="J49" s="86">
        <v>1.32E-2</v>
      </c>
      <c r="K49" s="86">
        <v>2.2000000000000001E-3</v>
      </c>
      <c r="L49" s="86">
        <v>7.1999999999999998E-3</v>
      </c>
      <c r="M49" s="86">
        <v>0</v>
      </c>
      <c r="N49" s="87">
        <v>2.1160000000000002E-2</v>
      </c>
      <c r="O49" s="86">
        <f t="shared" si="5"/>
        <v>0.23324516129032261</v>
      </c>
      <c r="P49" s="88">
        <v>62740</v>
      </c>
      <c r="Q49" s="84">
        <v>2</v>
      </c>
      <c r="R49" s="43" t="s">
        <v>92</v>
      </c>
      <c r="S49" s="89">
        <f t="shared" si="6"/>
        <v>13.06</v>
      </c>
      <c r="T49" s="89"/>
      <c r="U49" s="83">
        <v>140484</v>
      </c>
      <c r="V49" s="43"/>
      <c r="W49" s="90"/>
      <c r="X49" s="90"/>
    </row>
    <row r="50" spans="1:24" s="47" customFormat="1" x14ac:dyDescent="0.2">
      <c r="A50" s="43" t="s">
        <v>143</v>
      </c>
      <c r="B50" s="84" t="s">
        <v>65</v>
      </c>
      <c r="C50" s="84" t="s">
        <v>44</v>
      </c>
      <c r="D50" s="85">
        <v>36526</v>
      </c>
      <c r="E50" s="85">
        <v>36616</v>
      </c>
      <c r="F50" s="45" t="s">
        <v>66</v>
      </c>
      <c r="G50" s="45" t="s">
        <v>67</v>
      </c>
      <c r="H50" s="84" t="s">
        <v>90</v>
      </c>
      <c r="I50" s="54">
        <v>0.05</v>
      </c>
      <c r="J50" s="86">
        <v>1.32E-2</v>
      </c>
      <c r="K50" s="86">
        <v>2.2000000000000001E-3</v>
      </c>
      <c r="L50" s="86">
        <v>7.4999999999999997E-3</v>
      </c>
      <c r="M50" s="86">
        <v>0</v>
      </c>
      <c r="N50" s="87">
        <v>2.1160000000000002E-2</v>
      </c>
      <c r="O50" s="86">
        <f>SUM(I50:M50)</f>
        <v>7.2899999999999993E-2</v>
      </c>
      <c r="P50" s="88">
        <v>62978</v>
      </c>
      <c r="Q50" s="84">
        <v>8000</v>
      </c>
      <c r="R50" s="43" t="s">
        <v>68</v>
      </c>
      <c r="S50" s="89">
        <f>I50*'Ces Wholesale'!I$1*Q50</f>
        <v>12400</v>
      </c>
      <c r="T50" s="89"/>
      <c r="U50" s="83">
        <v>139318</v>
      </c>
      <c r="V50" s="89"/>
      <c r="W50" s="90"/>
      <c r="X50" s="90"/>
    </row>
    <row r="51" spans="1:24" s="47" customFormat="1" x14ac:dyDescent="0.2">
      <c r="A51" s="43" t="s">
        <v>38</v>
      </c>
      <c r="B51" s="84" t="s">
        <v>65</v>
      </c>
      <c r="C51" s="84" t="s">
        <v>88</v>
      </c>
      <c r="D51" s="85">
        <v>36220</v>
      </c>
      <c r="E51" s="85">
        <v>36585</v>
      </c>
      <c r="F51" s="43" t="s">
        <v>89</v>
      </c>
      <c r="G51" s="43" t="s">
        <v>93</v>
      </c>
      <c r="H51" s="84" t="s">
        <v>90</v>
      </c>
      <c r="I51" s="67">
        <f t="shared" ref="I51:I79" si="8">6.53/I$1</f>
        <v>0.2106451612903226</v>
      </c>
      <c r="J51" s="86">
        <v>1.32E-2</v>
      </c>
      <c r="K51" s="86">
        <v>2.2000000000000001E-3</v>
      </c>
      <c r="L51" s="86">
        <v>7.1999999999999998E-3</v>
      </c>
      <c r="M51" s="86">
        <v>0</v>
      </c>
      <c r="N51" s="87">
        <v>2.1160000000000002E-2</v>
      </c>
      <c r="O51" s="86">
        <f t="shared" si="5"/>
        <v>0.23324516129032261</v>
      </c>
      <c r="P51" s="88">
        <v>62982</v>
      </c>
      <c r="Q51" s="84">
        <v>2</v>
      </c>
      <c r="R51" s="43" t="s">
        <v>94</v>
      </c>
      <c r="S51" s="89">
        <f t="shared" si="6"/>
        <v>13.06</v>
      </c>
      <c r="T51" s="89"/>
      <c r="U51" s="83">
        <v>140914</v>
      </c>
      <c r="V51" s="43"/>
      <c r="W51" s="90"/>
      <c r="X51" s="90"/>
    </row>
    <row r="52" spans="1:24" s="47" customFormat="1" x14ac:dyDescent="0.2">
      <c r="A52" s="43" t="s">
        <v>38</v>
      </c>
      <c r="B52" s="84" t="s">
        <v>65</v>
      </c>
      <c r="C52" s="84" t="s">
        <v>87</v>
      </c>
      <c r="D52" s="85">
        <v>36220</v>
      </c>
      <c r="E52" s="85">
        <v>36585</v>
      </c>
      <c r="F52" s="43" t="s">
        <v>89</v>
      </c>
      <c r="G52" s="43" t="s">
        <v>91</v>
      </c>
      <c r="H52" s="84" t="s">
        <v>90</v>
      </c>
      <c r="I52" s="67">
        <f t="shared" si="8"/>
        <v>0.2106451612903226</v>
      </c>
      <c r="J52" s="86">
        <v>1.32E-2</v>
      </c>
      <c r="K52" s="86">
        <v>2.2000000000000001E-3</v>
      </c>
      <c r="L52" s="86">
        <v>7.1999999999999998E-3</v>
      </c>
      <c r="M52" s="86">
        <v>0</v>
      </c>
      <c r="N52" s="87">
        <v>2.1160000000000002E-2</v>
      </c>
      <c r="O52" s="86">
        <f t="shared" si="5"/>
        <v>0.23324516129032261</v>
      </c>
      <c r="P52" s="88">
        <v>62983</v>
      </c>
      <c r="Q52" s="84">
        <v>2</v>
      </c>
      <c r="R52" s="43" t="s">
        <v>95</v>
      </c>
      <c r="S52" s="89">
        <f t="shared" si="6"/>
        <v>13.06</v>
      </c>
      <c r="T52" s="89"/>
      <c r="U52" s="83">
        <v>140916</v>
      </c>
      <c r="V52" s="43"/>
      <c r="W52" s="90"/>
      <c r="X52" s="90"/>
    </row>
    <row r="53" spans="1:24" s="47" customFormat="1" x14ac:dyDescent="0.2">
      <c r="A53" s="43" t="s">
        <v>38</v>
      </c>
      <c r="B53" s="84" t="s">
        <v>65</v>
      </c>
      <c r="C53" s="84" t="s">
        <v>99</v>
      </c>
      <c r="D53" s="85">
        <v>36434</v>
      </c>
      <c r="E53" s="85">
        <v>36616</v>
      </c>
      <c r="F53" s="43" t="s">
        <v>100</v>
      </c>
      <c r="G53" s="43" t="s">
        <v>130</v>
      </c>
      <c r="H53" s="84" t="s">
        <v>128</v>
      </c>
      <c r="I53" s="67">
        <f>6.359/I$1</f>
        <v>0.2051290322580645</v>
      </c>
      <c r="J53" s="86">
        <v>1.2999999999999999E-2</v>
      </c>
      <c r="K53" s="86">
        <v>2.2000000000000001E-3</v>
      </c>
      <c r="L53" s="86">
        <v>7.1999999999999998E-3</v>
      </c>
      <c r="M53" s="86">
        <v>0</v>
      </c>
      <c r="N53" s="87">
        <v>2.1160000000000002E-2</v>
      </c>
      <c r="O53" s="86">
        <f t="shared" si="5"/>
        <v>0.22752903225806453</v>
      </c>
      <c r="P53" s="88">
        <v>63281</v>
      </c>
      <c r="Q53" s="84">
        <v>134710</v>
      </c>
      <c r="R53" s="43" t="s">
        <v>131</v>
      </c>
      <c r="S53" s="89">
        <f t="shared" si="6"/>
        <v>856620.89</v>
      </c>
      <c r="T53" s="89"/>
      <c r="U53" s="83">
        <v>141177</v>
      </c>
      <c r="V53" s="43"/>
      <c r="W53" s="90"/>
      <c r="X53" s="90"/>
    </row>
    <row r="54" spans="1:24" s="47" customFormat="1" x14ac:dyDescent="0.2">
      <c r="A54" s="43" t="s">
        <v>38</v>
      </c>
      <c r="B54" s="84" t="s">
        <v>65</v>
      </c>
      <c r="C54" s="84" t="s">
        <v>88</v>
      </c>
      <c r="D54" s="85">
        <v>36251</v>
      </c>
      <c r="E54" s="85">
        <v>36616</v>
      </c>
      <c r="F54" s="43" t="s">
        <v>89</v>
      </c>
      <c r="G54" s="43" t="s">
        <v>93</v>
      </c>
      <c r="H54" s="84" t="s">
        <v>90</v>
      </c>
      <c r="I54" s="67">
        <f t="shared" si="8"/>
        <v>0.2106451612903226</v>
      </c>
      <c r="J54" s="86">
        <v>1.32E-2</v>
      </c>
      <c r="K54" s="86">
        <v>2.2000000000000001E-3</v>
      </c>
      <c r="L54" s="86">
        <v>7.1999999999999998E-3</v>
      </c>
      <c r="M54" s="86">
        <v>0</v>
      </c>
      <c r="N54" s="87">
        <v>2.1160000000000002E-2</v>
      </c>
      <c r="O54" s="86">
        <f t="shared" si="5"/>
        <v>0.23324516129032261</v>
      </c>
      <c r="P54" s="88">
        <v>63282</v>
      </c>
      <c r="Q54" s="84">
        <v>6</v>
      </c>
      <c r="R54" s="43" t="s">
        <v>96</v>
      </c>
      <c r="S54" s="89">
        <f t="shared" si="6"/>
        <v>39.18</v>
      </c>
      <c r="T54" s="89"/>
      <c r="U54" s="83">
        <v>140965</v>
      </c>
      <c r="V54" s="43"/>
      <c r="W54" s="90"/>
      <c r="X54" s="90"/>
    </row>
    <row r="55" spans="1:24" s="47" customFormat="1" x14ac:dyDescent="0.2">
      <c r="A55" s="43" t="s">
        <v>38</v>
      </c>
      <c r="B55" s="84" t="s">
        <v>65</v>
      </c>
      <c r="C55" s="84" t="s">
        <v>87</v>
      </c>
      <c r="D55" s="85">
        <v>36251</v>
      </c>
      <c r="E55" s="85">
        <v>36616</v>
      </c>
      <c r="F55" s="43" t="s">
        <v>89</v>
      </c>
      <c r="G55" s="43" t="s">
        <v>97</v>
      </c>
      <c r="H55" s="84" t="s">
        <v>90</v>
      </c>
      <c r="I55" s="67">
        <f t="shared" si="8"/>
        <v>0.2106451612903226</v>
      </c>
      <c r="J55" s="86">
        <v>1.32E-2</v>
      </c>
      <c r="K55" s="86">
        <v>2.2000000000000001E-3</v>
      </c>
      <c r="L55" s="86">
        <v>7.1999999999999998E-3</v>
      </c>
      <c r="M55" s="86">
        <v>0</v>
      </c>
      <c r="N55" s="87">
        <v>2.1160000000000002E-2</v>
      </c>
      <c r="O55" s="86">
        <f t="shared" si="5"/>
        <v>0.23324516129032261</v>
      </c>
      <c r="P55" s="88">
        <v>63283</v>
      </c>
      <c r="Q55" s="84">
        <v>46</v>
      </c>
      <c r="R55" s="43" t="s">
        <v>98</v>
      </c>
      <c r="S55" s="89">
        <f t="shared" si="6"/>
        <v>300.38</v>
      </c>
      <c r="T55" s="89"/>
      <c r="U55" s="83">
        <v>140968</v>
      </c>
      <c r="V55" s="43"/>
      <c r="W55" s="90"/>
      <c r="X55" s="90"/>
    </row>
    <row r="56" spans="1:24" s="47" customFormat="1" x14ac:dyDescent="0.2">
      <c r="A56" s="44" t="s">
        <v>38</v>
      </c>
      <c r="B56" s="75" t="s">
        <v>65</v>
      </c>
      <c r="C56" s="75" t="s">
        <v>99</v>
      </c>
      <c r="D56" s="76">
        <v>36251</v>
      </c>
      <c r="E56" s="76">
        <v>36616</v>
      </c>
      <c r="F56" s="44" t="s">
        <v>100</v>
      </c>
      <c r="G56" s="44" t="s">
        <v>102</v>
      </c>
      <c r="H56" s="75" t="s">
        <v>101</v>
      </c>
      <c r="I56" s="77">
        <f>2.91/I$1</f>
        <v>9.3870967741935485E-2</v>
      </c>
      <c r="J56" s="66">
        <v>0</v>
      </c>
      <c r="K56" s="66">
        <v>0</v>
      </c>
      <c r="L56" s="66">
        <v>0</v>
      </c>
      <c r="M56" s="66">
        <v>0</v>
      </c>
      <c r="N56" s="65">
        <v>0</v>
      </c>
      <c r="O56" s="66">
        <f t="shared" si="5"/>
        <v>9.3870967741935485E-2</v>
      </c>
      <c r="P56" s="78">
        <v>63304</v>
      </c>
      <c r="Q56" s="75">
        <v>7503838</v>
      </c>
      <c r="R56" s="44" t="s">
        <v>104</v>
      </c>
      <c r="S56" s="79">
        <f>I56*Q56</f>
        <v>704392.53483870963</v>
      </c>
      <c r="T56" s="79"/>
      <c r="U56" s="80">
        <v>151879</v>
      </c>
      <c r="V56" s="44"/>
      <c r="W56" s="90"/>
      <c r="X56" s="90"/>
    </row>
    <row r="57" spans="1:24" s="47" customFormat="1" x14ac:dyDescent="0.2">
      <c r="A57" s="44" t="s">
        <v>38</v>
      </c>
      <c r="B57" s="75" t="s">
        <v>65</v>
      </c>
      <c r="C57" s="75" t="s">
        <v>99</v>
      </c>
      <c r="D57" s="76">
        <v>36251</v>
      </c>
      <c r="E57" s="76">
        <v>36616</v>
      </c>
      <c r="F57" s="44" t="s">
        <v>100</v>
      </c>
      <c r="G57" s="44" t="s">
        <v>103</v>
      </c>
      <c r="H57" s="75" t="s">
        <v>101</v>
      </c>
      <c r="I57" s="77">
        <v>1.5299999999999999E-2</v>
      </c>
      <c r="J57" s="66">
        <v>0</v>
      </c>
      <c r="K57" s="66">
        <v>0</v>
      </c>
      <c r="L57" s="66">
        <v>0</v>
      </c>
      <c r="M57" s="66">
        <v>0</v>
      </c>
      <c r="N57" s="65">
        <v>0</v>
      </c>
      <c r="O57" s="66">
        <f t="shared" si="5"/>
        <v>1.5299999999999999E-2</v>
      </c>
      <c r="P57" s="78">
        <v>63304</v>
      </c>
      <c r="Q57" s="75">
        <v>134743</v>
      </c>
      <c r="R57" s="44" t="s">
        <v>104</v>
      </c>
      <c r="S57" s="79">
        <f t="shared" si="6"/>
        <v>63908.604899999998</v>
      </c>
      <c r="T57" s="79"/>
      <c r="U57" s="80">
        <v>151879</v>
      </c>
      <c r="V57" s="44"/>
      <c r="W57" s="90"/>
      <c r="X57" s="90"/>
    </row>
    <row r="58" spans="1:24" s="82" customFormat="1" x14ac:dyDescent="0.2">
      <c r="A58" s="43" t="s">
        <v>38</v>
      </c>
      <c r="B58" s="84" t="s">
        <v>65</v>
      </c>
      <c r="C58" s="84" t="s">
        <v>88</v>
      </c>
      <c r="D58" s="85">
        <v>36281</v>
      </c>
      <c r="E58" s="85">
        <v>36646</v>
      </c>
      <c r="F58" s="43" t="s">
        <v>89</v>
      </c>
      <c r="G58" s="43" t="s">
        <v>93</v>
      </c>
      <c r="H58" s="84" t="s">
        <v>90</v>
      </c>
      <c r="I58" s="67">
        <f t="shared" si="8"/>
        <v>0.2106451612903226</v>
      </c>
      <c r="J58" s="86">
        <v>1.32E-2</v>
      </c>
      <c r="K58" s="86">
        <v>2.2000000000000001E-3</v>
      </c>
      <c r="L58" s="86">
        <v>7.1999999999999998E-3</v>
      </c>
      <c r="M58" s="86">
        <v>0</v>
      </c>
      <c r="N58" s="87">
        <v>2.1160000000000002E-2</v>
      </c>
      <c r="O58" s="86">
        <f t="shared" si="5"/>
        <v>0.23324516129032261</v>
      </c>
      <c r="P58" s="88">
        <v>63557</v>
      </c>
      <c r="Q58" s="84">
        <v>33</v>
      </c>
      <c r="R58" s="43" t="s">
        <v>105</v>
      </c>
      <c r="S58" s="89">
        <f t="shared" si="7"/>
        <v>215.49</v>
      </c>
      <c r="T58" s="89"/>
      <c r="U58" s="83">
        <v>140974</v>
      </c>
      <c r="V58" s="43"/>
      <c r="W58" s="81"/>
      <c r="X58" s="81"/>
    </row>
    <row r="59" spans="1:24" s="82" customFormat="1" x14ac:dyDescent="0.2">
      <c r="A59" s="43" t="s">
        <v>143</v>
      </c>
      <c r="B59" s="84" t="s">
        <v>65</v>
      </c>
      <c r="C59" s="84" t="s">
        <v>44</v>
      </c>
      <c r="D59" s="85">
        <v>36526</v>
      </c>
      <c r="E59" s="85">
        <v>36616</v>
      </c>
      <c r="F59" s="45" t="s">
        <v>66</v>
      </c>
      <c r="G59" s="45" t="s">
        <v>67</v>
      </c>
      <c r="H59" s="84" t="s">
        <v>90</v>
      </c>
      <c r="I59" s="54">
        <v>4.4999999999999998E-2</v>
      </c>
      <c r="J59" s="86">
        <v>1.32E-2</v>
      </c>
      <c r="K59" s="86">
        <v>2.2000000000000001E-3</v>
      </c>
      <c r="L59" s="86">
        <v>7.4999999999999997E-3</v>
      </c>
      <c r="M59" s="86">
        <v>0</v>
      </c>
      <c r="N59" s="87">
        <v>2.1160000000000002E-2</v>
      </c>
      <c r="O59" s="86">
        <f>SUM(I59:M59)</f>
        <v>6.7900000000000002E-2</v>
      </c>
      <c r="P59" s="88">
        <v>63764</v>
      </c>
      <c r="Q59" s="84">
        <v>10000</v>
      </c>
      <c r="R59" s="43" t="s">
        <v>69</v>
      </c>
      <c r="S59" s="89">
        <f>I59*'Ces Wholesale'!I$1*Q59</f>
        <v>13950</v>
      </c>
      <c r="T59" s="89"/>
      <c r="U59" s="83">
        <v>139469</v>
      </c>
      <c r="V59" s="89"/>
      <c r="W59" s="81"/>
      <c r="X59" s="81"/>
    </row>
    <row r="60" spans="1:24" s="47" customFormat="1" x14ac:dyDescent="0.2">
      <c r="A60" s="43" t="s">
        <v>38</v>
      </c>
      <c r="B60" s="84" t="s">
        <v>65</v>
      </c>
      <c r="C60" s="84" t="s">
        <v>88</v>
      </c>
      <c r="D60" s="85">
        <v>36312</v>
      </c>
      <c r="E60" s="85">
        <v>36677</v>
      </c>
      <c r="F60" s="43" t="s">
        <v>89</v>
      </c>
      <c r="G60" s="43" t="s">
        <v>93</v>
      </c>
      <c r="H60" s="84" t="s">
        <v>90</v>
      </c>
      <c r="I60" s="67">
        <f t="shared" si="8"/>
        <v>0.2106451612903226</v>
      </c>
      <c r="J60" s="86">
        <v>1.32E-2</v>
      </c>
      <c r="K60" s="86">
        <v>2.2000000000000001E-3</v>
      </c>
      <c r="L60" s="86">
        <v>7.1999999999999998E-3</v>
      </c>
      <c r="M60" s="86">
        <v>0</v>
      </c>
      <c r="N60" s="87">
        <v>2.1160000000000002E-2</v>
      </c>
      <c r="O60" s="86">
        <f t="shared" si="5"/>
        <v>0.23324516129032261</v>
      </c>
      <c r="P60" s="88">
        <v>63822</v>
      </c>
      <c r="Q60" s="84">
        <v>303</v>
      </c>
      <c r="R60" s="43" t="s">
        <v>106</v>
      </c>
      <c r="S60" s="89">
        <f t="shared" si="7"/>
        <v>1978.5900000000001</v>
      </c>
      <c r="T60" s="89"/>
      <c r="U60" s="83">
        <v>141146</v>
      </c>
      <c r="V60" s="43"/>
      <c r="W60" s="90"/>
      <c r="X60" s="90"/>
    </row>
    <row r="61" spans="1:24" s="47" customFormat="1" x14ac:dyDescent="0.2">
      <c r="A61" s="43" t="s">
        <v>38</v>
      </c>
      <c r="B61" s="84" t="s">
        <v>65</v>
      </c>
      <c r="C61" s="84" t="s">
        <v>87</v>
      </c>
      <c r="D61" s="85">
        <v>36312</v>
      </c>
      <c r="E61" s="85">
        <v>36677</v>
      </c>
      <c r="F61" s="43" t="s">
        <v>89</v>
      </c>
      <c r="G61" s="43" t="s">
        <v>97</v>
      </c>
      <c r="H61" s="84" t="s">
        <v>90</v>
      </c>
      <c r="I61" s="67">
        <f t="shared" si="8"/>
        <v>0.2106451612903226</v>
      </c>
      <c r="J61" s="86">
        <v>1.32E-2</v>
      </c>
      <c r="K61" s="86">
        <v>2.2000000000000001E-3</v>
      </c>
      <c r="L61" s="86">
        <v>7.1999999999999998E-3</v>
      </c>
      <c r="M61" s="86">
        <v>0</v>
      </c>
      <c r="N61" s="87">
        <v>2.1160000000000002E-2</v>
      </c>
      <c r="O61" s="86">
        <f t="shared" si="5"/>
        <v>0.23324516129032261</v>
      </c>
      <c r="P61" s="88">
        <v>63825</v>
      </c>
      <c r="Q61" s="84">
        <v>213</v>
      </c>
      <c r="R61" s="43" t="s">
        <v>107</v>
      </c>
      <c r="S61" s="89">
        <f t="shared" si="7"/>
        <v>1390.89</v>
      </c>
      <c r="T61" s="89"/>
      <c r="U61" s="83">
        <v>141148</v>
      </c>
      <c r="V61" s="43"/>
      <c r="W61" s="90"/>
      <c r="X61" s="90"/>
    </row>
    <row r="62" spans="1:24" s="47" customFormat="1" x14ac:dyDescent="0.2">
      <c r="A62" s="43" t="s">
        <v>38</v>
      </c>
      <c r="B62" s="84" t="s">
        <v>65</v>
      </c>
      <c r="C62" s="84" t="s">
        <v>88</v>
      </c>
      <c r="D62" s="85">
        <v>36342</v>
      </c>
      <c r="E62" s="85">
        <v>36707</v>
      </c>
      <c r="F62" s="43" t="s">
        <v>89</v>
      </c>
      <c r="G62" s="43" t="s">
        <v>93</v>
      </c>
      <c r="H62" s="84" t="s">
        <v>90</v>
      </c>
      <c r="I62" s="67">
        <f t="shared" si="8"/>
        <v>0.2106451612903226</v>
      </c>
      <c r="J62" s="86">
        <v>1.32E-2</v>
      </c>
      <c r="K62" s="86">
        <v>2.2000000000000001E-3</v>
      </c>
      <c r="L62" s="86">
        <v>7.1999999999999998E-3</v>
      </c>
      <c r="M62" s="86">
        <v>0</v>
      </c>
      <c r="N62" s="87">
        <v>2.1160000000000002E-2</v>
      </c>
      <c r="O62" s="86">
        <f t="shared" si="5"/>
        <v>0.23324516129032261</v>
      </c>
      <c r="P62" s="88">
        <v>64034</v>
      </c>
      <c r="Q62" s="84">
        <v>911</v>
      </c>
      <c r="R62" s="43" t="s">
        <v>108</v>
      </c>
      <c r="S62" s="89">
        <f t="shared" si="7"/>
        <v>5948.83</v>
      </c>
      <c r="T62" s="89"/>
      <c r="U62" s="83">
        <v>141150</v>
      </c>
      <c r="V62" s="43"/>
      <c r="W62" s="90"/>
      <c r="X62" s="90"/>
    </row>
    <row r="63" spans="1:24" s="47" customFormat="1" x14ac:dyDescent="0.2">
      <c r="A63" s="43" t="s">
        <v>38</v>
      </c>
      <c r="B63" s="84" t="s">
        <v>65</v>
      </c>
      <c r="C63" s="84" t="s">
        <v>87</v>
      </c>
      <c r="D63" s="85">
        <v>36342</v>
      </c>
      <c r="E63" s="85">
        <v>36707</v>
      </c>
      <c r="F63" s="43" t="s">
        <v>89</v>
      </c>
      <c r="G63" s="43" t="s">
        <v>91</v>
      </c>
      <c r="H63" s="84" t="s">
        <v>90</v>
      </c>
      <c r="I63" s="67">
        <f t="shared" si="8"/>
        <v>0.2106451612903226</v>
      </c>
      <c r="J63" s="86">
        <v>1.32E-2</v>
      </c>
      <c r="K63" s="86">
        <v>2.2000000000000001E-3</v>
      </c>
      <c r="L63" s="86">
        <v>7.1999999999999998E-3</v>
      </c>
      <c r="M63" s="86">
        <v>0</v>
      </c>
      <c r="N63" s="87">
        <v>2.1160000000000002E-2</v>
      </c>
      <c r="O63" s="86">
        <f t="shared" si="5"/>
        <v>0.23324516129032261</v>
      </c>
      <c r="P63" s="88">
        <v>64036</v>
      </c>
      <c r="Q63" s="84">
        <v>1</v>
      </c>
      <c r="R63" s="43" t="s">
        <v>109</v>
      </c>
      <c r="S63" s="89">
        <f t="shared" si="7"/>
        <v>6.53</v>
      </c>
      <c r="T63" s="89"/>
      <c r="U63" s="83">
        <v>141151</v>
      </c>
      <c r="V63" s="43"/>
      <c r="W63" s="90"/>
      <c r="X63" s="90"/>
    </row>
    <row r="64" spans="1:24" s="47" customFormat="1" x14ac:dyDescent="0.2">
      <c r="A64" s="43" t="s">
        <v>38</v>
      </c>
      <c r="B64" s="84" t="s">
        <v>65</v>
      </c>
      <c r="C64" s="84" t="s">
        <v>88</v>
      </c>
      <c r="D64" s="85">
        <v>36373</v>
      </c>
      <c r="E64" s="85">
        <v>36738</v>
      </c>
      <c r="F64" s="43" t="s">
        <v>89</v>
      </c>
      <c r="G64" s="43" t="s">
        <v>93</v>
      </c>
      <c r="H64" s="84" t="s">
        <v>90</v>
      </c>
      <c r="I64" s="67">
        <f t="shared" si="8"/>
        <v>0.2106451612903226</v>
      </c>
      <c r="J64" s="86">
        <v>1.32E-2</v>
      </c>
      <c r="K64" s="86">
        <v>2.2000000000000001E-3</v>
      </c>
      <c r="L64" s="86">
        <v>7.1999999999999998E-3</v>
      </c>
      <c r="M64" s="86">
        <v>0</v>
      </c>
      <c r="N64" s="87">
        <v>2.1160000000000002E-2</v>
      </c>
      <c r="O64" s="86">
        <f t="shared" si="5"/>
        <v>0.23324516129032261</v>
      </c>
      <c r="P64" s="88">
        <v>64328</v>
      </c>
      <c r="Q64" s="84">
        <v>51</v>
      </c>
      <c r="R64" s="43" t="s">
        <v>110</v>
      </c>
      <c r="S64" s="89">
        <f t="shared" si="7"/>
        <v>333.03000000000003</v>
      </c>
      <c r="T64" s="89"/>
      <c r="U64" s="83">
        <v>141152</v>
      </c>
      <c r="V64" s="43"/>
      <c r="W64" s="90"/>
      <c r="X64" s="90"/>
    </row>
    <row r="65" spans="1:24" s="47" customFormat="1" x14ac:dyDescent="0.2">
      <c r="A65" s="43" t="s">
        <v>38</v>
      </c>
      <c r="B65" s="84" t="s">
        <v>65</v>
      </c>
      <c r="C65" s="84" t="s">
        <v>87</v>
      </c>
      <c r="D65" s="85">
        <v>36373</v>
      </c>
      <c r="E65" s="85">
        <v>36738</v>
      </c>
      <c r="F65" s="43" t="s">
        <v>89</v>
      </c>
      <c r="G65" s="43" t="s">
        <v>97</v>
      </c>
      <c r="H65" s="84" t="s">
        <v>90</v>
      </c>
      <c r="I65" s="67">
        <f t="shared" si="8"/>
        <v>0.2106451612903226</v>
      </c>
      <c r="J65" s="86">
        <v>1.32E-2</v>
      </c>
      <c r="K65" s="86">
        <v>2.2000000000000001E-3</v>
      </c>
      <c r="L65" s="86">
        <v>7.1999999999999998E-3</v>
      </c>
      <c r="M65" s="86">
        <v>0</v>
      </c>
      <c r="N65" s="87">
        <v>2.1160000000000002E-2</v>
      </c>
      <c r="O65" s="86">
        <f t="shared" si="5"/>
        <v>0.23324516129032261</v>
      </c>
      <c r="P65" s="88">
        <v>64329</v>
      </c>
      <c r="Q65" s="84">
        <v>12</v>
      </c>
      <c r="R65" s="43" t="s">
        <v>111</v>
      </c>
      <c r="S65" s="89">
        <f t="shared" si="7"/>
        <v>78.36</v>
      </c>
      <c r="T65" s="89"/>
      <c r="U65" s="83">
        <v>141153</v>
      </c>
      <c r="V65" s="43"/>
      <c r="W65" s="90"/>
      <c r="X65" s="90"/>
    </row>
    <row r="66" spans="1:24" s="47" customFormat="1" x14ac:dyDescent="0.2">
      <c r="A66" s="43" t="s">
        <v>38</v>
      </c>
      <c r="B66" s="84" t="s">
        <v>65</v>
      </c>
      <c r="C66" s="84" t="s">
        <v>87</v>
      </c>
      <c r="D66" s="85">
        <v>36404</v>
      </c>
      <c r="E66" s="85">
        <v>36769</v>
      </c>
      <c r="F66" s="43" t="s">
        <v>89</v>
      </c>
      <c r="G66" s="43" t="s">
        <v>97</v>
      </c>
      <c r="H66" s="84" t="s">
        <v>90</v>
      </c>
      <c r="I66" s="67">
        <f t="shared" si="8"/>
        <v>0.2106451612903226</v>
      </c>
      <c r="J66" s="86">
        <v>1.32E-2</v>
      </c>
      <c r="K66" s="86">
        <v>2.2000000000000001E-3</v>
      </c>
      <c r="L66" s="86">
        <v>7.1999999999999998E-3</v>
      </c>
      <c r="M66" s="86">
        <v>0</v>
      </c>
      <c r="N66" s="87">
        <v>2.1160000000000002E-2</v>
      </c>
      <c r="O66" s="86">
        <f t="shared" si="5"/>
        <v>0.23324516129032261</v>
      </c>
      <c r="P66" s="88">
        <v>64651</v>
      </c>
      <c r="Q66" s="84">
        <v>64</v>
      </c>
      <c r="R66" s="43" t="s">
        <v>112</v>
      </c>
      <c r="S66" s="89">
        <f t="shared" si="7"/>
        <v>417.92</v>
      </c>
      <c r="T66" s="89"/>
      <c r="U66" s="83">
        <v>141155</v>
      </c>
      <c r="V66" s="43"/>
      <c r="W66" s="90"/>
      <c r="X66" s="90"/>
    </row>
    <row r="67" spans="1:24" s="47" customFormat="1" x14ac:dyDescent="0.2">
      <c r="A67" s="43" t="s">
        <v>38</v>
      </c>
      <c r="B67" s="84" t="s">
        <v>65</v>
      </c>
      <c r="C67" s="84" t="s">
        <v>87</v>
      </c>
      <c r="D67" s="85">
        <v>36434</v>
      </c>
      <c r="E67" s="85">
        <v>36799</v>
      </c>
      <c r="F67" s="43" t="s">
        <v>89</v>
      </c>
      <c r="G67" s="43" t="s">
        <v>91</v>
      </c>
      <c r="H67" s="84" t="s">
        <v>90</v>
      </c>
      <c r="I67" s="67">
        <f t="shared" si="8"/>
        <v>0.2106451612903226</v>
      </c>
      <c r="J67" s="86">
        <v>1.32E-2</v>
      </c>
      <c r="K67" s="86">
        <v>2.2000000000000001E-3</v>
      </c>
      <c r="L67" s="86">
        <v>7.1999999999999998E-3</v>
      </c>
      <c r="M67" s="86">
        <v>0</v>
      </c>
      <c r="N67" s="87">
        <v>2.1160000000000002E-2</v>
      </c>
      <c r="O67" s="86">
        <f t="shared" si="5"/>
        <v>0.23324516129032261</v>
      </c>
      <c r="P67" s="88">
        <v>64862</v>
      </c>
      <c r="Q67" s="84">
        <v>13</v>
      </c>
      <c r="R67" s="43" t="s">
        <v>113</v>
      </c>
      <c r="S67" s="89">
        <f t="shared" si="7"/>
        <v>84.89</v>
      </c>
      <c r="T67" s="89"/>
      <c r="U67" s="83">
        <v>141157</v>
      </c>
      <c r="V67" s="43"/>
      <c r="W67" s="90"/>
      <c r="X67" s="90"/>
    </row>
    <row r="68" spans="1:24" s="47" customFormat="1" x14ac:dyDescent="0.2">
      <c r="A68" s="43" t="s">
        <v>38</v>
      </c>
      <c r="B68" s="84" t="s">
        <v>65</v>
      </c>
      <c r="C68" s="84" t="s">
        <v>99</v>
      </c>
      <c r="D68" s="85">
        <v>36434</v>
      </c>
      <c r="E68" s="85">
        <v>36799</v>
      </c>
      <c r="F68" s="43" t="s">
        <v>89</v>
      </c>
      <c r="G68" s="43" t="s">
        <v>114</v>
      </c>
      <c r="H68" s="84" t="s">
        <v>90</v>
      </c>
      <c r="I68" s="67">
        <f t="shared" si="8"/>
        <v>0.2106451612903226</v>
      </c>
      <c r="J68" s="86">
        <v>1.32E-2</v>
      </c>
      <c r="K68" s="86">
        <v>2.2000000000000001E-3</v>
      </c>
      <c r="L68" s="86">
        <v>7.1999999999999998E-3</v>
      </c>
      <c r="M68" s="86">
        <v>0</v>
      </c>
      <c r="N68" s="87">
        <v>2.1160000000000002E-2</v>
      </c>
      <c r="O68" s="86">
        <f t="shared" si="5"/>
        <v>0.23324516129032261</v>
      </c>
      <c r="P68" s="88">
        <v>64939</v>
      </c>
      <c r="Q68" s="84">
        <v>2300</v>
      </c>
      <c r="R68" s="43" t="s">
        <v>115</v>
      </c>
      <c r="S68" s="89">
        <f t="shared" si="7"/>
        <v>15019</v>
      </c>
      <c r="T68" s="89"/>
      <c r="U68" s="83">
        <v>141158</v>
      </c>
      <c r="V68" s="43"/>
      <c r="W68" s="90"/>
      <c r="X68" s="90"/>
    </row>
    <row r="69" spans="1:24" s="47" customFormat="1" x14ac:dyDescent="0.2">
      <c r="A69" s="43" t="s">
        <v>38</v>
      </c>
      <c r="B69" s="84" t="s">
        <v>65</v>
      </c>
      <c r="C69" s="84" t="s">
        <v>87</v>
      </c>
      <c r="D69" s="85">
        <v>36465</v>
      </c>
      <c r="E69" s="85">
        <v>36830</v>
      </c>
      <c r="F69" s="43" t="s">
        <v>89</v>
      </c>
      <c r="G69" s="43" t="s">
        <v>97</v>
      </c>
      <c r="H69" s="84" t="s">
        <v>90</v>
      </c>
      <c r="I69" s="67">
        <f t="shared" si="8"/>
        <v>0.2106451612903226</v>
      </c>
      <c r="J69" s="86">
        <v>1.32E-2</v>
      </c>
      <c r="K69" s="86">
        <v>2.2000000000000001E-3</v>
      </c>
      <c r="L69" s="86">
        <v>7.1999999999999998E-3</v>
      </c>
      <c r="M69" s="86">
        <v>0</v>
      </c>
      <c r="N69" s="87">
        <v>2.1160000000000002E-2</v>
      </c>
      <c r="O69" s="86">
        <f t="shared" si="5"/>
        <v>0.23324516129032261</v>
      </c>
      <c r="P69" s="88">
        <v>65026</v>
      </c>
      <c r="Q69" s="84">
        <v>128</v>
      </c>
      <c r="R69" s="43" t="s">
        <v>116</v>
      </c>
      <c r="S69" s="89">
        <f t="shared" si="7"/>
        <v>835.84</v>
      </c>
      <c r="T69" s="89"/>
      <c r="U69" s="94" t="s">
        <v>133</v>
      </c>
      <c r="V69" s="43"/>
      <c r="W69" s="90"/>
      <c r="X69" s="90"/>
    </row>
    <row r="70" spans="1:24" s="47" customFormat="1" x14ac:dyDescent="0.2">
      <c r="A70" s="43" t="s">
        <v>38</v>
      </c>
      <c r="B70" s="84" t="s">
        <v>65</v>
      </c>
      <c r="C70" s="84" t="s">
        <v>117</v>
      </c>
      <c r="D70" s="85">
        <v>36465</v>
      </c>
      <c r="E70" s="85">
        <v>36830</v>
      </c>
      <c r="F70" s="43" t="s">
        <v>89</v>
      </c>
      <c r="G70" s="43" t="s">
        <v>118</v>
      </c>
      <c r="H70" s="84" t="s">
        <v>90</v>
      </c>
      <c r="I70" s="67">
        <f t="shared" si="8"/>
        <v>0.2106451612903226</v>
      </c>
      <c r="J70" s="86">
        <v>1.32E-2</v>
      </c>
      <c r="K70" s="86">
        <v>2.2000000000000001E-3</v>
      </c>
      <c r="L70" s="86">
        <v>7.1999999999999998E-3</v>
      </c>
      <c r="M70" s="86">
        <v>0</v>
      </c>
      <c r="N70" s="87">
        <v>2.1160000000000002E-2</v>
      </c>
      <c r="O70" s="86">
        <f t="shared" si="5"/>
        <v>0.23324516129032261</v>
      </c>
      <c r="P70" s="88">
        <v>65041</v>
      </c>
      <c r="Q70" s="84">
        <v>9619</v>
      </c>
      <c r="R70" s="43" t="s">
        <v>119</v>
      </c>
      <c r="S70" s="89">
        <f t="shared" si="7"/>
        <v>62812.07</v>
      </c>
      <c r="T70" s="89"/>
      <c r="U70" s="94" t="s">
        <v>132</v>
      </c>
      <c r="V70" s="43"/>
      <c r="W70" s="90"/>
      <c r="X70" s="90"/>
    </row>
    <row r="71" spans="1:24" s="47" customFormat="1" x14ac:dyDescent="0.2">
      <c r="A71" s="43" t="s">
        <v>38</v>
      </c>
      <c r="B71" s="84" t="s">
        <v>65</v>
      </c>
      <c r="C71" s="84" t="s">
        <v>117</v>
      </c>
      <c r="D71" s="85">
        <v>36465</v>
      </c>
      <c r="E71" s="85">
        <v>36830</v>
      </c>
      <c r="F71" s="43" t="s">
        <v>89</v>
      </c>
      <c r="G71" s="43" t="s">
        <v>121</v>
      </c>
      <c r="H71" s="84" t="s">
        <v>90</v>
      </c>
      <c r="I71" s="67">
        <f t="shared" si="8"/>
        <v>0.2106451612903226</v>
      </c>
      <c r="J71" s="86">
        <v>1.32E-2</v>
      </c>
      <c r="K71" s="86">
        <v>2.2000000000000001E-3</v>
      </c>
      <c r="L71" s="86">
        <v>7.1999999999999998E-3</v>
      </c>
      <c r="M71" s="86">
        <v>0</v>
      </c>
      <c r="N71" s="87">
        <v>2.1160000000000002E-2</v>
      </c>
      <c r="O71" s="86">
        <f t="shared" si="5"/>
        <v>0.23324516129032261</v>
      </c>
      <c r="P71" s="88">
        <v>65042</v>
      </c>
      <c r="Q71" s="84">
        <v>4427</v>
      </c>
      <c r="R71" s="43" t="s">
        <v>120</v>
      </c>
      <c r="S71" s="89">
        <f t="shared" si="7"/>
        <v>28908.31</v>
      </c>
      <c r="T71" s="89"/>
      <c r="U71" s="94" t="s">
        <v>134</v>
      </c>
      <c r="V71" s="43"/>
      <c r="W71" s="90"/>
      <c r="X71" s="90"/>
    </row>
    <row r="72" spans="1:24" s="60" customFormat="1" x14ac:dyDescent="0.2">
      <c r="A72" s="45" t="s">
        <v>38</v>
      </c>
      <c r="B72" s="46" t="s">
        <v>65</v>
      </c>
      <c r="C72" s="46" t="s">
        <v>122</v>
      </c>
      <c r="D72" s="53">
        <v>36465</v>
      </c>
      <c r="E72" s="53">
        <v>37011</v>
      </c>
      <c r="F72" s="45" t="s">
        <v>89</v>
      </c>
      <c r="G72" s="45" t="s">
        <v>123</v>
      </c>
      <c r="H72" s="46" t="s">
        <v>90</v>
      </c>
      <c r="I72" s="54">
        <f>6.53/I$1</f>
        <v>0.2106451612903226</v>
      </c>
      <c r="J72" s="55">
        <v>1.32E-2</v>
      </c>
      <c r="K72" s="55">
        <v>2.2000000000000001E-3</v>
      </c>
      <c r="L72" s="55">
        <v>7.1999999999999998E-3</v>
      </c>
      <c r="M72" s="55">
        <v>0</v>
      </c>
      <c r="N72" s="56">
        <v>2.1160000000000002E-2</v>
      </c>
      <c r="O72" s="55">
        <f t="shared" si="5"/>
        <v>0.23324516129032261</v>
      </c>
      <c r="P72" s="59">
        <v>65108</v>
      </c>
      <c r="Q72" s="46">
        <v>5000</v>
      </c>
      <c r="R72" s="45"/>
      <c r="S72" s="57">
        <f t="shared" si="7"/>
        <v>32650</v>
      </c>
      <c r="T72" s="57"/>
      <c r="U72" s="114" t="s">
        <v>135</v>
      </c>
      <c r="V72" s="45"/>
      <c r="W72" s="58"/>
      <c r="X72" s="58"/>
    </row>
    <row r="73" spans="1:24" s="60" customFormat="1" x14ac:dyDescent="0.2">
      <c r="A73" s="43" t="s">
        <v>143</v>
      </c>
      <c r="B73" s="84" t="s">
        <v>65</v>
      </c>
      <c r="C73" s="84" t="s">
        <v>44</v>
      </c>
      <c r="D73" s="85">
        <v>36465</v>
      </c>
      <c r="E73" s="85">
        <v>36830</v>
      </c>
      <c r="F73" s="43" t="s">
        <v>70</v>
      </c>
      <c r="G73" s="43" t="s">
        <v>71</v>
      </c>
      <c r="H73" s="84" t="s">
        <v>90</v>
      </c>
      <c r="I73" s="67">
        <v>0.15</v>
      </c>
      <c r="J73" s="86">
        <v>1.32E-2</v>
      </c>
      <c r="K73" s="86">
        <v>2.2000000000000001E-3</v>
      </c>
      <c r="L73" s="86">
        <v>7.4999999999999997E-3</v>
      </c>
      <c r="M73" s="86">
        <v>0</v>
      </c>
      <c r="N73" s="87">
        <v>2.1160000000000002E-2</v>
      </c>
      <c r="O73" s="86">
        <f>SUM(I73:M73)</f>
        <v>0.1729</v>
      </c>
      <c r="P73" s="88">
        <v>65402</v>
      </c>
      <c r="Q73" s="84">
        <v>20000</v>
      </c>
      <c r="R73" s="43" t="s">
        <v>317</v>
      </c>
      <c r="S73" s="89">
        <f>I73*'Ces Wholesale'!I$1*Q73</f>
        <v>92999.999999999985</v>
      </c>
      <c r="T73" s="89"/>
      <c r="U73" s="83"/>
      <c r="V73" s="43"/>
      <c r="W73" s="58"/>
      <c r="X73" s="58"/>
    </row>
    <row r="74" spans="1:24" s="47" customFormat="1" x14ac:dyDescent="0.2">
      <c r="A74" s="45" t="s">
        <v>38</v>
      </c>
      <c r="B74" s="46" t="s">
        <v>65</v>
      </c>
      <c r="C74" s="46" t="s">
        <v>99</v>
      </c>
      <c r="D74" s="53">
        <v>36465</v>
      </c>
      <c r="E74" s="53">
        <v>36830</v>
      </c>
      <c r="F74" s="45" t="s">
        <v>89</v>
      </c>
      <c r="G74" s="45" t="s">
        <v>124</v>
      </c>
      <c r="H74" s="46" t="s">
        <v>90</v>
      </c>
      <c r="I74" s="54">
        <f t="shared" si="8"/>
        <v>0.2106451612903226</v>
      </c>
      <c r="J74" s="55">
        <v>1.32E-2</v>
      </c>
      <c r="K74" s="55">
        <v>2.2000000000000001E-3</v>
      </c>
      <c r="L74" s="55">
        <v>7.1999999999999998E-3</v>
      </c>
      <c r="M74" s="55">
        <v>0</v>
      </c>
      <c r="N74" s="56">
        <v>2.1160000000000002E-2</v>
      </c>
      <c r="O74" s="55">
        <f t="shared" si="5"/>
        <v>0.23324516129032261</v>
      </c>
      <c r="P74" s="59">
        <v>65402</v>
      </c>
      <c r="Q74" s="46">
        <v>20000</v>
      </c>
      <c r="R74" s="45" t="s">
        <v>125</v>
      </c>
      <c r="S74" s="57">
        <f t="shared" si="7"/>
        <v>130600</v>
      </c>
      <c r="T74" s="57"/>
      <c r="U74" s="71">
        <v>141174</v>
      </c>
      <c r="V74" s="45"/>
      <c r="W74" s="90"/>
      <c r="X74" s="90"/>
    </row>
    <row r="75" spans="1:24" s="47" customFormat="1" x14ac:dyDescent="0.2">
      <c r="A75" s="43" t="s">
        <v>38</v>
      </c>
      <c r="B75" s="84" t="s">
        <v>65</v>
      </c>
      <c r="C75" s="84" t="s">
        <v>139</v>
      </c>
      <c r="D75" s="85">
        <v>36465</v>
      </c>
      <c r="E75" s="85">
        <v>36677</v>
      </c>
      <c r="F75" s="43" t="s">
        <v>181</v>
      </c>
      <c r="G75" s="43" t="s">
        <v>182</v>
      </c>
      <c r="H75" s="84" t="s">
        <v>90</v>
      </c>
      <c r="I75" s="67">
        <f>6.53/I$1</f>
        <v>0.2106451612903226</v>
      </c>
      <c r="J75" s="86">
        <v>1.32E-2</v>
      </c>
      <c r="K75" s="86">
        <v>2.2000000000000001E-3</v>
      </c>
      <c r="L75" s="86">
        <v>7.1999999999999998E-3</v>
      </c>
      <c r="M75" s="86">
        <v>0</v>
      </c>
      <c r="N75" s="87">
        <v>2.1160000000000002E-2</v>
      </c>
      <c r="O75" s="86">
        <f t="shared" si="5"/>
        <v>0.23324516129032261</v>
      </c>
      <c r="P75" s="88">
        <v>65404</v>
      </c>
      <c r="Q75" s="84">
        <v>34</v>
      </c>
      <c r="R75" s="43" t="s">
        <v>183</v>
      </c>
      <c r="S75" s="89">
        <f t="shared" si="7"/>
        <v>222.02</v>
      </c>
      <c r="T75" s="89"/>
      <c r="U75" s="83">
        <v>142774</v>
      </c>
      <c r="V75" s="43"/>
      <c r="W75" s="90"/>
      <c r="X75" s="90"/>
    </row>
    <row r="76" spans="1:24" s="47" customFormat="1" x14ac:dyDescent="0.2">
      <c r="A76" s="43" t="s">
        <v>38</v>
      </c>
      <c r="B76" s="84" t="s">
        <v>65</v>
      </c>
      <c r="C76" s="84"/>
      <c r="D76" s="85">
        <v>36465</v>
      </c>
      <c r="E76" s="85">
        <v>36830</v>
      </c>
      <c r="F76" s="43" t="s">
        <v>184</v>
      </c>
      <c r="G76" s="43" t="s">
        <v>176</v>
      </c>
      <c r="H76" s="84" t="s">
        <v>90</v>
      </c>
      <c r="I76" s="67">
        <f>4.563/I$1</f>
        <v>0.14719354838709678</v>
      </c>
      <c r="J76" s="86">
        <v>1.32E-2</v>
      </c>
      <c r="K76" s="86">
        <v>2.2000000000000001E-3</v>
      </c>
      <c r="L76" s="86">
        <v>7.1999999999999998E-3</v>
      </c>
      <c r="M76" s="86">
        <v>0</v>
      </c>
      <c r="N76" s="87">
        <v>2.1160000000000002E-2</v>
      </c>
      <c r="O76" s="86">
        <f t="shared" si="5"/>
        <v>0.16979354838709679</v>
      </c>
      <c r="P76" s="88">
        <v>65418</v>
      </c>
      <c r="Q76" s="84">
        <v>500</v>
      </c>
      <c r="R76" s="43" t="s">
        <v>185</v>
      </c>
      <c r="S76" s="89">
        <f t="shared" si="7"/>
        <v>2281.5</v>
      </c>
      <c r="T76" s="89"/>
      <c r="U76" s="83">
        <v>142790</v>
      </c>
      <c r="V76" s="43"/>
      <c r="W76" s="90"/>
      <c r="X76" s="90"/>
    </row>
    <row r="77" spans="1:24" s="47" customFormat="1" x14ac:dyDescent="0.2">
      <c r="A77" s="43" t="s">
        <v>38</v>
      </c>
      <c r="B77" s="84" t="s">
        <v>65</v>
      </c>
      <c r="C77" s="84" t="s">
        <v>99</v>
      </c>
      <c r="D77" s="85">
        <v>36465</v>
      </c>
      <c r="E77" s="85">
        <v>36616</v>
      </c>
      <c r="F77" s="43" t="s">
        <v>100</v>
      </c>
      <c r="G77" s="43" t="s">
        <v>127</v>
      </c>
      <c r="H77" s="84" t="s">
        <v>128</v>
      </c>
      <c r="I77" s="67">
        <f>6.359/I$1</f>
        <v>0.2051290322580645</v>
      </c>
      <c r="J77" s="86">
        <v>1.2999999999999999E-2</v>
      </c>
      <c r="K77" s="86">
        <v>2.2000000000000001E-3</v>
      </c>
      <c r="L77" s="86">
        <v>7.1999999999999998E-3</v>
      </c>
      <c r="M77" s="86">
        <v>0</v>
      </c>
      <c r="N77" s="87">
        <v>2.1160000000000002E-2</v>
      </c>
      <c r="O77" s="86">
        <f t="shared" si="5"/>
        <v>0.22752903225806453</v>
      </c>
      <c r="P77" s="88">
        <v>65458</v>
      </c>
      <c r="Q77" s="84">
        <v>33</v>
      </c>
      <c r="R77" s="43" t="s">
        <v>129</v>
      </c>
      <c r="S77" s="89">
        <f t="shared" si="7"/>
        <v>209.84700000000001</v>
      </c>
      <c r="T77" s="89"/>
      <c r="U77" s="83">
        <v>141176</v>
      </c>
      <c r="V77" s="43"/>
      <c r="W77" s="90"/>
      <c r="X77" s="90"/>
    </row>
    <row r="78" spans="1:24" s="47" customFormat="1" x14ac:dyDescent="0.2">
      <c r="A78" s="43" t="s">
        <v>38</v>
      </c>
      <c r="B78" s="84" t="s">
        <v>65</v>
      </c>
      <c r="C78" s="84" t="s">
        <v>87</v>
      </c>
      <c r="D78" s="85">
        <v>36495</v>
      </c>
      <c r="E78" s="85">
        <v>36860</v>
      </c>
      <c r="F78" s="43" t="s">
        <v>89</v>
      </c>
      <c r="G78" s="43" t="s">
        <v>97</v>
      </c>
      <c r="H78" s="84" t="s">
        <v>90</v>
      </c>
      <c r="I78" s="67">
        <f t="shared" si="8"/>
        <v>0.2106451612903226</v>
      </c>
      <c r="J78" s="86">
        <v>1.32E-2</v>
      </c>
      <c r="K78" s="86">
        <v>2.2000000000000001E-3</v>
      </c>
      <c r="L78" s="86">
        <v>7.1999999999999998E-3</v>
      </c>
      <c r="M78" s="86">
        <v>0</v>
      </c>
      <c r="N78" s="87">
        <v>2.1160000000000002E-2</v>
      </c>
      <c r="O78" s="86">
        <f t="shared" si="5"/>
        <v>0.23324516129032261</v>
      </c>
      <c r="P78" s="88">
        <v>65556</v>
      </c>
      <c r="Q78" s="84">
        <v>3</v>
      </c>
      <c r="R78" s="43" t="s">
        <v>126</v>
      </c>
      <c r="S78" s="89">
        <f t="shared" si="7"/>
        <v>19.59</v>
      </c>
      <c r="T78" s="89"/>
      <c r="U78" s="83">
        <v>141175</v>
      </c>
      <c r="V78" s="43"/>
      <c r="W78" s="90"/>
      <c r="X78" s="90"/>
    </row>
    <row r="79" spans="1:24" s="82" customFormat="1" x14ac:dyDescent="0.2">
      <c r="A79" s="43" t="s">
        <v>38</v>
      </c>
      <c r="B79" s="84" t="s">
        <v>65</v>
      </c>
      <c r="C79" s="84" t="s">
        <v>139</v>
      </c>
      <c r="D79" s="85">
        <v>36495</v>
      </c>
      <c r="E79" s="85">
        <v>36616</v>
      </c>
      <c r="F79" s="43" t="s">
        <v>181</v>
      </c>
      <c r="G79" s="43" t="s">
        <v>182</v>
      </c>
      <c r="H79" s="84" t="s">
        <v>90</v>
      </c>
      <c r="I79" s="67">
        <f t="shared" si="8"/>
        <v>0.2106451612903226</v>
      </c>
      <c r="J79" s="86">
        <v>1.32E-2</v>
      </c>
      <c r="K79" s="86">
        <v>2.2000000000000001E-3</v>
      </c>
      <c r="L79" s="86">
        <v>7.1999999999999998E-3</v>
      </c>
      <c r="M79" s="86">
        <v>0</v>
      </c>
      <c r="N79" s="87">
        <v>2.1160000000000002E-2</v>
      </c>
      <c r="O79" s="86">
        <f t="shared" si="5"/>
        <v>0.23324516129032261</v>
      </c>
      <c r="P79" s="88">
        <v>65659</v>
      </c>
      <c r="Q79" s="84">
        <v>3</v>
      </c>
      <c r="R79" s="43" t="s">
        <v>186</v>
      </c>
      <c r="S79" s="89">
        <f t="shared" si="7"/>
        <v>19.59</v>
      </c>
      <c r="T79" s="89"/>
      <c r="U79" s="83">
        <v>142812</v>
      </c>
      <c r="V79" s="43"/>
      <c r="W79" s="81"/>
      <c r="X79" s="81"/>
    </row>
    <row r="80" spans="1:24" s="82" customFormat="1" x14ac:dyDescent="0.2">
      <c r="A80" s="43" t="s">
        <v>143</v>
      </c>
      <c r="B80" s="84" t="s">
        <v>65</v>
      </c>
      <c r="C80" s="84" t="s">
        <v>285</v>
      </c>
      <c r="D80" s="85">
        <v>36526</v>
      </c>
      <c r="E80" s="85">
        <v>36556</v>
      </c>
      <c r="F80" s="95" t="s">
        <v>286</v>
      </c>
      <c r="G80" s="95" t="s">
        <v>287</v>
      </c>
      <c r="H80" s="84"/>
      <c r="I80" s="67">
        <f>3.72/'Ces Wholesale'!I$1</f>
        <v>0.12000000000000001</v>
      </c>
      <c r="J80" s="86">
        <v>1.32E-2</v>
      </c>
      <c r="K80" s="86">
        <v>2.2000000000000001E-3</v>
      </c>
      <c r="L80" s="86">
        <v>7.4999999999999997E-3</v>
      </c>
      <c r="M80" s="86">
        <v>0</v>
      </c>
      <c r="N80" s="87">
        <v>2.1160000000000002E-2</v>
      </c>
      <c r="O80" s="86">
        <f>SUM(I80:M80)</f>
        <v>0.14290000000000003</v>
      </c>
      <c r="P80" s="88">
        <v>65997</v>
      </c>
      <c r="Q80" s="84">
        <v>2200</v>
      </c>
      <c r="R80" s="43"/>
      <c r="S80" s="89">
        <f>I80*'Ces Wholesale'!I$1*Q80</f>
        <v>8184</v>
      </c>
      <c r="T80" s="89"/>
      <c r="U80" s="83">
        <v>144624</v>
      </c>
      <c r="V80" s="43"/>
      <c r="W80" s="81"/>
      <c r="X80" s="81"/>
    </row>
    <row r="81" spans="1:24" x14ac:dyDescent="0.2">
      <c r="A81" s="10" t="s">
        <v>3</v>
      </c>
      <c r="B81" s="11" t="s">
        <v>3</v>
      </c>
      <c r="C81" s="11" t="s">
        <v>3</v>
      </c>
      <c r="D81" s="13" t="s">
        <v>3</v>
      </c>
      <c r="E81" s="13" t="s">
        <v>3</v>
      </c>
      <c r="F81" s="10" t="s">
        <v>3</v>
      </c>
      <c r="G81" s="31" t="s">
        <v>3</v>
      </c>
      <c r="H81" s="11" t="s">
        <v>3</v>
      </c>
      <c r="I81" s="14"/>
      <c r="J81" s="15"/>
      <c r="K81" s="15"/>
      <c r="L81" s="15"/>
      <c r="M81" s="15"/>
      <c r="N81" s="50"/>
      <c r="O81" s="15"/>
      <c r="P81" s="27" t="s">
        <v>3</v>
      </c>
      <c r="Q81" s="11">
        <f>SUM(Q54:Q80)</f>
        <v>7714481</v>
      </c>
      <c r="R81" s="10" t="s">
        <v>3</v>
      </c>
      <c r="S81" s="23">
        <f>SUM(S42:S80)</f>
        <v>2110085.0667387093</v>
      </c>
      <c r="T81" s="23">
        <f>SUM(T54:T54)</f>
        <v>0</v>
      </c>
      <c r="U81" s="72"/>
      <c r="V81" s="31"/>
      <c r="W81" s="37"/>
      <c r="X81" s="37"/>
    </row>
    <row r="82" spans="1:24" x14ac:dyDescent="0.2">
      <c r="A82" s="17" t="s">
        <v>4</v>
      </c>
      <c r="B82" s="18" t="s">
        <v>5</v>
      </c>
      <c r="C82" s="18" t="s">
        <v>6</v>
      </c>
      <c r="D82" s="19" t="s">
        <v>7</v>
      </c>
      <c r="E82" s="19"/>
      <c r="F82" s="17" t="s">
        <v>8</v>
      </c>
      <c r="G82" s="17" t="s">
        <v>9</v>
      </c>
      <c r="H82" s="18" t="s">
        <v>86</v>
      </c>
      <c r="I82" s="20" t="s">
        <v>11</v>
      </c>
      <c r="J82" s="18" t="s">
        <v>12</v>
      </c>
      <c r="K82" s="18" t="s">
        <v>13</v>
      </c>
      <c r="L82" s="18" t="s">
        <v>14</v>
      </c>
      <c r="M82" s="18" t="s">
        <v>15</v>
      </c>
      <c r="N82" s="49" t="s">
        <v>16</v>
      </c>
      <c r="O82" s="18" t="s">
        <v>17</v>
      </c>
      <c r="P82" s="21" t="s">
        <v>18</v>
      </c>
      <c r="Q82" s="18" t="s">
        <v>19</v>
      </c>
      <c r="R82" s="17" t="s">
        <v>20</v>
      </c>
      <c r="S82" s="22" t="s">
        <v>81</v>
      </c>
      <c r="T82" s="22" t="s">
        <v>80</v>
      </c>
      <c r="U82" s="70" t="s">
        <v>37</v>
      </c>
      <c r="V82" s="99">
        <f>+V61</f>
        <v>0</v>
      </c>
      <c r="W82" s="37"/>
      <c r="X82" s="37"/>
    </row>
    <row r="83" spans="1:24" s="47" customFormat="1" x14ac:dyDescent="0.2">
      <c r="A83" s="43" t="s">
        <v>143</v>
      </c>
      <c r="B83" s="84" t="s">
        <v>46</v>
      </c>
      <c r="C83" s="84" t="s">
        <v>73</v>
      </c>
      <c r="D83" s="85">
        <v>36192</v>
      </c>
      <c r="E83" s="85">
        <v>36556</v>
      </c>
      <c r="F83" s="43" t="s">
        <v>47</v>
      </c>
      <c r="G83" s="43" t="s">
        <v>34</v>
      </c>
      <c r="H83" s="84" t="s">
        <v>200</v>
      </c>
      <c r="I83" s="67">
        <f t="shared" ref="I83:I96" si="9">3.145/I$1</f>
        <v>0.10145161290322581</v>
      </c>
      <c r="J83" s="86">
        <v>1.32E-2</v>
      </c>
      <c r="K83" s="86">
        <v>2.2000000000000001E-3</v>
      </c>
      <c r="L83" s="86">
        <v>0</v>
      </c>
      <c r="M83" s="86">
        <v>0</v>
      </c>
      <c r="N83" s="87">
        <v>2.1160000000000002E-2</v>
      </c>
      <c r="O83" s="86">
        <f t="shared" ref="O83:O96" si="10">SUM(I83:M83)</f>
        <v>0.11685161290322581</v>
      </c>
      <c r="P83" s="88">
        <v>62741</v>
      </c>
      <c r="Q83" s="84">
        <v>2</v>
      </c>
      <c r="R83" s="43"/>
      <c r="S83" s="89">
        <f t="shared" ref="S83:S96" si="11">I83*I$1*Q83</f>
        <v>6.29</v>
      </c>
      <c r="T83" s="89"/>
      <c r="U83" s="83">
        <v>140449</v>
      </c>
      <c r="V83" s="43"/>
      <c r="W83" s="90"/>
      <c r="X83" s="90"/>
    </row>
    <row r="84" spans="1:24" s="47" customFormat="1" x14ac:dyDescent="0.2">
      <c r="A84" s="43" t="s">
        <v>143</v>
      </c>
      <c r="B84" s="84" t="s">
        <v>46</v>
      </c>
      <c r="C84" s="84" t="s">
        <v>73</v>
      </c>
      <c r="D84" s="85">
        <v>36220</v>
      </c>
      <c r="E84" s="85">
        <v>36584</v>
      </c>
      <c r="F84" s="43" t="s">
        <v>47</v>
      </c>
      <c r="G84" s="43" t="s">
        <v>34</v>
      </c>
      <c r="H84" s="84" t="s">
        <v>200</v>
      </c>
      <c r="I84" s="67">
        <f t="shared" si="9"/>
        <v>0.10145161290322581</v>
      </c>
      <c r="J84" s="86">
        <v>1.32E-2</v>
      </c>
      <c r="K84" s="86">
        <v>2.2000000000000001E-3</v>
      </c>
      <c r="L84" s="86">
        <v>0</v>
      </c>
      <c r="M84" s="86">
        <v>0</v>
      </c>
      <c r="N84" s="87">
        <v>2.1160000000000002E-2</v>
      </c>
      <c r="O84" s="86">
        <f t="shared" si="10"/>
        <v>0.11685161290322581</v>
      </c>
      <c r="P84" s="88">
        <v>62979</v>
      </c>
      <c r="Q84" s="84">
        <v>2</v>
      </c>
      <c r="R84" s="43"/>
      <c r="S84" s="89">
        <f t="shared" si="11"/>
        <v>6.29</v>
      </c>
      <c r="T84" s="89"/>
      <c r="U84" s="83">
        <v>140450</v>
      </c>
      <c r="V84" s="43"/>
      <c r="W84" s="90"/>
      <c r="X84" s="90"/>
    </row>
    <row r="85" spans="1:24" s="47" customFormat="1" x14ac:dyDescent="0.2">
      <c r="A85" s="43" t="s">
        <v>143</v>
      </c>
      <c r="B85" s="84" t="s">
        <v>46</v>
      </c>
      <c r="C85" s="84" t="s">
        <v>201</v>
      </c>
      <c r="D85" s="85">
        <v>36220</v>
      </c>
      <c r="E85" s="85">
        <v>36585</v>
      </c>
      <c r="F85" s="43" t="s">
        <v>47</v>
      </c>
      <c r="G85" s="43" t="s">
        <v>34</v>
      </c>
      <c r="H85" s="84" t="s">
        <v>200</v>
      </c>
      <c r="I85" s="67">
        <f t="shared" si="9"/>
        <v>0.10145161290322581</v>
      </c>
      <c r="J85" s="86">
        <v>1.32E-2</v>
      </c>
      <c r="K85" s="86">
        <v>2.2000000000000001E-3</v>
      </c>
      <c r="L85" s="86">
        <v>0</v>
      </c>
      <c r="M85" s="86">
        <v>0</v>
      </c>
      <c r="N85" s="87">
        <v>2.1160000000000002E-2</v>
      </c>
      <c r="O85" s="86">
        <f t="shared" si="10"/>
        <v>0.11685161290322581</v>
      </c>
      <c r="P85" s="88">
        <v>62981</v>
      </c>
      <c r="Q85" s="84">
        <v>2</v>
      </c>
      <c r="R85" s="43"/>
      <c r="S85" s="89">
        <f t="shared" si="11"/>
        <v>6.29</v>
      </c>
      <c r="T85" s="89"/>
      <c r="U85" s="83">
        <v>140451</v>
      </c>
      <c r="V85" s="43"/>
      <c r="W85" s="90"/>
      <c r="X85" s="90"/>
    </row>
    <row r="86" spans="1:24" s="47" customFormat="1" x14ac:dyDescent="0.2">
      <c r="A86" s="43" t="s">
        <v>143</v>
      </c>
      <c r="B86" s="84" t="s">
        <v>46</v>
      </c>
      <c r="C86" s="84" t="s">
        <v>201</v>
      </c>
      <c r="D86" s="85">
        <v>36251</v>
      </c>
      <c r="E86" s="85">
        <v>36616</v>
      </c>
      <c r="F86" s="43" t="s">
        <v>47</v>
      </c>
      <c r="G86" s="43" t="s">
        <v>34</v>
      </c>
      <c r="H86" s="84" t="s">
        <v>200</v>
      </c>
      <c r="I86" s="67">
        <f t="shared" si="9"/>
        <v>0.10145161290322581</v>
      </c>
      <c r="J86" s="86">
        <v>1.32E-2</v>
      </c>
      <c r="K86" s="86">
        <v>2.2000000000000001E-3</v>
      </c>
      <c r="L86" s="86">
        <v>0</v>
      </c>
      <c r="M86" s="86">
        <v>0</v>
      </c>
      <c r="N86" s="87">
        <v>2.1160000000000002E-2</v>
      </c>
      <c r="O86" s="86">
        <f t="shared" si="10"/>
        <v>0.11685161290322581</v>
      </c>
      <c r="P86" s="88">
        <v>63285</v>
      </c>
      <c r="Q86" s="84">
        <v>6</v>
      </c>
      <c r="R86" s="43"/>
      <c r="S86" s="89">
        <f t="shared" si="11"/>
        <v>18.87</v>
      </c>
      <c r="T86" s="89"/>
      <c r="U86" s="83">
        <v>140452</v>
      </c>
      <c r="V86" s="43"/>
      <c r="W86" s="90"/>
      <c r="X86" s="90"/>
    </row>
    <row r="87" spans="1:24" s="47" customFormat="1" x14ac:dyDescent="0.2">
      <c r="A87" s="43" t="s">
        <v>143</v>
      </c>
      <c r="B87" s="84" t="s">
        <v>46</v>
      </c>
      <c r="C87" s="84" t="s">
        <v>73</v>
      </c>
      <c r="D87" s="85">
        <v>36251</v>
      </c>
      <c r="E87" s="85">
        <v>36616</v>
      </c>
      <c r="F87" s="43" t="s">
        <v>47</v>
      </c>
      <c r="G87" s="43" t="s">
        <v>34</v>
      </c>
      <c r="H87" s="84" t="s">
        <v>200</v>
      </c>
      <c r="I87" s="67">
        <f t="shared" si="9"/>
        <v>0.10145161290322581</v>
      </c>
      <c r="J87" s="86">
        <v>1.32E-2</v>
      </c>
      <c r="K87" s="86">
        <v>2.2000000000000001E-3</v>
      </c>
      <c r="L87" s="86">
        <v>0</v>
      </c>
      <c r="M87" s="86">
        <v>0</v>
      </c>
      <c r="N87" s="87">
        <v>2.1160000000000002E-2</v>
      </c>
      <c r="O87" s="86">
        <f t="shared" si="10"/>
        <v>0.11685161290322581</v>
      </c>
      <c r="P87" s="88">
        <v>63287</v>
      </c>
      <c r="Q87" s="84">
        <v>47</v>
      </c>
      <c r="R87" s="43"/>
      <c r="S87" s="89">
        <f t="shared" si="11"/>
        <v>147.815</v>
      </c>
      <c r="T87" s="89"/>
      <c r="U87" s="83">
        <v>140453</v>
      </c>
      <c r="V87" s="43"/>
      <c r="W87" s="90"/>
      <c r="X87" s="90"/>
    </row>
    <row r="88" spans="1:24" s="47" customFormat="1" x14ac:dyDescent="0.2">
      <c r="A88" s="43" t="s">
        <v>143</v>
      </c>
      <c r="B88" s="84" t="s">
        <v>46</v>
      </c>
      <c r="C88" s="84" t="s">
        <v>201</v>
      </c>
      <c r="D88" s="85">
        <v>36281</v>
      </c>
      <c r="E88" s="85">
        <v>36646</v>
      </c>
      <c r="F88" s="43" t="s">
        <v>47</v>
      </c>
      <c r="G88" s="43" t="s">
        <v>34</v>
      </c>
      <c r="H88" s="84" t="s">
        <v>200</v>
      </c>
      <c r="I88" s="67">
        <f t="shared" si="9"/>
        <v>0.10145161290322581</v>
      </c>
      <c r="J88" s="86">
        <v>1.32E-2</v>
      </c>
      <c r="K88" s="86">
        <v>2.2000000000000001E-3</v>
      </c>
      <c r="L88" s="86">
        <v>0</v>
      </c>
      <c r="M88" s="86">
        <v>0</v>
      </c>
      <c r="N88" s="87">
        <v>2.1160000000000002E-2</v>
      </c>
      <c r="O88" s="86">
        <f t="shared" si="10"/>
        <v>0.11685161290322581</v>
      </c>
      <c r="P88" s="88">
        <v>63562</v>
      </c>
      <c r="Q88" s="84">
        <v>34</v>
      </c>
      <c r="R88" s="43"/>
      <c r="S88" s="89">
        <f t="shared" si="11"/>
        <v>106.93</v>
      </c>
      <c r="T88" s="89"/>
      <c r="U88" s="83">
        <v>140474</v>
      </c>
      <c r="V88" s="43"/>
      <c r="W88" s="90"/>
      <c r="X88" s="90"/>
    </row>
    <row r="89" spans="1:24" s="47" customFormat="1" x14ac:dyDescent="0.2">
      <c r="A89" s="43" t="s">
        <v>143</v>
      </c>
      <c r="B89" s="84" t="s">
        <v>46</v>
      </c>
      <c r="C89" s="84" t="s">
        <v>201</v>
      </c>
      <c r="D89" s="85">
        <v>36312</v>
      </c>
      <c r="E89" s="85">
        <v>36677</v>
      </c>
      <c r="F89" s="43" t="s">
        <v>47</v>
      </c>
      <c r="G89" s="43" t="s">
        <v>34</v>
      </c>
      <c r="H89" s="84" t="s">
        <v>200</v>
      </c>
      <c r="I89" s="67">
        <f t="shared" si="9"/>
        <v>0.10145161290322581</v>
      </c>
      <c r="J89" s="86">
        <v>1.32E-2</v>
      </c>
      <c r="K89" s="86">
        <v>2.2000000000000001E-3</v>
      </c>
      <c r="L89" s="86">
        <v>0</v>
      </c>
      <c r="M89" s="86">
        <v>0</v>
      </c>
      <c r="N89" s="87">
        <v>2.1160000000000002E-2</v>
      </c>
      <c r="O89" s="86">
        <f t="shared" si="10"/>
        <v>0.11685161290322581</v>
      </c>
      <c r="P89" s="88">
        <v>63823</v>
      </c>
      <c r="Q89" s="84">
        <v>310</v>
      </c>
      <c r="R89" s="43"/>
      <c r="S89" s="89">
        <f t="shared" si="11"/>
        <v>974.95</v>
      </c>
      <c r="T89" s="89"/>
      <c r="U89" s="83">
        <v>140475</v>
      </c>
      <c r="V89" s="43"/>
      <c r="W89" s="90"/>
      <c r="X89" s="90"/>
    </row>
    <row r="90" spans="1:24" s="47" customFormat="1" x14ac:dyDescent="0.2">
      <c r="A90" s="43" t="s">
        <v>143</v>
      </c>
      <c r="B90" s="84" t="s">
        <v>46</v>
      </c>
      <c r="C90" s="84" t="s">
        <v>73</v>
      </c>
      <c r="D90" s="85">
        <v>36312</v>
      </c>
      <c r="E90" s="85">
        <v>36677</v>
      </c>
      <c r="F90" s="43" t="s">
        <v>47</v>
      </c>
      <c r="G90" s="43" t="s">
        <v>34</v>
      </c>
      <c r="H90" s="84" t="s">
        <v>200</v>
      </c>
      <c r="I90" s="67">
        <f t="shared" si="9"/>
        <v>0.10145161290322581</v>
      </c>
      <c r="J90" s="86">
        <v>1.32E-2</v>
      </c>
      <c r="K90" s="86">
        <v>2.2000000000000001E-3</v>
      </c>
      <c r="L90" s="86">
        <v>0</v>
      </c>
      <c r="M90" s="86">
        <v>0</v>
      </c>
      <c r="N90" s="87">
        <v>2.1160000000000002E-2</v>
      </c>
      <c r="O90" s="86">
        <f t="shared" si="10"/>
        <v>0.11685161290322581</v>
      </c>
      <c r="P90" s="88">
        <v>63826</v>
      </c>
      <c r="Q90" s="84">
        <v>218</v>
      </c>
      <c r="R90" s="43"/>
      <c r="S90" s="89">
        <f t="shared" si="11"/>
        <v>685.61</v>
      </c>
      <c r="T90" s="89"/>
      <c r="U90" s="83">
        <v>140476</v>
      </c>
      <c r="V90" s="43"/>
      <c r="W90" s="90"/>
      <c r="X90" s="90"/>
    </row>
    <row r="91" spans="1:24" s="47" customFormat="1" x14ac:dyDescent="0.2">
      <c r="A91" s="43" t="s">
        <v>143</v>
      </c>
      <c r="B91" s="84" t="s">
        <v>46</v>
      </c>
      <c r="C91" s="84" t="s">
        <v>73</v>
      </c>
      <c r="D91" s="85">
        <v>36342</v>
      </c>
      <c r="E91" s="85">
        <v>36707</v>
      </c>
      <c r="F91" s="43" t="s">
        <v>47</v>
      </c>
      <c r="G91" s="43" t="s">
        <v>34</v>
      </c>
      <c r="H91" s="84" t="s">
        <v>200</v>
      </c>
      <c r="I91" s="67">
        <f t="shared" si="9"/>
        <v>0.10145161290322581</v>
      </c>
      <c r="J91" s="86">
        <v>1.32E-2</v>
      </c>
      <c r="K91" s="86">
        <v>2.2000000000000001E-3</v>
      </c>
      <c r="L91" s="86">
        <v>0</v>
      </c>
      <c r="M91" s="86">
        <v>0</v>
      </c>
      <c r="N91" s="87">
        <v>2.1160000000000002E-2</v>
      </c>
      <c r="O91" s="86">
        <f t="shared" si="10"/>
        <v>0.11685161290322581</v>
      </c>
      <c r="P91" s="88">
        <v>64033</v>
      </c>
      <c r="Q91" s="84">
        <v>1</v>
      </c>
      <c r="R91" s="43"/>
      <c r="S91" s="89">
        <f t="shared" si="11"/>
        <v>3.145</v>
      </c>
      <c r="T91" s="89"/>
      <c r="U91" s="83">
        <v>140477</v>
      </c>
      <c r="V91" s="43"/>
      <c r="W91" s="90"/>
      <c r="X91" s="90"/>
    </row>
    <row r="92" spans="1:24" s="47" customFormat="1" x14ac:dyDescent="0.2">
      <c r="A92" s="43" t="s">
        <v>143</v>
      </c>
      <c r="B92" s="84" t="s">
        <v>46</v>
      </c>
      <c r="C92" s="84" t="s">
        <v>201</v>
      </c>
      <c r="D92" s="85">
        <v>36342</v>
      </c>
      <c r="E92" s="85">
        <v>36707</v>
      </c>
      <c r="F92" s="43" t="s">
        <v>47</v>
      </c>
      <c r="G92" s="43" t="s">
        <v>34</v>
      </c>
      <c r="H92" s="84" t="s">
        <v>200</v>
      </c>
      <c r="I92" s="67">
        <f t="shared" si="9"/>
        <v>0.10145161290322581</v>
      </c>
      <c r="J92" s="86">
        <v>1.32E-2</v>
      </c>
      <c r="K92" s="86">
        <v>2.2000000000000001E-3</v>
      </c>
      <c r="L92" s="86">
        <v>0</v>
      </c>
      <c r="M92" s="86">
        <v>0</v>
      </c>
      <c r="N92" s="87">
        <v>2.1160000000000002E-2</v>
      </c>
      <c r="O92" s="86">
        <f t="shared" si="10"/>
        <v>0.11685161290322581</v>
      </c>
      <c r="P92" s="88">
        <v>64035</v>
      </c>
      <c r="Q92" s="84">
        <v>931</v>
      </c>
      <c r="R92" s="43"/>
      <c r="S92" s="89">
        <f t="shared" si="11"/>
        <v>2927.9949999999999</v>
      </c>
      <c r="T92" s="89"/>
      <c r="U92" s="83">
        <v>140478</v>
      </c>
      <c r="V92" s="43"/>
      <c r="W92" s="90"/>
      <c r="X92" s="90"/>
    </row>
    <row r="93" spans="1:24" s="47" customFormat="1" x14ac:dyDescent="0.2">
      <c r="A93" s="43" t="s">
        <v>143</v>
      </c>
      <c r="B93" s="84" t="s">
        <v>46</v>
      </c>
      <c r="C93" s="84" t="s">
        <v>73</v>
      </c>
      <c r="D93" s="85">
        <v>36373</v>
      </c>
      <c r="E93" s="85">
        <v>36738</v>
      </c>
      <c r="F93" s="43" t="s">
        <v>47</v>
      </c>
      <c r="G93" s="43" t="s">
        <v>34</v>
      </c>
      <c r="H93" s="84" t="s">
        <v>200</v>
      </c>
      <c r="I93" s="67">
        <f t="shared" si="9"/>
        <v>0.10145161290322581</v>
      </c>
      <c r="J93" s="86">
        <v>1.32E-2</v>
      </c>
      <c r="K93" s="86">
        <v>2.2000000000000001E-3</v>
      </c>
      <c r="L93" s="86">
        <v>0</v>
      </c>
      <c r="M93" s="86">
        <v>0</v>
      </c>
      <c r="N93" s="87">
        <v>2.1160000000000002E-2</v>
      </c>
      <c r="O93" s="86">
        <f t="shared" si="10"/>
        <v>0.11685161290322581</v>
      </c>
      <c r="P93" s="88">
        <v>64332</v>
      </c>
      <c r="Q93" s="84">
        <v>12</v>
      </c>
      <c r="R93" s="43"/>
      <c r="S93" s="89">
        <f t="shared" si="11"/>
        <v>37.74</v>
      </c>
      <c r="T93" s="89"/>
      <c r="U93" s="83">
        <v>140479</v>
      </c>
      <c r="V93" s="43"/>
      <c r="W93" s="90"/>
      <c r="X93" s="90"/>
    </row>
    <row r="94" spans="1:24" s="47" customFormat="1" x14ac:dyDescent="0.2">
      <c r="A94" s="43" t="s">
        <v>143</v>
      </c>
      <c r="B94" s="84" t="s">
        <v>46</v>
      </c>
      <c r="C94" s="84" t="s">
        <v>201</v>
      </c>
      <c r="D94" s="85">
        <v>36373</v>
      </c>
      <c r="E94" s="85">
        <v>36738</v>
      </c>
      <c r="F94" s="43" t="s">
        <v>47</v>
      </c>
      <c r="G94" s="43" t="s">
        <v>34</v>
      </c>
      <c r="H94" s="84" t="s">
        <v>200</v>
      </c>
      <c r="I94" s="67">
        <f t="shared" si="9"/>
        <v>0.10145161290322581</v>
      </c>
      <c r="J94" s="86">
        <v>1.32E-2</v>
      </c>
      <c r="K94" s="86">
        <v>2.2000000000000001E-3</v>
      </c>
      <c r="L94" s="86">
        <v>0</v>
      </c>
      <c r="M94" s="86">
        <v>0</v>
      </c>
      <c r="N94" s="87">
        <v>2.1160000000000002E-2</v>
      </c>
      <c r="O94" s="86">
        <f t="shared" si="10"/>
        <v>0.11685161290322581</v>
      </c>
      <c r="P94" s="88">
        <v>64334</v>
      </c>
      <c r="Q94" s="84">
        <v>3</v>
      </c>
      <c r="R94" s="43"/>
      <c r="S94" s="89">
        <f t="shared" si="11"/>
        <v>9.4350000000000005</v>
      </c>
      <c r="T94" s="89"/>
      <c r="U94" s="83">
        <v>140480</v>
      </c>
      <c r="V94" s="43"/>
      <c r="W94" s="90"/>
      <c r="X94" s="90"/>
    </row>
    <row r="95" spans="1:24" s="47" customFormat="1" x14ac:dyDescent="0.2">
      <c r="A95" s="43" t="s">
        <v>143</v>
      </c>
      <c r="B95" s="84" t="s">
        <v>46</v>
      </c>
      <c r="C95" s="84" t="s">
        <v>73</v>
      </c>
      <c r="D95" s="85">
        <v>36404</v>
      </c>
      <c r="E95" s="85">
        <v>36769</v>
      </c>
      <c r="F95" s="43" t="s">
        <v>47</v>
      </c>
      <c r="G95" s="43" t="s">
        <v>34</v>
      </c>
      <c r="H95" s="84" t="s">
        <v>200</v>
      </c>
      <c r="I95" s="67">
        <f t="shared" si="9"/>
        <v>0.10145161290322581</v>
      </c>
      <c r="J95" s="86">
        <v>1.32E-2</v>
      </c>
      <c r="K95" s="86">
        <v>2.2000000000000001E-3</v>
      </c>
      <c r="L95" s="86">
        <v>0</v>
      </c>
      <c r="M95" s="86">
        <v>0</v>
      </c>
      <c r="N95" s="87">
        <v>2.1160000000000002E-2</v>
      </c>
      <c r="O95" s="86">
        <f t="shared" si="10"/>
        <v>0.11685161290322581</v>
      </c>
      <c r="P95" s="88">
        <v>64652</v>
      </c>
      <c r="Q95" s="84">
        <v>65</v>
      </c>
      <c r="R95" s="43"/>
      <c r="S95" s="89">
        <f t="shared" si="11"/>
        <v>204.42500000000001</v>
      </c>
      <c r="T95" s="89"/>
      <c r="U95" s="83">
        <v>140481</v>
      </c>
      <c r="V95" s="43"/>
      <c r="W95" s="90"/>
      <c r="X95" s="90"/>
    </row>
    <row r="96" spans="1:24" s="47" customFormat="1" x14ac:dyDescent="0.2">
      <c r="A96" s="43" t="s">
        <v>143</v>
      </c>
      <c r="B96" s="84" t="s">
        <v>46</v>
      </c>
      <c r="C96" s="84" t="s">
        <v>73</v>
      </c>
      <c r="D96" s="85">
        <v>36434</v>
      </c>
      <c r="E96" s="85">
        <v>36799</v>
      </c>
      <c r="F96" s="43" t="s">
        <v>47</v>
      </c>
      <c r="G96" s="43" t="s">
        <v>34</v>
      </c>
      <c r="H96" s="84" t="s">
        <v>200</v>
      </c>
      <c r="I96" s="67">
        <f t="shared" si="9"/>
        <v>0.10145161290322581</v>
      </c>
      <c r="J96" s="86">
        <v>1.32E-2</v>
      </c>
      <c r="K96" s="86">
        <v>2.2000000000000001E-3</v>
      </c>
      <c r="L96" s="86">
        <v>0</v>
      </c>
      <c r="M96" s="86">
        <v>0</v>
      </c>
      <c r="N96" s="87">
        <v>2.1160000000000002E-2</v>
      </c>
      <c r="O96" s="86">
        <f t="shared" si="10"/>
        <v>0.11685161290322581</v>
      </c>
      <c r="P96" s="88">
        <v>64863</v>
      </c>
      <c r="Q96" s="84">
        <v>13</v>
      </c>
      <c r="R96" s="43"/>
      <c r="S96" s="89">
        <f t="shared" si="11"/>
        <v>40.884999999999998</v>
      </c>
      <c r="T96" s="89"/>
      <c r="U96" s="83">
        <v>140482</v>
      </c>
      <c r="V96" s="43"/>
      <c r="W96" s="90"/>
      <c r="X96" s="90"/>
    </row>
    <row r="97" spans="1:24" s="47" customFormat="1" x14ac:dyDescent="0.2">
      <c r="A97" s="43" t="s">
        <v>143</v>
      </c>
      <c r="B97" s="84" t="s">
        <v>46</v>
      </c>
      <c r="C97" s="84" t="s">
        <v>73</v>
      </c>
      <c r="D97" s="85">
        <v>36465</v>
      </c>
      <c r="E97" s="85">
        <v>36830</v>
      </c>
      <c r="F97" s="43" t="s">
        <v>47</v>
      </c>
      <c r="G97" s="43" t="s">
        <v>34</v>
      </c>
      <c r="H97" s="84"/>
      <c r="I97" s="67">
        <f>3.145/I$1</f>
        <v>0.10145161290322581</v>
      </c>
      <c r="J97" s="86">
        <v>1.32E-2</v>
      </c>
      <c r="K97" s="86">
        <v>2.2000000000000001E-3</v>
      </c>
      <c r="L97" s="86">
        <v>0</v>
      </c>
      <c r="M97" s="86">
        <v>0</v>
      </c>
      <c r="N97" s="87">
        <v>2.1160000000000002E-2</v>
      </c>
      <c r="O97" s="86">
        <f>SUM(I97:M97)</f>
        <v>0.11685161290322581</v>
      </c>
      <c r="P97" s="88">
        <v>65027</v>
      </c>
      <c r="Q97" s="84">
        <v>131</v>
      </c>
      <c r="R97" s="43" t="s">
        <v>54</v>
      </c>
      <c r="S97" s="89">
        <f>I97*'Ces Wholesale'!I$1*Q97</f>
        <v>411.995</v>
      </c>
      <c r="T97" s="89"/>
      <c r="U97" s="83">
        <v>140441</v>
      </c>
      <c r="V97" s="43" t="s">
        <v>53</v>
      </c>
      <c r="W97" s="90"/>
      <c r="X97" s="90"/>
    </row>
    <row r="98" spans="1:24" s="47" customFormat="1" x14ac:dyDescent="0.2">
      <c r="A98" s="43" t="s">
        <v>143</v>
      </c>
      <c r="B98" s="84" t="s">
        <v>46</v>
      </c>
      <c r="C98" s="84" t="s">
        <v>73</v>
      </c>
      <c r="D98" s="85">
        <v>36495</v>
      </c>
      <c r="E98" s="85">
        <v>36860</v>
      </c>
      <c r="F98" s="43" t="s">
        <v>47</v>
      </c>
      <c r="G98" s="43" t="s">
        <v>34</v>
      </c>
      <c r="H98" s="84" t="s">
        <v>200</v>
      </c>
      <c r="I98" s="67">
        <f>3.145/I$1</f>
        <v>0.10145161290322581</v>
      </c>
      <c r="J98" s="86">
        <v>1.32E-2</v>
      </c>
      <c r="K98" s="86">
        <v>2.2000000000000001E-3</v>
      </c>
      <c r="L98" s="86">
        <v>0</v>
      </c>
      <c r="M98" s="86">
        <v>0</v>
      </c>
      <c r="N98" s="87">
        <v>2.1160000000000002E-2</v>
      </c>
      <c r="O98" s="86">
        <f>SUM(I98:M98)</f>
        <v>0.11685161290322581</v>
      </c>
      <c r="P98" s="88">
        <v>65557</v>
      </c>
      <c r="Q98" s="84">
        <v>3</v>
      </c>
      <c r="R98" s="43"/>
      <c r="S98" s="89">
        <f>I98*I$1*Q98</f>
        <v>9.4350000000000005</v>
      </c>
      <c r="T98" s="89"/>
      <c r="U98" s="83">
        <v>140483</v>
      </c>
      <c r="V98" s="43"/>
      <c r="W98" s="90"/>
      <c r="X98" s="90"/>
    </row>
    <row r="99" spans="1:24" s="82" customFormat="1" x14ac:dyDescent="0.2">
      <c r="A99" s="44" t="s">
        <v>143</v>
      </c>
      <c r="B99" s="75" t="s">
        <v>46</v>
      </c>
      <c r="C99" s="75" t="s">
        <v>187</v>
      </c>
      <c r="D99" s="76">
        <v>36495</v>
      </c>
      <c r="E99" s="76">
        <v>36525</v>
      </c>
      <c r="F99" s="44"/>
      <c r="G99" s="44"/>
      <c r="H99" s="75" t="s">
        <v>202</v>
      </c>
      <c r="I99" s="77">
        <v>0</v>
      </c>
      <c r="J99" s="66">
        <v>0</v>
      </c>
      <c r="K99" s="66">
        <v>2.2000000000000001E-3</v>
      </c>
      <c r="L99" s="66">
        <v>7.1999999999999998E-3</v>
      </c>
      <c r="M99" s="66">
        <v>0</v>
      </c>
      <c r="N99" s="65">
        <v>0</v>
      </c>
      <c r="O99" s="66">
        <f>SUM(I99:M99)</f>
        <v>9.4000000000000004E-3</v>
      </c>
      <c r="P99" s="78"/>
      <c r="Q99" s="75">
        <v>185</v>
      </c>
      <c r="R99" s="44"/>
      <c r="S99" s="79">
        <f>I99*I$1*Q99</f>
        <v>0</v>
      </c>
      <c r="T99" s="79"/>
      <c r="U99" s="80"/>
      <c r="V99" s="44"/>
      <c r="W99" s="81"/>
      <c r="X99" s="81"/>
    </row>
    <row r="100" spans="1:24" s="82" customFormat="1" x14ac:dyDescent="0.2">
      <c r="A100" s="44" t="s">
        <v>143</v>
      </c>
      <c r="B100" s="75" t="s">
        <v>46</v>
      </c>
      <c r="C100" s="75" t="s">
        <v>187</v>
      </c>
      <c r="D100" s="76">
        <v>36495</v>
      </c>
      <c r="E100" s="76">
        <v>36525</v>
      </c>
      <c r="F100" s="44"/>
      <c r="G100" s="44"/>
      <c r="H100" s="75" t="s">
        <v>200</v>
      </c>
      <c r="I100" s="77">
        <v>0</v>
      </c>
      <c r="J100" s="66">
        <v>0</v>
      </c>
      <c r="K100" s="66">
        <v>2.2000000000000001E-3</v>
      </c>
      <c r="L100" s="66">
        <v>7.1999999999999998E-3</v>
      </c>
      <c r="M100" s="66">
        <v>0</v>
      </c>
      <c r="N100" s="65">
        <v>0</v>
      </c>
      <c r="O100" s="66">
        <f>SUM(I100:M100)</f>
        <v>9.4000000000000004E-3</v>
      </c>
      <c r="P100" s="78"/>
      <c r="Q100" s="75">
        <v>180</v>
      </c>
      <c r="R100" s="44"/>
      <c r="S100" s="79">
        <f>I100*I$1*Q100</f>
        <v>0</v>
      </c>
      <c r="T100" s="79"/>
      <c r="U100" s="80"/>
      <c r="V100" s="44"/>
      <c r="W100" s="81"/>
      <c r="X100" s="81"/>
    </row>
    <row r="101" spans="1:24" x14ac:dyDescent="0.2">
      <c r="A101" s="1"/>
      <c r="B101" s="3"/>
      <c r="C101" s="3"/>
      <c r="D101" s="4"/>
      <c r="E101" s="4"/>
      <c r="F101" s="1"/>
      <c r="G101" s="1"/>
      <c r="H101" s="3"/>
      <c r="I101" s="8"/>
      <c r="J101" s="5"/>
      <c r="K101" s="24"/>
      <c r="L101" s="5"/>
      <c r="M101" s="5"/>
      <c r="N101" s="48"/>
      <c r="O101" s="5"/>
      <c r="P101" s="25"/>
      <c r="Q101" s="2">
        <f>SUM(Q83:Q100)</f>
        <v>2145</v>
      </c>
      <c r="R101" s="3"/>
      <c r="S101" s="9"/>
      <c r="T101" s="9"/>
      <c r="U101" s="73"/>
      <c r="V101" s="1"/>
      <c r="W101" s="37"/>
      <c r="X101" s="37"/>
    </row>
    <row r="102" spans="1:24" x14ac:dyDescent="0.2">
      <c r="A102" s="17" t="s">
        <v>4</v>
      </c>
      <c r="B102" s="18" t="s">
        <v>5</v>
      </c>
      <c r="C102" s="18" t="s">
        <v>6</v>
      </c>
      <c r="D102" s="19" t="s">
        <v>7</v>
      </c>
      <c r="E102" s="19"/>
      <c r="F102" s="17" t="s">
        <v>8</v>
      </c>
      <c r="G102" s="17" t="s">
        <v>9</v>
      </c>
      <c r="H102" s="18" t="s">
        <v>86</v>
      </c>
      <c r="I102" s="20" t="s">
        <v>11</v>
      </c>
      <c r="J102" s="18" t="s">
        <v>12</v>
      </c>
      <c r="K102" s="18" t="s">
        <v>13</v>
      </c>
      <c r="L102" s="18" t="s">
        <v>14</v>
      </c>
      <c r="M102" s="18" t="s">
        <v>15</v>
      </c>
      <c r="N102" s="49" t="s">
        <v>16</v>
      </c>
      <c r="O102" s="18" t="s">
        <v>17</v>
      </c>
      <c r="P102" s="21" t="s">
        <v>18</v>
      </c>
      <c r="Q102" s="18" t="s">
        <v>19</v>
      </c>
      <c r="R102" s="17" t="s">
        <v>20</v>
      </c>
      <c r="S102" s="22" t="s">
        <v>81</v>
      </c>
      <c r="T102" s="22" t="s">
        <v>80</v>
      </c>
      <c r="U102" s="70" t="s">
        <v>37</v>
      </c>
      <c r="V102" s="99">
        <f>+V71</f>
        <v>0</v>
      </c>
      <c r="W102" s="37"/>
      <c r="X102" s="37"/>
    </row>
    <row r="103" spans="1:24" s="47" customFormat="1" x14ac:dyDescent="0.2">
      <c r="A103" s="43" t="s">
        <v>143</v>
      </c>
      <c r="B103" s="84" t="s">
        <v>2</v>
      </c>
      <c r="C103" s="84" t="s">
        <v>187</v>
      </c>
      <c r="D103" s="85">
        <v>36465</v>
      </c>
      <c r="E103" s="85">
        <v>36677</v>
      </c>
      <c r="F103" s="95" t="s">
        <v>188</v>
      </c>
      <c r="G103" s="95" t="s">
        <v>189</v>
      </c>
      <c r="H103" s="84" t="s">
        <v>190</v>
      </c>
      <c r="I103" s="67">
        <v>0</v>
      </c>
      <c r="J103" s="86">
        <v>0</v>
      </c>
      <c r="K103" s="86">
        <v>2.2000000000000001E-3</v>
      </c>
      <c r="L103" s="86">
        <v>7.1999999999999998E-3</v>
      </c>
      <c r="M103" s="86">
        <v>0</v>
      </c>
      <c r="N103" s="87">
        <v>0</v>
      </c>
      <c r="O103" s="86">
        <f t="shared" ref="O103:O109" si="12">SUM(I103:M103)</f>
        <v>9.4000000000000004E-3</v>
      </c>
      <c r="P103" s="88">
        <v>31372</v>
      </c>
      <c r="Q103" s="84">
        <v>431</v>
      </c>
      <c r="R103" s="43" t="s">
        <v>32</v>
      </c>
      <c r="S103" s="89">
        <f t="shared" ref="S103:S109" si="13">I103*I$1*Q103</f>
        <v>0</v>
      </c>
      <c r="T103" s="89"/>
      <c r="U103" s="83">
        <v>142813</v>
      </c>
      <c r="V103" s="43"/>
      <c r="W103" s="90"/>
      <c r="X103" s="90"/>
    </row>
    <row r="104" spans="1:24" s="47" customFormat="1" x14ac:dyDescent="0.2">
      <c r="A104" s="43" t="s">
        <v>143</v>
      </c>
      <c r="B104" s="84" t="s">
        <v>2</v>
      </c>
      <c r="C104" s="84" t="s">
        <v>139</v>
      </c>
      <c r="D104" s="85">
        <v>36465</v>
      </c>
      <c r="E104" s="85">
        <v>36677</v>
      </c>
      <c r="F104" s="95" t="s">
        <v>192</v>
      </c>
      <c r="G104" s="95" t="s">
        <v>191</v>
      </c>
      <c r="H104" s="84" t="s">
        <v>190</v>
      </c>
      <c r="I104" s="67">
        <v>0</v>
      </c>
      <c r="J104" s="86">
        <v>0</v>
      </c>
      <c r="K104" s="86">
        <v>2.2000000000000001E-3</v>
      </c>
      <c r="L104" s="86">
        <v>7.1999999999999998E-3</v>
      </c>
      <c r="M104" s="86">
        <v>0</v>
      </c>
      <c r="N104" s="87">
        <v>0</v>
      </c>
      <c r="O104" s="86">
        <f t="shared" si="12"/>
        <v>9.4000000000000004E-3</v>
      </c>
      <c r="P104" s="88">
        <v>34533</v>
      </c>
      <c r="Q104" s="84">
        <v>48</v>
      </c>
      <c r="R104" s="43" t="s">
        <v>32</v>
      </c>
      <c r="S104" s="89">
        <f t="shared" si="13"/>
        <v>0</v>
      </c>
      <c r="T104" s="89"/>
      <c r="U104" s="83">
        <v>142814</v>
      </c>
      <c r="V104" s="43"/>
      <c r="W104" s="90"/>
      <c r="X104" s="90"/>
    </row>
    <row r="105" spans="1:24" s="82" customFormat="1" x14ac:dyDescent="0.2">
      <c r="A105" s="44" t="s">
        <v>143</v>
      </c>
      <c r="B105" s="75" t="s">
        <v>2</v>
      </c>
      <c r="C105" s="75" t="s">
        <v>193</v>
      </c>
      <c r="D105" s="76">
        <v>36526</v>
      </c>
      <c r="E105" s="76">
        <v>36556</v>
      </c>
      <c r="F105" s="44" t="s">
        <v>194</v>
      </c>
      <c r="G105" s="98" t="s">
        <v>195</v>
      </c>
      <c r="H105" s="75" t="s">
        <v>190</v>
      </c>
      <c r="I105" s="77">
        <f>6.74/31</f>
        <v>0.21741935483870969</v>
      </c>
      <c r="J105" s="66">
        <v>7.6300000000000007E-2</v>
      </c>
      <c r="K105" s="66">
        <v>2.2000000000000001E-3</v>
      </c>
      <c r="L105" s="66">
        <v>7.1999999999999998E-3</v>
      </c>
      <c r="M105" s="66">
        <v>0</v>
      </c>
      <c r="N105" s="65">
        <v>2.7900000000000001E-2</v>
      </c>
      <c r="O105" s="66">
        <f t="shared" si="12"/>
        <v>0.30311935483870966</v>
      </c>
      <c r="P105" s="78">
        <v>31957</v>
      </c>
      <c r="Q105" s="75">
        <v>3678</v>
      </c>
      <c r="R105" s="44" t="s">
        <v>32</v>
      </c>
      <c r="S105" s="79">
        <f t="shared" si="13"/>
        <v>24789.72</v>
      </c>
      <c r="T105" s="79"/>
      <c r="U105" s="80">
        <v>145064</v>
      </c>
      <c r="V105" s="44" t="s">
        <v>197</v>
      </c>
      <c r="W105" s="81"/>
      <c r="X105" s="81"/>
    </row>
    <row r="106" spans="1:24" s="82" customFormat="1" x14ac:dyDescent="0.2">
      <c r="A106" s="44" t="s">
        <v>143</v>
      </c>
      <c r="B106" s="75" t="s">
        <v>2</v>
      </c>
      <c r="C106" s="75" t="s">
        <v>193</v>
      </c>
      <c r="D106" s="76">
        <v>36526</v>
      </c>
      <c r="E106" s="76">
        <v>36556</v>
      </c>
      <c r="F106" s="98" t="s">
        <v>198</v>
      </c>
      <c r="G106" s="98" t="s">
        <v>199</v>
      </c>
      <c r="H106" s="75" t="s">
        <v>190</v>
      </c>
      <c r="I106" s="77">
        <v>0</v>
      </c>
      <c r="J106" s="66">
        <v>0</v>
      </c>
      <c r="K106" s="66">
        <v>2.2000000000000001E-3</v>
      </c>
      <c r="L106" s="66">
        <v>7.1999999999999998E-3</v>
      </c>
      <c r="M106" s="66">
        <v>0</v>
      </c>
      <c r="N106" s="65">
        <v>0</v>
      </c>
      <c r="O106" s="66">
        <f t="shared" si="12"/>
        <v>9.4000000000000004E-3</v>
      </c>
      <c r="P106" s="78" t="s">
        <v>196</v>
      </c>
      <c r="Q106" s="75">
        <v>802</v>
      </c>
      <c r="R106" s="44" t="s">
        <v>32</v>
      </c>
      <c r="S106" s="79">
        <f t="shared" si="13"/>
        <v>0</v>
      </c>
      <c r="T106" s="79"/>
      <c r="U106" s="80"/>
      <c r="V106" s="44" t="s">
        <v>197</v>
      </c>
      <c r="W106" s="81"/>
      <c r="X106" s="81"/>
    </row>
    <row r="107" spans="1:24" s="82" customFormat="1" x14ac:dyDescent="0.2">
      <c r="A107" s="44" t="s">
        <v>143</v>
      </c>
      <c r="B107" s="75" t="s">
        <v>313</v>
      </c>
      <c r="C107" s="75" t="s">
        <v>193</v>
      </c>
      <c r="D107" s="76">
        <v>36526</v>
      </c>
      <c r="E107" s="76">
        <v>36556</v>
      </c>
      <c r="F107" s="44" t="s">
        <v>314</v>
      </c>
      <c r="G107" s="44" t="s">
        <v>193</v>
      </c>
      <c r="H107" s="75" t="s">
        <v>190</v>
      </c>
      <c r="I107" s="77">
        <v>0.38450000000000001</v>
      </c>
      <c r="J107" s="66">
        <v>0</v>
      </c>
      <c r="K107" s="66">
        <v>2.2000000000000001E-3</v>
      </c>
      <c r="L107" s="66">
        <v>7.1999999999999998E-3</v>
      </c>
      <c r="M107" s="66">
        <v>0</v>
      </c>
      <c r="N107" s="65">
        <v>2.2200000000000001E-2</v>
      </c>
      <c r="O107" s="66">
        <f t="shared" si="12"/>
        <v>0.39389999999999997</v>
      </c>
      <c r="P107" s="78">
        <v>31958</v>
      </c>
      <c r="Q107" s="75">
        <v>4102</v>
      </c>
      <c r="R107" s="44" t="s">
        <v>32</v>
      </c>
      <c r="S107" s="79">
        <f t="shared" si="13"/>
        <v>48893.789000000004</v>
      </c>
      <c r="T107" s="79"/>
      <c r="U107" s="80">
        <v>145082</v>
      </c>
      <c r="V107" s="44" t="s">
        <v>197</v>
      </c>
      <c r="W107" s="81"/>
      <c r="X107" s="81"/>
    </row>
    <row r="108" spans="1:24" s="82" customFormat="1" x14ac:dyDescent="0.2">
      <c r="A108" s="44" t="s">
        <v>143</v>
      </c>
      <c r="B108" s="75" t="s">
        <v>2</v>
      </c>
      <c r="C108" s="75" t="s">
        <v>309</v>
      </c>
      <c r="D108" s="76">
        <v>36526</v>
      </c>
      <c r="E108" s="76">
        <v>36556</v>
      </c>
      <c r="F108" s="44" t="s">
        <v>310</v>
      </c>
      <c r="G108" s="44" t="s">
        <v>311</v>
      </c>
      <c r="H108" s="75" t="s">
        <v>190</v>
      </c>
      <c r="I108" s="77">
        <v>7.2900000000000006E-2</v>
      </c>
      <c r="J108" s="66">
        <v>8.9999999999999993E-3</v>
      </c>
      <c r="K108" s="66">
        <v>2.2000000000000001E-3</v>
      </c>
      <c r="L108" s="66">
        <v>7.1999999999999998E-3</v>
      </c>
      <c r="M108" s="66">
        <v>0</v>
      </c>
      <c r="N108" s="65">
        <v>0</v>
      </c>
      <c r="O108" s="66">
        <f t="shared" si="12"/>
        <v>9.1299999999999992E-2</v>
      </c>
      <c r="P108" s="78">
        <v>32110</v>
      </c>
      <c r="Q108" s="75">
        <v>5000</v>
      </c>
      <c r="R108" s="44" t="s">
        <v>32</v>
      </c>
      <c r="S108" s="79">
        <f t="shared" si="13"/>
        <v>11299.5</v>
      </c>
      <c r="T108" s="79"/>
      <c r="U108" s="80">
        <v>145906</v>
      </c>
      <c r="V108" s="44" t="s">
        <v>197</v>
      </c>
      <c r="W108" s="81"/>
      <c r="X108" s="81"/>
    </row>
    <row r="109" spans="1:24" s="82" customFormat="1" x14ac:dyDescent="0.2">
      <c r="A109" s="44" t="s">
        <v>143</v>
      </c>
      <c r="B109" s="75" t="s">
        <v>2</v>
      </c>
      <c r="C109" s="75" t="s">
        <v>309</v>
      </c>
      <c r="D109" s="76">
        <v>36526</v>
      </c>
      <c r="E109" s="76">
        <v>36556</v>
      </c>
      <c r="F109" s="44" t="s">
        <v>310</v>
      </c>
      <c r="G109" s="44" t="s">
        <v>311</v>
      </c>
      <c r="H109" s="75" t="s">
        <v>190</v>
      </c>
      <c r="I109" s="77">
        <v>7.2900000000000006E-2</v>
      </c>
      <c r="J109" s="66">
        <v>8.9999999999999993E-3</v>
      </c>
      <c r="K109" s="66">
        <v>2.2000000000000001E-3</v>
      </c>
      <c r="L109" s="66">
        <v>7.1999999999999998E-3</v>
      </c>
      <c r="M109" s="66">
        <v>0</v>
      </c>
      <c r="N109" s="65">
        <v>0</v>
      </c>
      <c r="O109" s="66">
        <f t="shared" si="12"/>
        <v>9.1299999999999992E-2</v>
      </c>
      <c r="P109" s="78">
        <v>32067</v>
      </c>
      <c r="Q109" s="75">
        <v>766</v>
      </c>
      <c r="R109" s="44" t="s">
        <v>32</v>
      </c>
      <c r="S109" s="79">
        <f t="shared" si="13"/>
        <v>1731.0834</v>
      </c>
      <c r="T109" s="79"/>
      <c r="U109" s="80">
        <v>145906</v>
      </c>
      <c r="V109" s="44" t="s">
        <v>197</v>
      </c>
      <c r="W109" s="81"/>
      <c r="X109" s="81"/>
    </row>
    <row r="110" spans="1:24" x14ac:dyDescent="0.2">
      <c r="A110" s="1"/>
      <c r="B110" s="3"/>
      <c r="C110" s="3"/>
      <c r="D110" s="4"/>
      <c r="E110" s="4"/>
      <c r="F110" s="1"/>
      <c r="G110" s="1"/>
      <c r="H110" s="3"/>
      <c r="I110" s="8"/>
      <c r="J110" s="5"/>
      <c r="K110" s="24"/>
      <c r="L110" s="5"/>
      <c r="M110" s="5"/>
      <c r="N110" s="48"/>
      <c r="O110" s="5"/>
      <c r="P110" s="25"/>
      <c r="Q110" s="2"/>
      <c r="R110" s="3"/>
      <c r="S110" s="9"/>
      <c r="T110" s="9"/>
      <c r="U110" s="73"/>
      <c r="V110" s="1"/>
      <c r="W110" s="37"/>
      <c r="X110" s="37"/>
    </row>
    <row r="111" spans="1:24" x14ac:dyDescent="0.2">
      <c r="A111" s="1"/>
      <c r="B111" s="3"/>
      <c r="C111" s="3"/>
      <c r="D111" s="4"/>
      <c r="E111" s="4"/>
      <c r="F111" s="1"/>
      <c r="G111" s="1"/>
      <c r="H111" s="3"/>
      <c r="I111" s="8"/>
      <c r="J111" s="5"/>
      <c r="K111" s="24"/>
      <c r="L111" s="5"/>
      <c r="M111" s="5"/>
      <c r="N111" s="51"/>
      <c r="O111" s="5"/>
      <c r="P111" s="25"/>
      <c r="Q111" s="3"/>
      <c r="R111" s="3"/>
      <c r="V111" s="30"/>
      <c r="W111" s="38"/>
      <c r="X111" s="38"/>
    </row>
    <row r="112" spans="1:24" x14ac:dyDescent="0.2">
      <c r="A112" s="17" t="s">
        <v>4</v>
      </c>
      <c r="B112" s="18" t="s">
        <v>5</v>
      </c>
      <c r="C112" s="18" t="s">
        <v>6</v>
      </c>
      <c r="D112" s="19" t="s">
        <v>7</v>
      </c>
      <c r="E112" s="19"/>
      <c r="F112" s="17" t="s">
        <v>8</v>
      </c>
      <c r="G112" s="17" t="s">
        <v>9</v>
      </c>
      <c r="H112" s="18" t="s">
        <v>86</v>
      </c>
      <c r="I112" s="20" t="s">
        <v>11</v>
      </c>
      <c r="J112" s="18" t="s">
        <v>12</v>
      </c>
      <c r="K112" s="18" t="s">
        <v>13</v>
      </c>
      <c r="L112" s="18" t="s">
        <v>14</v>
      </c>
      <c r="M112" s="18" t="s">
        <v>15</v>
      </c>
      <c r="N112" s="49" t="s">
        <v>16</v>
      </c>
      <c r="O112" s="18" t="s">
        <v>17</v>
      </c>
      <c r="P112" s="21" t="s">
        <v>18</v>
      </c>
      <c r="Q112" s="18" t="s">
        <v>19</v>
      </c>
      <c r="R112" s="17" t="s">
        <v>20</v>
      </c>
      <c r="S112" s="22" t="s">
        <v>81</v>
      </c>
      <c r="T112" s="22" t="s">
        <v>80</v>
      </c>
      <c r="U112" s="70" t="s">
        <v>37</v>
      </c>
      <c r="V112" s="99">
        <f>+V77</f>
        <v>0</v>
      </c>
      <c r="W112" s="37"/>
      <c r="X112" s="37"/>
    </row>
    <row r="113" spans="1:24" s="47" customFormat="1" x14ac:dyDescent="0.2">
      <c r="A113" s="43" t="s">
        <v>143</v>
      </c>
      <c r="B113" s="84" t="s">
        <v>28</v>
      </c>
      <c r="C113" s="84" t="s">
        <v>203</v>
      </c>
      <c r="D113" s="85">
        <v>35977</v>
      </c>
      <c r="E113" s="85">
        <v>41029</v>
      </c>
      <c r="F113" s="43" t="s">
        <v>204</v>
      </c>
      <c r="G113" s="43" t="s">
        <v>205</v>
      </c>
      <c r="H113" s="84" t="s">
        <v>25</v>
      </c>
      <c r="I113" s="67">
        <v>0</v>
      </c>
      <c r="J113" s="86">
        <v>0</v>
      </c>
      <c r="K113" s="86">
        <v>2.2000000000000001E-3</v>
      </c>
      <c r="L113" s="86">
        <v>0</v>
      </c>
      <c r="M113" s="86">
        <v>0</v>
      </c>
      <c r="N113" s="87">
        <v>0</v>
      </c>
      <c r="O113" s="86">
        <f t="shared" ref="O113:O122" si="14">SUM(I113:M113)</f>
        <v>2.2000000000000001E-3</v>
      </c>
      <c r="P113" s="88">
        <v>886677</v>
      </c>
      <c r="Q113" s="84">
        <v>49</v>
      </c>
      <c r="R113" s="43"/>
      <c r="S113" s="89">
        <f t="shared" ref="S113:S123" si="15">I113*I$1*Q113</f>
        <v>0</v>
      </c>
      <c r="T113" s="89"/>
      <c r="U113" s="83">
        <v>143309</v>
      </c>
      <c r="V113" s="43"/>
      <c r="W113" s="90"/>
      <c r="X113" s="90"/>
    </row>
    <row r="114" spans="1:24" s="47" customFormat="1" x14ac:dyDescent="0.2">
      <c r="A114" s="43" t="s">
        <v>143</v>
      </c>
      <c r="B114" s="84" t="s">
        <v>28</v>
      </c>
      <c r="C114" s="84" t="s">
        <v>203</v>
      </c>
      <c r="D114" s="85">
        <v>36130</v>
      </c>
      <c r="E114" s="85">
        <v>41029</v>
      </c>
      <c r="F114" s="43" t="s">
        <v>204</v>
      </c>
      <c r="G114" s="43" t="s">
        <v>205</v>
      </c>
      <c r="H114" s="84" t="s">
        <v>25</v>
      </c>
      <c r="I114" s="67">
        <v>0</v>
      </c>
      <c r="J114" s="86">
        <v>0</v>
      </c>
      <c r="K114" s="86">
        <v>2.2000000000000001E-3</v>
      </c>
      <c r="L114" s="86">
        <v>0</v>
      </c>
      <c r="M114" s="86">
        <v>0</v>
      </c>
      <c r="N114" s="87">
        <v>0</v>
      </c>
      <c r="O114" s="86">
        <f t="shared" si="14"/>
        <v>2.2000000000000001E-3</v>
      </c>
      <c r="P114" s="88">
        <v>887978</v>
      </c>
      <c r="Q114" s="84">
        <v>9</v>
      </c>
      <c r="R114" s="43"/>
      <c r="S114" s="89">
        <f t="shared" si="15"/>
        <v>0</v>
      </c>
      <c r="T114" s="89"/>
      <c r="U114" s="83">
        <v>143310</v>
      </c>
      <c r="V114" s="43"/>
      <c r="W114" s="90"/>
      <c r="X114" s="90"/>
    </row>
    <row r="115" spans="1:24" s="47" customFormat="1" x14ac:dyDescent="0.2">
      <c r="A115" s="43" t="s">
        <v>143</v>
      </c>
      <c r="B115" s="84" t="s">
        <v>28</v>
      </c>
      <c r="C115" s="84" t="s">
        <v>203</v>
      </c>
      <c r="D115" s="85">
        <v>36220</v>
      </c>
      <c r="E115" s="85">
        <v>41029</v>
      </c>
      <c r="F115" s="43" t="s">
        <v>204</v>
      </c>
      <c r="G115" s="43" t="s">
        <v>206</v>
      </c>
      <c r="H115" s="84" t="s">
        <v>25</v>
      </c>
      <c r="I115" s="67">
        <v>0</v>
      </c>
      <c r="J115" s="86">
        <v>0</v>
      </c>
      <c r="K115" s="86">
        <v>2.2000000000000001E-3</v>
      </c>
      <c r="L115" s="86">
        <v>0</v>
      </c>
      <c r="M115" s="86">
        <v>0</v>
      </c>
      <c r="N115" s="87">
        <v>0</v>
      </c>
      <c r="O115" s="86">
        <f t="shared" si="14"/>
        <v>2.2000000000000001E-3</v>
      </c>
      <c r="P115" s="88">
        <v>888786</v>
      </c>
      <c r="Q115" s="84">
        <v>16</v>
      </c>
      <c r="R115" s="43"/>
      <c r="S115" s="89">
        <f t="shared" si="15"/>
        <v>0</v>
      </c>
      <c r="T115" s="89"/>
      <c r="U115" s="83">
        <v>143311</v>
      </c>
      <c r="V115" s="43"/>
      <c r="W115" s="90"/>
      <c r="X115" s="90"/>
    </row>
    <row r="116" spans="1:24" s="47" customFormat="1" x14ac:dyDescent="0.2">
      <c r="A116" s="43" t="s">
        <v>143</v>
      </c>
      <c r="B116" s="84" t="s">
        <v>28</v>
      </c>
      <c r="C116" s="84" t="s">
        <v>203</v>
      </c>
      <c r="D116" s="85">
        <v>36465</v>
      </c>
      <c r="E116" s="85">
        <v>39021</v>
      </c>
      <c r="F116" s="43" t="s">
        <v>24</v>
      </c>
      <c r="G116" s="43" t="s">
        <v>27</v>
      </c>
      <c r="H116" s="84" t="s">
        <v>25</v>
      </c>
      <c r="I116" s="67">
        <v>0</v>
      </c>
      <c r="J116" s="86">
        <v>0</v>
      </c>
      <c r="K116" s="86">
        <v>2.2000000000000001E-3</v>
      </c>
      <c r="L116" s="86">
        <v>0</v>
      </c>
      <c r="M116" s="86">
        <v>0</v>
      </c>
      <c r="N116" s="87">
        <v>0</v>
      </c>
      <c r="O116" s="86">
        <f t="shared" si="14"/>
        <v>2.2000000000000001E-3</v>
      </c>
      <c r="P116" s="88">
        <v>892066</v>
      </c>
      <c r="Q116" s="84">
        <v>139</v>
      </c>
      <c r="R116" s="43"/>
      <c r="S116" s="89">
        <f t="shared" si="15"/>
        <v>0</v>
      </c>
      <c r="T116" s="89"/>
      <c r="U116" s="83">
        <v>143315</v>
      </c>
      <c r="V116" s="43"/>
      <c r="W116" s="90"/>
      <c r="X116" s="90"/>
    </row>
    <row r="117" spans="1:24" s="47" customFormat="1" x14ac:dyDescent="0.2">
      <c r="A117" s="43" t="s">
        <v>143</v>
      </c>
      <c r="B117" s="84" t="s">
        <v>28</v>
      </c>
      <c r="C117" s="84" t="s">
        <v>203</v>
      </c>
      <c r="D117" s="85">
        <v>36465</v>
      </c>
      <c r="E117" s="85">
        <v>36830</v>
      </c>
      <c r="F117" s="43" t="s">
        <v>33</v>
      </c>
      <c r="G117" s="43" t="s">
        <v>27</v>
      </c>
      <c r="H117" s="84" t="s">
        <v>26</v>
      </c>
      <c r="I117" s="67">
        <v>0</v>
      </c>
      <c r="J117" s="86">
        <v>0</v>
      </c>
      <c r="K117" s="86">
        <v>2.2000000000000001E-3</v>
      </c>
      <c r="L117" s="86">
        <v>0</v>
      </c>
      <c r="M117" s="86">
        <v>0</v>
      </c>
      <c r="N117" s="87">
        <v>0</v>
      </c>
      <c r="O117" s="86">
        <f t="shared" si="14"/>
        <v>2.2000000000000001E-3</v>
      </c>
      <c r="P117" s="88">
        <v>892069</v>
      </c>
      <c r="Q117" s="84">
        <v>11</v>
      </c>
      <c r="R117" s="43"/>
      <c r="S117" s="89">
        <f t="shared" si="15"/>
        <v>0</v>
      </c>
      <c r="T117" s="89"/>
      <c r="U117" s="83">
        <v>143316</v>
      </c>
      <c r="V117" s="43"/>
      <c r="W117" s="90"/>
      <c r="X117" s="90"/>
    </row>
    <row r="118" spans="1:24" s="47" customFormat="1" x14ac:dyDescent="0.2">
      <c r="A118" s="43" t="s">
        <v>143</v>
      </c>
      <c r="B118" s="84" t="s">
        <v>28</v>
      </c>
      <c r="C118" s="84" t="s">
        <v>203</v>
      </c>
      <c r="D118" s="85">
        <v>36465</v>
      </c>
      <c r="E118" s="85">
        <v>37560</v>
      </c>
      <c r="F118" s="43" t="s">
        <v>24</v>
      </c>
      <c r="G118" s="43" t="s">
        <v>33</v>
      </c>
      <c r="H118" s="84" t="s">
        <v>25</v>
      </c>
      <c r="I118" s="67">
        <v>0</v>
      </c>
      <c r="J118" s="86">
        <v>0</v>
      </c>
      <c r="K118" s="86">
        <v>2.2000000000000001E-3</v>
      </c>
      <c r="L118" s="86">
        <v>0</v>
      </c>
      <c r="M118" s="86">
        <v>0</v>
      </c>
      <c r="N118" s="87">
        <v>0</v>
      </c>
      <c r="O118" s="86">
        <f t="shared" si="14"/>
        <v>2.2000000000000001E-3</v>
      </c>
      <c r="P118" s="88">
        <v>892084</v>
      </c>
      <c r="Q118" s="84">
        <v>18</v>
      </c>
      <c r="R118" s="43"/>
      <c r="S118" s="89">
        <f t="shared" si="15"/>
        <v>0</v>
      </c>
      <c r="T118" s="89"/>
      <c r="U118" s="83">
        <v>143318</v>
      </c>
      <c r="V118" s="43"/>
      <c r="W118" s="90"/>
      <c r="X118" s="90"/>
    </row>
    <row r="119" spans="1:24" s="47" customFormat="1" x14ac:dyDescent="0.2">
      <c r="A119" s="43" t="s">
        <v>143</v>
      </c>
      <c r="B119" s="84" t="s">
        <v>28</v>
      </c>
      <c r="C119" s="84" t="s">
        <v>203</v>
      </c>
      <c r="D119" s="85">
        <v>36465</v>
      </c>
      <c r="E119" s="85">
        <v>39021</v>
      </c>
      <c r="F119" s="43" t="s">
        <v>24</v>
      </c>
      <c r="G119" s="43" t="s">
        <v>27</v>
      </c>
      <c r="H119" s="84" t="s">
        <v>25</v>
      </c>
      <c r="I119" s="67">
        <v>0</v>
      </c>
      <c r="J119" s="86">
        <v>0</v>
      </c>
      <c r="K119" s="86">
        <v>2.2000000000000001E-3</v>
      </c>
      <c r="L119" s="86">
        <v>0</v>
      </c>
      <c r="M119" s="86">
        <v>0</v>
      </c>
      <c r="N119" s="87">
        <v>0</v>
      </c>
      <c r="O119" s="86">
        <f>SUM(I119:M119)</f>
        <v>2.2000000000000001E-3</v>
      </c>
      <c r="P119" s="88">
        <v>892085</v>
      </c>
      <c r="Q119" s="84">
        <v>167</v>
      </c>
      <c r="R119" s="43"/>
      <c r="S119" s="89">
        <f t="shared" si="15"/>
        <v>0</v>
      </c>
      <c r="T119" s="89"/>
      <c r="U119" s="83">
        <v>143319</v>
      </c>
      <c r="V119" s="43"/>
      <c r="W119" s="90"/>
      <c r="X119" s="90"/>
    </row>
    <row r="120" spans="1:24" s="47" customFormat="1" x14ac:dyDescent="0.2">
      <c r="A120" s="43" t="s">
        <v>143</v>
      </c>
      <c r="B120" s="84" t="s">
        <v>28</v>
      </c>
      <c r="C120" s="84" t="s">
        <v>203</v>
      </c>
      <c r="D120" s="85">
        <v>36495</v>
      </c>
      <c r="E120" s="85">
        <v>39021</v>
      </c>
      <c r="F120" s="43" t="s">
        <v>24</v>
      </c>
      <c r="G120" s="43" t="s">
        <v>27</v>
      </c>
      <c r="H120" s="84" t="s">
        <v>26</v>
      </c>
      <c r="I120" s="67">
        <v>0</v>
      </c>
      <c r="J120" s="86">
        <v>0</v>
      </c>
      <c r="K120" s="86">
        <v>2.2000000000000001E-3</v>
      </c>
      <c r="L120" s="86">
        <v>0</v>
      </c>
      <c r="M120" s="86">
        <v>0</v>
      </c>
      <c r="N120" s="87">
        <v>0</v>
      </c>
      <c r="O120" s="86">
        <f t="shared" si="14"/>
        <v>2.2000000000000001E-3</v>
      </c>
      <c r="P120" s="88">
        <v>892214</v>
      </c>
      <c r="Q120" s="84">
        <v>114</v>
      </c>
      <c r="R120" s="43"/>
      <c r="S120" s="89">
        <f t="shared" si="15"/>
        <v>0</v>
      </c>
      <c r="T120" s="89"/>
      <c r="U120" s="83">
        <v>143321</v>
      </c>
      <c r="V120" s="43"/>
      <c r="W120" s="90"/>
      <c r="X120" s="90"/>
    </row>
    <row r="121" spans="1:24" s="47" customFormat="1" x14ac:dyDescent="0.2">
      <c r="A121" s="43" t="s">
        <v>143</v>
      </c>
      <c r="B121" s="84" t="s">
        <v>28</v>
      </c>
      <c r="C121" s="84" t="s">
        <v>203</v>
      </c>
      <c r="D121" s="85">
        <v>36465</v>
      </c>
      <c r="E121" s="85">
        <v>41394</v>
      </c>
      <c r="F121" s="43" t="s">
        <v>207</v>
      </c>
      <c r="G121" s="43" t="s">
        <v>0</v>
      </c>
      <c r="H121" s="84" t="s">
        <v>207</v>
      </c>
      <c r="I121" s="67">
        <v>0</v>
      </c>
      <c r="J121" s="86">
        <v>0</v>
      </c>
      <c r="K121" s="86">
        <v>2.2000000000000001E-3</v>
      </c>
      <c r="L121" s="86">
        <v>0</v>
      </c>
      <c r="M121" s="86">
        <v>0</v>
      </c>
      <c r="N121" s="87">
        <v>0</v>
      </c>
      <c r="O121" s="86">
        <f>SUM(I121:M121)</f>
        <v>2.2000000000000001E-3</v>
      </c>
      <c r="P121" s="88">
        <v>892102</v>
      </c>
      <c r="Q121" s="84">
        <v>170</v>
      </c>
      <c r="R121" s="43" t="s">
        <v>208</v>
      </c>
      <c r="S121" s="89">
        <f t="shared" si="15"/>
        <v>0</v>
      </c>
      <c r="T121" s="89"/>
      <c r="U121" s="83">
        <v>143323</v>
      </c>
      <c r="V121" s="43"/>
      <c r="W121" s="90"/>
      <c r="X121" s="90"/>
    </row>
    <row r="122" spans="1:24" s="47" customFormat="1" x14ac:dyDescent="0.2">
      <c r="A122" s="43" t="s">
        <v>143</v>
      </c>
      <c r="B122" s="84" t="s">
        <v>28</v>
      </c>
      <c r="C122" s="84" t="s">
        <v>203</v>
      </c>
      <c r="D122" s="85">
        <v>36465</v>
      </c>
      <c r="E122" s="85">
        <v>41394</v>
      </c>
      <c r="F122" s="43" t="s">
        <v>207</v>
      </c>
      <c r="G122" s="43" t="s">
        <v>209</v>
      </c>
      <c r="H122" s="84" t="s">
        <v>207</v>
      </c>
      <c r="I122" s="67">
        <v>0</v>
      </c>
      <c r="J122" s="86">
        <v>0</v>
      </c>
      <c r="K122" s="86">
        <v>2.2000000000000001E-3</v>
      </c>
      <c r="L122" s="86">
        <v>0</v>
      </c>
      <c r="M122" s="86">
        <v>0</v>
      </c>
      <c r="N122" s="87">
        <v>0</v>
      </c>
      <c r="O122" s="86">
        <f t="shared" si="14"/>
        <v>2.2000000000000001E-3</v>
      </c>
      <c r="P122" s="88">
        <v>892102</v>
      </c>
      <c r="Q122" s="84">
        <v>12207</v>
      </c>
      <c r="R122" s="43" t="s">
        <v>208</v>
      </c>
      <c r="S122" s="89">
        <f t="shared" si="15"/>
        <v>0</v>
      </c>
      <c r="T122" s="89"/>
      <c r="U122" s="83">
        <v>143323</v>
      </c>
      <c r="V122" s="43"/>
      <c r="W122" s="90"/>
      <c r="X122" s="90"/>
    </row>
    <row r="123" spans="1:24" s="47" customFormat="1" x14ac:dyDescent="0.2">
      <c r="A123" s="43" t="s">
        <v>143</v>
      </c>
      <c r="B123" s="84" t="s">
        <v>28</v>
      </c>
      <c r="C123" s="84" t="s">
        <v>303</v>
      </c>
      <c r="D123" s="85">
        <v>36526</v>
      </c>
      <c r="E123" s="85">
        <v>36556</v>
      </c>
      <c r="F123" s="43" t="s">
        <v>24</v>
      </c>
      <c r="G123" s="43" t="s">
        <v>27</v>
      </c>
      <c r="H123" s="84" t="s">
        <v>26</v>
      </c>
      <c r="I123" s="67">
        <v>0</v>
      </c>
      <c r="J123" s="86">
        <v>0</v>
      </c>
      <c r="K123" s="86">
        <v>2.2000000000000001E-3</v>
      </c>
      <c r="L123" s="86">
        <v>0</v>
      </c>
      <c r="M123" s="86">
        <v>0</v>
      </c>
      <c r="N123" s="87">
        <v>0</v>
      </c>
      <c r="O123" s="86">
        <f>SUM(I123:M123)</f>
        <v>2.2000000000000001E-3</v>
      </c>
      <c r="P123" s="88">
        <v>892348</v>
      </c>
      <c r="Q123" s="84">
        <v>145</v>
      </c>
      <c r="R123" s="43"/>
      <c r="S123" s="89">
        <f t="shared" si="15"/>
        <v>0</v>
      </c>
      <c r="T123" s="89"/>
      <c r="U123" s="83">
        <v>145307</v>
      </c>
      <c r="V123" s="43"/>
      <c r="W123" s="90"/>
      <c r="X123" s="90"/>
    </row>
    <row r="124" spans="1:24" x14ac:dyDescent="0.2">
      <c r="A124" s="1"/>
      <c r="B124" s="3"/>
      <c r="C124" s="3"/>
      <c r="D124" s="4"/>
      <c r="E124" s="4"/>
      <c r="F124" s="1"/>
      <c r="G124" s="1"/>
      <c r="H124" s="3"/>
      <c r="I124" s="8"/>
      <c r="J124" s="5"/>
      <c r="K124" s="24"/>
      <c r="L124" s="5"/>
      <c r="M124" s="5"/>
      <c r="N124" s="48"/>
      <c r="O124" s="5"/>
      <c r="P124" s="25"/>
      <c r="Q124" s="2">
        <f>SUM(Q113:Q123)</f>
        <v>13045</v>
      </c>
      <c r="R124" s="3"/>
      <c r="S124" s="9"/>
      <c r="T124" s="9"/>
      <c r="U124" s="73"/>
      <c r="V124" s="1"/>
      <c r="W124" s="37"/>
      <c r="X124" s="37"/>
    </row>
    <row r="125" spans="1:24" x14ac:dyDescent="0.2">
      <c r="A125" s="17" t="s">
        <v>4</v>
      </c>
      <c r="B125" s="18" t="s">
        <v>5</v>
      </c>
      <c r="C125" s="18" t="s">
        <v>6</v>
      </c>
      <c r="D125" s="19" t="s">
        <v>7</v>
      </c>
      <c r="E125" s="19"/>
      <c r="F125" s="17" t="s">
        <v>8</v>
      </c>
      <c r="G125" s="17" t="s">
        <v>9</v>
      </c>
      <c r="H125" s="18" t="s">
        <v>86</v>
      </c>
      <c r="I125" s="20" t="s">
        <v>11</v>
      </c>
      <c r="J125" s="18" t="s">
        <v>12</v>
      </c>
      <c r="K125" s="18" t="s">
        <v>13</v>
      </c>
      <c r="L125" s="18" t="s">
        <v>14</v>
      </c>
      <c r="M125" s="18" t="s">
        <v>15</v>
      </c>
      <c r="N125" s="49" t="s">
        <v>16</v>
      </c>
      <c r="O125" s="18" t="s">
        <v>17</v>
      </c>
      <c r="P125" s="21" t="s">
        <v>18</v>
      </c>
      <c r="Q125" s="18" t="s">
        <v>19</v>
      </c>
      <c r="R125" s="17" t="s">
        <v>20</v>
      </c>
      <c r="S125" s="22" t="s">
        <v>81</v>
      </c>
      <c r="T125" s="22" t="s">
        <v>80</v>
      </c>
      <c r="U125" s="70" t="s">
        <v>37</v>
      </c>
      <c r="V125" s="99">
        <f>+V89</f>
        <v>0</v>
      </c>
      <c r="W125" s="37"/>
      <c r="X125" s="37"/>
    </row>
    <row r="126" spans="1:24" s="47" customFormat="1" x14ac:dyDescent="0.2">
      <c r="A126" s="43" t="s">
        <v>143</v>
      </c>
      <c r="B126" s="84" t="s">
        <v>210</v>
      </c>
      <c r="C126" s="84" t="s">
        <v>203</v>
      </c>
      <c r="D126" s="85">
        <v>35977</v>
      </c>
      <c r="E126" s="85">
        <v>38657</v>
      </c>
      <c r="F126" s="43" t="s">
        <v>217</v>
      </c>
      <c r="G126" s="43" t="s">
        <v>211</v>
      </c>
      <c r="H126" s="84" t="s">
        <v>212</v>
      </c>
      <c r="I126" s="67">
        <v>0</v>
      </c>
      <c r="J126" s="86">
        <v>0</v>
      </c>
      <c r="K126" s="86">
        <v>2.2000000000000001E-3</v>
      </c>
      <c r="L126" s="86">
        <v>0</v>
      </c>
      <c r="M126" s="86">
        <v>0</v>
      </c>
      <c r="N126" s="87">
        <v>0</v>
      </c>
      <c r="O126" s="86">
        <f t="shared" ref="O126:O132" si="16">SUM(I126:M126)</f>
        <v>2.2000000000000001E-3</v>
      </c>
      <c r="P126" s="88" t="s">
        <v>214</v>
      </c>
      <c r="Q126" s="84">
        <v>16</v>
      </c>
      <c r="R126" s="43"/>
      <c r="S126" s="89">
        <f t="shared" ref="S126:S131" si="17">I126*I$1*Q126</f>
        <v>0</v>
      </c>
      <c r="T126" s="89"/>
      <c r="U126" s="83">
        <v>143324</v>
      </c>
      <c r="V126" s="43"/>
      <c r="W126" s="90"/>
      <c r="X126" s="90"/>
    </row>
    <row r="127" spans="1:24" s="47" customFormat="1" x14ac:dyDescent="0.2">
      <c r="A127" s="43" t="s">
        <v>143</v>
      </c>
      <c r="B127" s="84" t="s">
        <v>210</v>
      </c>
      <c r="C127" s="84" t="s">
        <v>203</v>
      </c>
      <c r="D127" s="85">
        <v>35977</v>
      </c>
      <c r="E127" s="85">
        <v>38657</v>
      </c>
      <c r="F127" s="43" t="s">
        <v>218</v>
      </c>
      <c r="G127" s="43" t="s">
        <v>211</v>
      </c>
      <c r="H127" s="84" t="s">
        <v>212</v>
      </c>
      <c r="I127" s="67">
        <v>0</v>
      </c>
      <c r="J127" s="86">
        <v>0</v>
      </c>
      <c r="K127" s="86">
        <v>2.2000000000000001E-3</v>
      </c>
      <c r="L127" s="86">
        <v>0</v>
      </c>
      <c r="M127" s="86">
        <v>0</v>
      </c>
      <c r="N127" s="87">
        <v>0</v>
      </c>
      <c r="O127" s="86">
        <f t="shared" si="16"/>
        <v>2.2000000000000001E-3</v>
      </c>
      <c r="P127" s="88" t="s">
        <v>214</v>
      </c>
      <c r="Q127" s="84">
        <v>17</v>
      </c>
      <c r="R127" s="43"/>
      <c r="S127" s="89">
        <f t="shared" si="17"/>
        <v>0</v>
      </c>
      <c r="T127" s="89"/>
      <c r="U127" s="83">
        <v>143324</v>
      </c>
      <c r="V127" s="43"/>
      <c r="W127" s="90"/>
      <c r="X127" s="90"/>
    </row>
    <row r="128" spans="1:24" s="47" customFormat="1" x14ac:dyDescent="0.2">
      <c r="A128" s="43" t="s">
        <v>143</v>
      </c>
      <c r="B128" s="84" t="s">
        <v>210</v>
      </c>
      <c r="C128" s="84" t="s">
        <v>203</v>
      </c>
      <c r="D128" s="85">
        <v>36161</v>
      </c>
      <c r="E128" s="85">
        <v>38657</v>
      </c>
      <c r="F128" s="43" t="s">
        <v>217</v>
      </c>
      <c r="G128" s="43" t="s">
        <v>211</v>
      </c>
      <c r="H128" s="84" t="s">
        <v>213</v>
      </c>
      <c r="I128" s="67">
        <v>0</v>
      </c>
      <c r="J128" s="86">
        <v>0</v>
      </c>
      <c r="K128" s="86">
        <v>2.2000000000000001E-3</v>
      </c>
      <c r="L128" s="86">
        <v>0</v>
      </c>
      <c r="M128" s="86">
        <v>0</v>
      </c>
      <c r="N128" s="87">
        <v>0</v>
      </c>
      <c r="O128" s="86">
        <f t="shared" si="16"/>
        <v>2.2000000000000001E-3</v>
      </c>
      <c r="P128" s="88" t="s">
        <v>215</v>
      </c>
      <c r="Q128" s="84">
        <v>19</v>
      </c>
      <c r="R128" s="43"/>
      <c r="S128" s="89">
        <f t="shared" si="17"/>
        <v>0</v>
      </c>
      <c r="T128" s="89"/>
      <c r="U128" s="83">
        <v>143326</v>
      </c>
      <c r="V128" s="43"/>
      <c r="W128" s="90"/>
      <c r="X128" s="90"/>
    </row>
    <row r="129" spans="1:24" s="47" customFormat="1" x14ac:dyDescent="0.2">
      <c r="A129" s="43" t="s">
        <v>143</v>
      </c>
      <c r="B129" s="84" t="s">
        <v>210</v>
      </c>
      <c r="C129" s="84" t="s">
        <v>203</v>
      </c>
      <c r="D129" s="85">
        <v>36161</v>
      </c>
      <c r="E129" s="85">
        <v>38657</v>
      </c>
      <c r="F129" s="43" t="s">
        <v>218</v>
      </c>
      <c r="G129" s="43" t="s">
        <v>211</v>
      </c>
      <c r="H129" s="84" t="s">
        <v>213</v>
      </c>
      <c r="I129" s="67">
        <v>0</v>
      </c>
      <c r="J129" s="86">
        <v>0</v>
      </c>
      <c r="K129" s="86">
        <v>2.2000000000000001E-3</v>
      </c>
      <c r="L129" s="86">
        <v>0</v>
      </c>
      <c r="M129" s="86">
        <v>0</v>
      </c>
      <c r="N129" s="87">
        <v>0</v>
      </c>
      <c r="O129" s="86">
        <f t="shared" si="16"/>
        <v>2.2000000000000001E-3</v>
      </c>
      <c r="P129" s="88" t="s">
        <v>215</v>
      </c>
      <c r="Q129" s="84">
        <v>17</v>
      </c>
      <c r="R129" s="43"/>
      <c r="S129" s="89">
        <f t="shared" si="17"/>
        <v>0</v>
      </c>
      <c r="T129" s="89"/>
      <c r="U129" s="83">
        <v>143326</v>
      </c>
      <c r="V129" s="43"/>
      <c r="W129" s="90"/>
      <c r="X129" s="90"/>
    </row>
    <row r="130" spans="1:24" s="47" customFormat="1" x14ac:dyDescent="0.2">
      <c r="A130" s="43" t="s">
        <v>143</v>
      </c>
      <c r="B130" s="84" t="s">
        <v>210</v>
      </c>
      <c r="C130" s="84" t="s">
        <v>203</v>
      </c>
      <c r="D130" s="85">
        <v>36220</v>
      </c>
      <c r="E130" s="85">
        <v>38656</v>
      </c>
      <c r="F130" s="43" t="s">
        <v>217</v>
      </c>
      <c r="G130" s="43" t="s">
        <v>211</v>
      </c>
      <c r="H130" s="84" t="s">
        <v>213</v>
      </c>
      <c r="I130" s="67">
        <v>0</v>
      </c>
      <c r="J130" s="86">
        <v>0</v>
      </c>
      <c r="K130" s="86">
        <v>2.2000000000000001E-3</v>
      </c>
      <c r="L130" s="86">
        <v>0</v>
      </c>
      <c r="M130" s="86">
        <v>0</v>
      </c>
      <c r="N130" s="87">
        <v>0</v>
      </c>
      <c r="O130" s="86">
        <f t="shared" si="16"/>
        <v>2.2000000000000001E-3</v>
      </c>
      <c r="P130" s="88" t="s">
        <v>216</v>
      </c>
      <c r="Q130" s="84">
        <v>25</v>
      </c>
      <c r="R130" s="43"/>
      <c r="S130" s="89">
        <f t="shared" si="17"/>
        <v>0</v>
      </c>
      <c r="T130" s="89"/>
      <c r="U130" s="83">
        <v>143327</v>
      </c>
      <c r="V130" s="43"/>
      <c r="W130" s="90"/>
      <c r="X130" s="90"/>
    </row>
    <row r="131" spans="1:24" s="47" customFormat="1" x14ac:dyDescent="0.2">
      <c r="A131" s="43" t="s">
        <v>143</v>
      </c>
      <c r="B131" s="84" t="s">
        <v>210</v>
      </c>
      <c r="C131" s="84" t="s">
        <v>203</v>
      </c>
      <c r="D131" s="85">
        <v>36220</v>
      </c>
      <c r="E131" s="85">
        <v>38656</v>
      </c>
      <c r="F131" s="43" t="s">
        <v>218</v>
      </c>
      <c r="G131" s="43" t="s">
        <v>211</v>
      </c>
      <c r="H131" s="84" t="s">
        <v>213</v>
      </c>
      <c r="I131" s="67">
        <v>0</v>
      </c>
      <c r="J131" s="86">
        <v>0</v>
      </c>
      <c r="K131" s="86">
        <v>2.2000000000000001E-3</v>
      </c>
      <c r="L131" s="86">
        <v>0</v>
      </c>
      <c r="M131" s="86">
        <v>0</v>
      </c>
      <c r="N131" s="87">
        <v>0</v>
      </c>
      <c r="O131" s="86">
        <f t="shared" si="16"/>
        <v>2.2000000000000001E-3</v>
      </c>
      <c r="P131" s="88" t="s">
        <v>216</v>
      </c>
      <c r="Q131" s="84">
        <v>21</v>
      </c>
      <c r="R131" s="43"/>
      <c r="S131" s="89">
        <f t="shared" si="17"/>
        <v>0</v>
      </c>
      <c r="T131" s="89"/>
      <c r="U131" s="83">
        <v>143327</v>
      </c>
      <c r="V131" s="43"/>
      <c r="W131" s="90"/>
      <c r="X131" s="90"/>
    </row>
    <row r="132" spans="1:24" s="47" customFormat="1" x14ac:dyDescent="0.2">
      <c r="A132" s="43" t="s">
        <v>143</v>
      </c>
      <c r="B132" s="84" t="s">
        <v>210</v>
      </c>
      <c r="C132" s="84" t="s">
        <v>203</v>
      </c>
      <c r="D132" s="85">
        <v>36526</v>
      </c>
      <c r="E132" s="85">
        <v>36556</v>
      </c>
      <c r="F132" s="43" t="s">
        <v>218</v>
      </c>
      <c r="G132" s="43" t="s">
        <v>211</v>
      </c>
      <c r="H132" s="84" t="s">
        <v>213</v>
      </c>
      <c r="I132" s="105">
        <v>0.31380000000000002</v>
      </c>
      <c r="J132" s="105">
        <v>2.7900000000000001E-2</v>
      </c>
      <c r="K132" s="105">
        <v>2.2000000000000001E-3</v>
      </c>
      <c r="L132" s="105">
        <v>7.1999999999999998E-3</v>
      </c>
      <c r="M132" s="105">
        <v>0</v>
      </c>
      <c r="N132" s="87">
        <v>0</v>
      </c>
      <c r="O132" s="86">
        <f t="shared" si="16"/>
        <v>0.35109999999999997</v>
      </c>
      <c r="P132" s="88" t="s">
        <v>312</v>
      </c>
      <c r="Q132" s="106">
        <v>1405</v>
      </c>
      <c r="R132" s="2"/>
      <c r="S132" s="107" t="s">
        <v>3</v>
      </c>
      <c r="T132" s="108">
        <f>I132*$B$2*R132</f>
        <v>0</v>
      </c>
      <c r="U132" s="83">
        <v>145266</v>
      </c>
      <c r="V132" s="43"/>
      <c r="W132" s="90"/>
      <c r="X132" s="90"/>
    </row>
    <row r="133" spans="1:24" x14ac:dyDescent="0.2">
      <c r="A133" s="1"/>
      <c r="B133" s="3"/>
      <c r="C133" s="3"/>
      <c r="D133" s="4" t="s">
        <v>3</v>
      </c>
      <c r="E133" s="4"/>
      <c r="F133" s="1"/>
      <c r="G133" s="1"/>
      <c r="H133" s="3"/>
      <c r="I133" s="8"/>
      <c r="J133" s="5"/>
      <c r="K133" s="24"/>
      <c r="L133" s="5"/>
      <c r="M133" s="5"/>
      <c r="N133" s="48"/>
      <c r="O133" s="5"/>
      <c r="P133" s="62"/>
      <c r="Q133" s="63">
        <f>SUM(Q126:Q132)</f>
        <v>1520</v>
      </c>
      <c r="R133" s="41"/>
      <c r="S133" s="40"/>
      <c r="T133" s="40"/>
      <c r="U133" s="74"/>
      <c r="V133" s="100"/>
      <c r="W133" s="36"/>
      <c r="X133" s="36"/>
    </row>
    <row r="134" spans="1:24" x14ac:dyDescent="0.2">
      <c r="A134" s="17" t="s">
        <v>4</v>
      </c>
      <c r="B134" s="18" t="s">
        <v>5</v>
      </c>
      <c r="C134" s="18" t="s">
        <v>6</v>
      </c>
      <c r="D134" s="19" t="s">
        <v>7</v>
      </c>
      <c r="E134" s="19"/>
      <c r="F134" s="17" t="s">
        <v>8</v>
      </c>
      <c r="G134" s="17" t="s">
        <v>9</v>
      </c>
      <c r="H134" s="18" t="s">
        <v>86</v>
      </c>
      <c r="I134" s="20" t="s">
        <v>11</v>
      </c>
      <c r="J134" s="18" t="s">
        <v>12</v>
      </c>
      <c r="K134" s="18" t="s">
        <v>13</v>
      </c>
      <c r="L134" s="18" t="s">
        <v>14</v>
      </c>
      <c r="M134" s="18" t="s">
        <v>15</v>
      </c>
      <c r="N134" s="49" t="s">
        <v>16</v>
      </c>
      <c r="O134" s="18" t="s">
        <v>17</v>
      </c>
      <c r="P134" s="21" t="s">
        <v>18</v>
      </c>
      <c r="Q134" s="18" t="s">
        <v>19</v>
      </c>
      <c r="R134" s="17" t="s">
        <v>20</v>
      </c>
      <c r="S134" s="22" t="s">
        <v>81</v>
      </c>
      <c r="T134" s="22" t="s">
        <v>80</v>
      </c>
      <c r="U134" s="70" t="s">
        <v>37</v>
      </c>
      <c r="V134" s="99" t="e">
        <f>+#REF!</f>
        <v>#REF!</v>
      </c>
      <c r="W134" s="37"/>
      <c r="X134" s="37"/>
    </row>
    <row r="135" spans="1:24" s="47" customFormat="1" x14ac:dyDescent="0.2">
      <c r="A135" s="43" t="s">
        <v>143</v>
      </c>
      <c r="B135" s="84" t="s">
        <v>1</v>
      </c>
      <c r="C135" s="84" t="s">
        <v>219</v>
      </c>
      <c r="D135" s="85">
        <v>36526</v>
      </c>
      <c r="E135" s="85">
        <v>36556</v>
      </c>
      <c r="F135" s="43" t="s">
        <v>36</v>
      </c>
      <c r="G135" s="43" t="s">
        <v>219</v>
      </c>
      <c r="H135" s="84" t="s">
        <v>220</v>
      </c>
      <c r="I135" s="67">
        <v>0</v>
      </c>
      <c r="J135" s="86">
        <v>0</v>
      </c>
      <c r="K135" s="86">
        <v>2.2000000000000001E-3</v>
      </c>
      <c r="L135" s="86">
        <v>0</v>
      </c>
      <c r="M135" s="86">
        <v>0</v>
      </c>
      <c r="N135" s="87">
        <v>0</v>
      </c>
      <c r="O135" s="86">
        <f>SUM(I135:M135)</f>
        <v>2.2000000000000001E-3</v>
      </c>
      <c r="P135" s="102" t="s">
        <v>221</v>
      </c>
      <c r="Q135" s="84">
        <v>65</v>
      </c>
      <c r="R135" s="43" t="s">
        <v>222</v>
      </c>
      <c r="S135" s="89">
        <f t="shared" ref="S135:S156" si="18">I135*I$1*Q135</f>
        <v>0</v>
      </c>
      <c r="T135" s="89"/>
      <c r="U135" s="103" t="s">
        <v>267</v>
      </c>
      <c r="V135" s="43"/>
      <c r="W135" s="90"/>
      <c r="X135" s="90"/>
    </row>
    <row r="136" spans="1:24" s="47" customFormat="1" x14ac:dyDescent="0.2">
      <c r="A136" s="43" t="s">
        <v>143</v>
      </c>
      <c r="B136" s="84" t="s">
        <v>1</v>
      </c>
      <c r="C136" s="84" t="s">
        <v>219</v>
      </c>
      <c r="D136" s="85">
        <v>36526</v>
      </c>
      <c r="E136" s="85">
        <v>36556</v>
      </c>
      <c r="F136" s="43" t="s">
        <v>223</v>
      </c>
      <c r="G136" s="43" t="s">
        <v>219</v>
      </c>
      <c r="H136" s="84" t="s">
        <v>220</v>
      </c>
      <c r="I136" s="67">
        <v>0</v>
      </c>
      <c r="J136" s="86">
        <v>0</v>
      </c>
      <c r="K136" s="86">
        <v>2.2000000000000001E-3</v>
      </c>
      <c r="L136" s="86">
        <v>0</v>
      </c>
      <c r="M136" s="86">
        <v>0</v>
      </c>
      <c r="N136" s="87">
        <v>0</v>
      </c>
      <c r="O136" s="86">
        <f t="shared" ref="O136:O141" si="19">SUM(I136:M136)</f>
        <v>2.2000000000000001E-3</v>
      </c>
      <c r="P136" s="102" t="s">
        <v>221</v>
      </c>
      <c r="Q136" s="84">
        <v>95</v>
      </c>
      <c r="R136" s="43" t="s">
        <v>222</v>
      </c>
      <c r="S136" s="89">
        <f t="shared" si="18"/>
        <v>0</v>
      </c>
      <c r="T136" s="89"/>
      <c r="U136" s="103" t="s">
        <v>267</v>
      </c>
      <c r="V136" s="43"/>
      <c r="W136" s="90"/>
      <c r="X136" s="90"/>
    </row>
    <row r="137" spans="1:24" s="47" customFormat="1" x14ac:dyDescent="0.2">
      <c r="A137" s="43" t="s">
        <v>143</v>
      </c>
      <c r="B137" s="84" t="s">
        <v>1</v>
      </c>
      <c r="C137" s="84" t="s">
        <v>219</v>
      </c>
      <c r="D137" s="85">
        <v>36526</v>
      </c>
      <c r="E137" s="85">
        <v>36556</v>
      </c>
      <c r="F137" s="43" t="s">
        <v>224</v>
      </c>
      <c r="G137" s="43" t="s">
        <v>219</v>
      </c>
      <c r="H137" s="84" t="s">
        <v>220</v>
      </c>
      <c r="I137" s="67">
        <v>0</v>
      </c>
      <c r="J137" s="86">
        <v>0</v>
      </c>
      <c r="K137" s="86">
        <v>2.2000000000000001E-3</v>
      </c>
      <c r="L137" s="86">
        <v>0</v>
      </c>
      <c r="M137" s="86">
        <v>0</v>
      </c>
      <c r="N137" s="87">
        <v>0</v>
      </c>
      <c r="O137" s="86">
        <f t="shared" si="19"/>
        <v>2.2000000000000001E-3</v>
      </c>
      <c r="P137" s="102" t="s">
        <v>221</v>
      </c>
      <c r="Q137" s="84">
        <f>73+149</f>
        <v>222</v>
      </c>
      <c r="R137" s="43" t="s">
        <v>222</v>
      </c>
      <c r="S137" s="89">
        <f t="shared" si="18"/>
        <v>0</v>
      </c>
      <c r="T137" s="89"/>
      <c r="U137" s="103" t="s">
        <v>267</v>
      </c>
      <c r="V137" s="43"/>
      <c r="W137" s="90"/>
      <c r="X137" s="90"/>
    </row>
    <row r="138" spans="1:24" s="47" customFormat="1" x14ac:dyDescent="0.2">
      <c r="A138" s="43" t="s">
        <v>143</v>
      </c>
      <c r="B138" s="84" t="s">
        <v>1</v>
      </c>
      <c r="C138" s="84" t="s">
        <v>193</v>
      </c>
      <c r="D138" s="85">
        <v>36526</v>
      </c>
      <c r="E138" s="85">
        <v>36556</v>
      </c>
      <c r="F138" s="43" t="s">
        <v>36</v>
      </c>
      <c r="G138" s="95" t="s">
        <v>225</v>
      </c>
      <c r="H138" s="84" t="s">
        <v>220</v>
      </c>
      <c r="I138" s="67">
        <f t="shared" ref="I138:I146" si="20">7.5958/I$1</f>
        <v>0.2450258064516129</v>
      </c>
      <c r="J138" s="86">
        <v>0</v>
      </c>
      <c r="K138" s="86">
        <v>2.2000000000000001E-3</v>
      </c>
      <c r="L138" s="86">
        <v>0</v>
      </c>
      <c r="M138" s="86">
        <v>0</v>
      </c>
      <c r="N138" s="87">
        <v>0</v>
      </c>
      <c r="O138" s="86">
        <f>SUM(I138:M138)</f>
        <v>0.24722580645161291</v>
      </c>
      <c r="P138" s="102" t="s">
        <v>234</v>
      </c>
      <c r="Q138" s="84">
        <v>1174</v>
      </c>
      <c r="R138" s="43" t="s">
        <v>235</v>
      </c>
      <c r="S138" s="89">
        <f t="shared" si="18"/>
        <v>8917.4691999999995</v>
      </c>
      <c r="T138" s="89"/>
      <c r="U138" s="103" t="s">
        <v>268</v>
      </c>
      <c r="V138" s="43"/>
      <c r="W138" s="90"/>
      <c r="X138" s="90"/>
    </row>
    <row r="139" spans="1:24" s="47" customFormat="1" x14ac:dyDescent="0.2">
      <c r="A139" s="43" t="s">
        <v>143</v>
      </c>
      <c r="B139" s="84" t="s">
        <v>1</v>
      </c>
      <c r="C139" s="84" t="s">
        <v>193</v>
      </c>
      <c r="D139" s="85">
        <v>36526</v>
      </c>
      <c r="E139" s="85">
        <v>36556</v>
      </c>
      <c r="F139" s="43" t="s">
        <v>223</v>
      </c>
      <c r="G139" s="95" t="s">
        <v>225</v>
      </c>
      <c r="H139" s="84" t="s">
        <v>220</v>
      </c>
      <c r="I139" s="67">
        <f t="shared" si="20"/>
        <v>0.2450258064516129</v>
      </c>
      <c r="J139" s="86">
        <v>0</v>
      </c>
      <c r="K139" s="86">
        <v>2.2000000000000001E-3</v>
      </c>
      <c r="L139" s="86">
        <v>0</v>
      </c>
      <c r="M139" s="86">
        <v>0</v>
      </c>
      <c r="N139" s="87">
        <v>0</v>
      </c>
      <c r="O139" s="86">
        <f>SUM(I139:M139)</f>
        <v>0.24722580645161291</v>
      </c>
      <c r="P139" s="102" t="s">
        <v>234</v>
      </c>
      <c r="Q139" s="84">
        <v>1725</v>
      </c>
      <c r="R139" s="43" t="s">
        <v>235</v>
      </c>
      <c r="S139" s="89">
        <f t="shared" si="18"/>
        <v>13102.754999999999</v>
      </c>
      <c r="T139" s="89"/>
      <c r="U139" s="103" t="s">
        <v>268</v>
      </c>
      <c r="V139" s="43"/>
      <c r="W139" s="90"/>
      <c r="X139" s="90"/>
    </row>
    <row r="140" spans="1:24" s="47" customFormat="1" x14ac:dyDescent="0.2">
      <c r="A140" s="43" t="s">
        <v>143</v>
      </c>
      <c r="B140" s="84" t="s">
        <v>1</v>
      </c>
      <c r="C140" s="84" t="s">
        <v>193</v>
      </c>
      <c r="D140" s="85">
        <v>36526</v>
      </c>
      <c r="E140" s="85">
        <v>36556</v>
      </c>
      <c r="F140" s="43" t="s">
        <v>224</v>
      </c>
      <c r="G140" s="95" t="s">
        <v>225</v>
      </c>
      <c r="H140" s="84" t="s">
        <v>220</v>
      </c>
      <c r="I140" s="67">
        <f t="shared" si="20"/>
        <v>0.2450258064516129</v>
      </c>
      <c r="J140" s="86">
        <v>0</v>
      </c>
      <c r="K140" s="86">
        <v>2.2000000000000001E-3</v>
      </c>
      <c r="L140" s="86">
        <v>0</v>
      </c>
      <c r="M140" s="86">
        <v>0</v>
      </c>
      <c r="N140" s="87">
        <v>0</v>
      </c>
      <c r="O140" s="86">
        <f>SUM(I140:M140)</f>
        <v>0.24722580645161291</v>
      </c>
      <c r="P140" s="102" t="s">
        <v>234</v>
      </c>
      <c r="Q140" s="84">
        <f>1312+2693</f>
        <v>4005</v>
      </c>
      <c r="R140" s="43" t="s">
        <v>235</v>
      </c>
      <c r="S140" s="89">
        <f t="shared" si="18"/>
        <v>30421.179</v>
      </c>
      <c r="T140" s="89"/>
      <c r="U140" s="103" t="s">
        <v>268</v>
      </c>
      <c r="V140" s="43"/>
      <c r="W140" s="90"/>
      <c r="X140" s="90"/>
    </row>
    <row r="141" spans="1:24" s="47" customFormat="1" x14ac:dyDescent="0.2">
      <c r="A141" s="43" t="s">
        <v>143</v>
      </c>
      <c r="B141" s="84" t="s">
        <v>1</v>
      </c>
      <c r="C141" s="84" t="s">
        <v>193</v>
      </c>
      <c r="D141" s="85">
        <v>36526</v>
      </c>
      <c r="E141" s="85">
        <v>36556</v>
      </c>
      <c r="F141" s="43" t="s">
        <v>36</v>
      </c>
      <c r="G141" s="95" t="s">
        <v>225</v>
      </c>
      <c r="H141" s="84" t="s">
        <v>220</v>
      </c>
      <c r="I141" s="67">
        <f t="shared" si="20"/>
        <v>0.2450258064516129</v>
      </c>
      <c r="J141" s="86">
        <v>0</v>
      </c>
      <c r="K141" s="86">
        <v>2.2000000000000001E-3</v>
      </c>
      <c r="L141" s="86">
        <v>0</v>
      </c>
      <c r="M141" s="86">
        <v>0</v>
      </c>
      <c r="N141" s="87">
        <v>0</v>
      </c>
      <c r="O141" s="86">
        <f t="shared" si="19"/>
        <v>0.24722580645161291</v>
      </c>
      <c r="P141" s="102" t="s">
        <v>246</v>
      </c>
      <c r="Q141" s="84">
        <v>51</v>
      </c>
      <c r="R141" s="43" t="s">
        <v>226</v>
      </c>
      <c r="S141" s="89">
        <f t="shared" si="18"/>
        <v>387.38579999999996</v>
      </c>
      <c r="T141" s="89"/>
      <c r="U141" s="103" t="s">
        <v>269</v>
      </c>
      <c r="V141" s="43"/>
      <c r="W141" s="90"/>
      <c r="X141" s="90"/>
    </row>
    <row r="142" spans="1:24" s="47" customFormat="1" x14ac:dyDescent="0.2">
      <c r="A142" s="43" t="s">
        <v>143</v>
      </c>
      <c r="B142" s="84" t="s">
        <v>1</v>
      </c>
      <c r="C142" s="84" t="s">
        <v>193</v>
      </c>
      <c r="D142" s="85">
        <v>36526</v>
      </c>
      <c r="E142" s="85">
        <v>36556</v>
      </c>
      <c r="F142" s="43" t="s">
        <v>223</v>
      </c>
      <c r="G142" s="95" t="s">
        <v>225</v>
      </c>
      <c r="H142" s="84" t="s">
        <v>220</v>
      </c>
      <c r="I142" s="67">
        <f t="shared" si="20"/>
        <v>0.2450258064516129</v>
      </c>
      <c r="J142" s="86">
        <v>0</v>
      </c>
      <c r="K142" s="86">
        <v>2.2000000000000001E-3</v>
      </c>
      <c r="L142" s="86">
        <v>0</v>
      </c>
      <c r="M142" s="86">
        <v>0</v>
      </c>
      <c r="N142" s="87">
        <v>0</v>
      </c>
      <c r="O142" s="86">
        <f t="shared" ref="O142:O156" si="21">SUM(I142:M142)</f>
        <v>0.24722580645161291</v>
      </c>
      <c r="P142" s="102" t="s">
        <v>246</v>
      </c>
      <c r="Q142" s="84">
        <v>74</v>
      </c>
      <c r="R142" s="43" t="s">
        <v>226</v>
      </c>
      <c r="S142" s="89">
        <f t="shared" si="18"/>
        <v>562.08920000000001</v>
      </c>
      <c r="T142" s="89"/>
      <c r="U142" s="103" t="s">
        <v>269</v>
      </c>
      <c r="V142" s="43"/>
      <c r="W142" s="90"/>
      <c r="X142" s="90"/>
    </row>
    <row r="143" spans="1:24" s="47" customFormat="1" x14ac:dyDescent="0.2">
      <c r="A143" s="43" t="s">
        <v>143</v>
      </c>
      <c r="B143" s="84" t="s">
        <v>1</v>
      </c>
      <c r="C143" s="84" t="s">
        <v>193</v>
      </c>
      <c r="D143" s="85">
        <v>36526</v>
      </c>
      <c r="E143" s="85">
        <v>36556</v>
      </c>
      <c r="F143" s="43" t="s">
        <v>224</v>
      </c>
      <c r="G143" s="95" t="s">
        <v>225</v>
      </c>
      <c r="H143" s="84" t="s">
        <v>220</v>
      </c>
      <c r="I143" s="67">
        <f t="shared" si="20"/>
        <v>0.2450258064516129</v>
      </c>
      <c r="J143" s="86">
        <v>0</v>
      </c>
      <c r="K143" s="86">
        <v>2.2000000000000001E-3</v>
      </c>
      <c r="L143" s="86">
        <v>0</v>
      </c>
      <c r="M143" s="86">
        <v>0</v>
      </c>
      <c r="N143" s="87">
        <v>0</v>
      </c>
      <c r="O143" s="86">
        <f t="shared" si="21"/>
        <v>0.24722580645161291</v>
      </c>
      <c r="P143" s="102" t="s">
        <v>246</v>
      </c>
      <c r="Q143" s="84">
        <f>57+116</f>
        <v>173</v>
      </c>
      <c r="R143" s="43" t="s">
        <v>226</v>
      </c>
      <c r="S143" s="89">
        <f t="shared" si="18"/>
        <v>1314.0734</v>
      </c>
      <c r="T143" s="89"/>
      <c r="U143" s="103" t="s">
        <v>269</v>
      </c>
      <c r="V143" s="43"/>
      <c r="W143" s="90"/>
      <c r="X143" s="90"/>
    </row>
    <row r="144" spans="1:24" s="47" customFormat="1" x14ac:dyDescent="0.2">
      <c r="A144" s="43" t="s">
        <v>143</v>
      </c>
      <c r="B144" s="84" t="s">
        <v>1</v>
      </c>
      <c r="C144" s="84" t="s">
        <v>193</v>
      </c>
      <c r="D144" s="85">
        <v>36526</v>
      </c>
      <c r="E144" s="85">
        <v>36556</v>
      </c>
      <c r="F144" s="43" t="s">
        <v>36</v>
      </c>
      <c r="G144" s="95" t="s">
        <v>225</v>
      </c>
      <c r="H144" s="84" t="s">
        <v>220</v>
      </c>
      <c r="I144" s="67">
        <f t="shared" si="20"/>
        <v>0.2450258064516129</v>
      </c>
      <c r="J144" s="86">
        <v>0</v>
      </c>
      <c r="K144" s="86">
        <v>2.2000000000000001E-3</v>
      </c>
      <c r="L144" s="86">
        <v>0</v>
      </c>
      <c r="M144" s="86">
        <v>0</v>
      </c>
      <c r="N144" s="87">
        <v>0</v>
      </c>
      <c r="O144" s="86">
        <f t="shared" si="21"/>
        <v>0.24722580645161291</v>
      </c>
      <c r="P144" s="102" t="s">
        <v>227</v>
      </c>
      <c r="Q144" s="84">
        <v>70</v>
      </c>
      <c r="R144" s="43" t="s">
        <v>228</v>
      </c>
      <c r="S144" s="89">
        <f t="shared" si="18"/>
        <v>531.70600000000002</v>
      </c>
      <c r="T144" s="89"/>
      <c r="U144" s="103" t="s">
        <v>270</v>
      </c>
      <c r="V144" s="43"/>
      <c r="W144" s="90"/>
      <c r="X144" s="90"/>
    </row>
    <row r="145" spans="1:24" s="47" customFormat="1" x14ac:dyDescent="0.2">
      <c r="A145" s="43" t="s">
        <v>143</v>
      </c>
      <c r="B145" s="84" t="s">
        <v>1</v>
      </c>
      <c r="C145" s="84" t="s">
        <v>193</v>
      </c>
      <c r="D145" s="85">
        <v>36526</v>
      </c>
      <c r="E145" s="85">
        <v>36556</v>
      </c>
      <c r="F145" s="43" t="s">
        <v>223</v>
      </c>
      <c r="G145" s="95" t="s">
        <v>225</v>
      </c>
      <c r="H145" s="84" t="s">
        <v>220</v>
      </c>
      <c r="I145" s="67">
        <f t="shared" si="20"/>
        <v>0.2450258064516129</v>
      </c>
      <c r="J145" s="86">
        <v>0</v>
      </c>
      <c r="K145" s="86">
        <v>2.2000000000000001E-3</v>
      </c>
      <c r="L145" s="86">
        <v>0</v>
      </c>
      <c r="M145" s="86">
        <v>0</v>
      </c>
      <c r="N145" s="87">
        <v>0</v>
      </c>
      <c r="O145" s="86">
        <f t="shared" si="21"/>
        <v>0.24722580645161291</v>
      </c>
      <c r="P145" s="102" t="s">
        <v>227</v>
      </c>
      <c r="Q145" s="84">
        <v>103</v>
      </c>
      <c r="R145" s="43" t="s">
        <v>228</v>
      </c>
      <c r="S145" s="89">
        <f t="shared" si="18"/>
        <v>782.36739999999998</v>
      </c>
      <c r="T145" s="89"/>
      <c r="U145" s="103" t="s">
        <v>270</v>
      </c>
      <c r="V145" s="43"/>
      <c r="W145" s="90"/>
      <c r="X145" s="90"/>
    </row>
    <row r="146" spans="1:24" s="47" customFormat="1" x14ac:dyDescent="0.2">
      <c r="A146" s="43" t="s">
        <v>143</v>
      </c>
      <c r="B146" s="84" t="s">
        <v>1</v>
      </c>
      <c r="C146" s="84" t="s">
        <v>193</v>
      </c>
      <c r="D146" s="85">
        <v>36526</v>
      </c>
      <c r="E146" s="85">
        <v>36556</v>
      </c>
      <c r="F146" s="43" t="s">
        <v>224</v>
      </c>
      <c r="G146" s="95" t="s">
        <v>225</v>
      </c>
      <c r="H146" s="84" t="s">
        <v>220</v>
      </c>
      <c r="I146" s="67">
        <f t="shared" si="20"/>
        <v>0.2450258064516129</v>
      </c>
      <c r="J146" s="86">
        <v>0</v>
      </c>
      <c r="K146" s="86">
        <v>2.2000000000000001E-3</v>
      </c>
      <c r="L146" s="86">
        <v>0</v>
      </c>
      <c r="M146" s="86">
        <v>0</v>
      </c>
      <c r="N146" s="87">
        <v>0</v>
      </c>
      <c r="O146" s="86">
        <f t="shared" si="21"/>
        <v>0.24722580645161291</v>
      </c>
      <c r="P146" s="102" t="s">
        <v>227</v>
      </c>
      <c r="Q146" s="84">
        <f>78+160</f>
        <v>238</v>
      </c>
      <c r="R146" s="43" t="s">
        <v>228</v>
      </c>
      <c r="S146" s="89">
        <f t="shared" si="18"/>
        <v>1807.8003999999999</v>
      </c>
      <c r="T146" s="89"/>
      <c r="U146" s="103" t="s">
        <v>270</v>
      </c>
      <c r="V146" s="43"/>
      <c r="W146" s="90"/>
      <c r="X146" s="90"/>
    </row>
    <row r="147" spans="1:24" s="47" customFormat="1" x14ac:dyDescent="0.2">
      <c r="A147" s="43" t="s">
        <v>143</v>
      </c>
      <c r="B147" s="84" t="s">
        <v>1</v>
      </c>
      <c r="C147" s="84" t="s">
        <v>193</v>
      </c>
      <c r="D147" s="85">
        <v>36526</v>
      </c>
      <c r="E147" s="85">
        <v>36556</v>
      </c>
      <c r="F147" s="43" t="s">
        <v>229</v>
      </c>
      <c r="G147" s="95" t="s">
        <v>225</v>
      </c>
      <c r="H147" s="84" t="s">
        <v>232</v>
      </c>
      <c r="I147" s="67">
        <f>15.0624/I$1</f>
        <v>0.48588387096774194</v>
      </c>
      <c r="J147" s="86">
        <v>0</v>
      </c>
      <c r="K147" s="86">
        <v>2.2000000000000001E-3</v>
      </c>
      <c r="L147" s="86">
        <v>0</v>
      </c>
      <c r="M147" s="86">
        <v>0</v>
      </c>
      <c r="N147" s="87">
        <v>0</v>
      </c>
      <c r="O147" s="86">
        <f t="shared" si="21"/>
        <v>0.48808387096774192</v>
      </c>
      <c r="P147" s="102" t="s">
        <v>230</v>
      </c>
      <c r="Q147" s="84">
        <v>993</v>
      </c>
      <c r="R147" s="43" t="s">
        <v>271</v>
      </c>
      <c r="S147" s="89">
        <f t="shared" si="18"/>
        <v>14956.9632</v>
      </c>
      <c r="T147" s="89"/>
      <c r="U147" s="103" t="s">
        <v>272</v>
      </c>
      <c r="V147" s="43"/>
      <c r="W147" s="90"/>
      <c r="X147" s="90"/>
    </row>
    <row r="148" spans="1:24" s="47" customFormat="1" x14ac:dyDescent="0.2">
      <c r="A148" s="43" t="s">
        <v>143</v>
      </c>
      <c r="B148" s="84" t="s">
        <v>1</v>
      </c>
      <c r="C148" s="84" t="s">
        <v>193</v>
      </c>
      <c r="D148" s="85">
        <v>36526</v>
      </c>
      <c r="E148" s="85">
        <v>36556</v>
      </c>
      <c r="F148" s="43" t="s">
        <v>229</v>
      </c>
      <c r="G148" s="95" t="s">
        <v>225</v>
      </c>
      <c r="H148" s="84" t="s">
        <v>231</v>
      </c>
      <c r="I148" s="67">
        <f>14.174/I$1</f>
        <v>0.45722580645161287</v>
      </c>
      <c r="J148" s="86">
        <v>0</v>
      </c>
      <c r="K148" s="86">
        <v>2.2000000000000001E-3</v>
      </c>
      <c r="L148" s="86">
        <v>0</v>
      </c>
      <c r="M148" s="86">
        <v>0</v>
      </c>
      <c r="N148" s="87">
        <v>0</v>
      </c>
      <c r="O148" s="86">
        <f>SUM(I148:M148)</f>
        <v>0.45942580645161285</v>
      </c>
      <c r="P148" s="102" t="s">
        <v>233</v>
      </c>
      <c r="Q148" s="84">
        <v>5438</v>
      </c>
      <c r="R148" s="43" t="s">
        <v>266</v>
      </c>
      <c r="S148" s="89">
        <f t="shared" si="18"/>
        <v>77078.212</v>
      </c>
      <c r="T148" s="89"/>
      <c r="U148" s="103" t="s">
        <v>273</v>
      </c>
      <c r="V148" s="43"/>
      <c r="W148" s="90"/>
      <c r="X148" s="90"/>
    </row>
    <row r="149" spans="1:24" s="47" customFormat="1" x14ac:dyDescent="0.2">
      <c r="A149" s="43" t="s">
        <v>143</v>
      </c>
      <c r="B149" s="84" t="s">
        <v>1</v>
      </c>
      <c r="C149" s="84" t="s">
        <v>193</v>
      </c>
      <c r="D149" s="85">
        <v>36526</v>
      </c>
      <c r="E149" s="85">
        <v>36556</v>
      </c>
      <c r="F149" s="43" t="s">
        <v>259</v>
      </c>
      <c r="G149" s="95"/>
      <c r="H149" s="84" t="s">
        <v>257</v>
      </c>
      <c r="I149" s="67">
        <v>7.9000000000000008E-3</v>
      </c>
      <c r="J149" s="86">
        <v>0</v>
      </c>
      <c r="K149" s="86">
        <v>2.2000000000000001E-3</v>
      </c>
      <c r="L149" s="86">
        <v>0</v>
      </c>
      <c r="M149" s="86">
        <v>0</v>
      </c>
      <c r="N149" s="87">
        <v>0</v>
      </c>
      <c r="O149" s="86">
        <f>SUM(I149:M149)</f>
        <v>1.0100000000000001E-2</v>
      </c>
      <c r="P149" s="102" t="s">
        <v>258</v>
      </c>
      <c r="Q149" s="84">
        <v>397258</v>
      </c>
      <c r="R149" s="43" t="s">
        <v>264</v>
      </c>
      <c r="S149" s="96">
        <f t="shared" si="18"/>
        <v>97288.484200000021</v>
      </c>
      <c r="T149" s="89"/>
      <c r="U149" s="103" t="s">
        <v>274</v>
      </c>
      <c r="V149" s="43"/>
      <c r="W149" s="90"/>
      <c r="X149" s="90"/>
    </row>
    <row r="150" spans="1:24" s="47" customFormat="1" x14ac:dyDescent="0.2">
      <c r="A150" s="43" t="s">
        <v>143</v>
      </c>
      <c r="B150" s="84" t="s">
        <v>1</v>
      </c>
      <c r="C150" s="84" t="s">
        <v>193</v>
      </c>
      <c r="D150" s="85">
        <v>36526</v>
      </c>
      <c r="E150" s="85">
        <v>36556</v>
      </c>
      <c r="F150" s="43" t="s">
        <v>256</v>
      </c>
      <c r="G150" s="95"/>
      <c r="H150" s="84" t="s">
        <v>257</v>
      </c>
      <c r="I150" s="67">
        <v>0.6673</v>
      </c>
      <c r="J150" s="86">
        <v>0</v>
      </c>
      <c r="K150" s="86">
        <v>2.2000000000000001E-3</v>
      </c>
      <c r="L150" s="86">
        <v>0</v>
      </c>
      <c r="M150" s="86">
        <v>0</v>
      </c>
      <c r="N150" s="87">
        <v>0</v>
      </c>
      <c r="O150" s="86">
        <f>SUM(I150:M150)</f>
        <v>0.66949999999999998</v>
      </c>
      <c r="P150" s="102" t="s">
        <v>258</v>
      </c>
      <c r="Q150" s="84">
        <v>4674</v>
      </c>
      <c r="R150" s="43" t="s">
        <v>264</v>
      </c>
      <c r="S150" s="96">
        <f t="shared" si="18"/>
        <v>96687.766199999998</v>
      </c>
      <c r="T150" s="89"/>
      <c r="U150" s="103" t="s">
        <v>274</v>
      </c>
      <c r="V150" s="43"/>
      <c r="W150" s="90"/>
      <c r="X150" s="90"/>
    </row>
    <row r="151" spans="1:24" s="47" customFormat="1" x14ac:dyDescent="0.2">
      <c r="A151" s="43" t="s">
        <v>143</v>
      </c>
      <c r="B151" s="84" t="s">
        <v>1</v>
      </c>
      <c r="C151" s="84" t="s">
        <v>193</v>
      </c>
      <c r="D151" s="85">
        <v>36526</v>
      </c>
      <c r="E151" s="85">
        <v>36556</v>
      </c>
      <c r="F151" s="43" t="s">
        <v>260</v>
      </c>
      <c r="G151" s="95"/>
      <c r="H151" s="84" t="s">
        <v>262</v>
      </c>
      <c r="I151" s="67">
        <v>4.8099999999999997E-2</v>
      </c>
      <c r="J151" s="86">
        <v>0</v>
      </c>
      <c r="K151" s="86">
        <v>2.2000000000000001E-3</v>
      </c>
      <c r="L151" s="86">
        <v>0</v>
      </c>
      <c r="M151" s="86">
        <v>0</v>
      </c>
      <c r="N151" s="87">
        <v>0</v>
      </c>
      <c r="O151" s="86">
        <f>SUM(I151:M151)</f>
        <v>5.0299999999999997E-2</v>
      </c>
      <c r="P151" s="102" t="s">
        <v>263</v>
      </c>
      <c r="Q151" s="84">
        <v>7503</v>
      </c>
      <c r="R151" s="43" t="s">
        <v>265</v>
      </c>
      <c r="S151" s="96">
        <f t="shared" si="18"/>
        <v>11187.7233</v>
      </c>
      <c r="T151" s="89"/>
      <c r="U151" s="103" t="s">
        <v>275</v>
      </c>
      <c r="V151" s="43"/>
      <c r="W151" s="90"/>
      <c r="X151" s="90"/>
    </row>
    <row r="152" spans="1:24" s="47" customFormat="1" x14ac:dyDescent="0.2">
      <c r="A152" s="43" t="s">
        <v>143</v>
      </c>
      <c r="B152" s="84" t="s">
        <v>1</v>
      </c>
      <c r="C152" s="84" t="s">
        <v>193</v>
      </c>
      <c r="D152" s="85">
        <v>36526</v>
      </c>
      <c r="E152" s="85">
        <v>36556</v>
      </c>
      <c r="F152" s="43" t="s">
        <v>261</v>
      </c>
      <c r="G152" s="95"/>
      <c r="H152" s="84" t="s">
        <v>262</v>
      </c>
      <c r="I152" s="67">
        <v>0.48399999999999999</v>
      </c>
      <c r="J152" s="86">
        <v>0</v>
      </c>
      <c r="K152" s="86">
        <v>2.2000000000000001E-3</v>
      </c>
      <c r="L152" s="86">
        <v>0</v>
      </c>
      <c r="M152" s="86">
        <v>0</v>
      </c>
      <c r="N152" s="87">
        <v>0</v>
      </c>
      <c r="O152" s="86">
        <f t="shared" si="21"/>
        <v>0.48619999999999997</v>
      </c>
      <c r="P152" s="102" t="s">
        <v>263</v>
      </c>
      <c r="Q152" s="84">
        <v>746</v>
      </c>
      <c r="R152" s="43" t="s">
        <v>265</v>
      </c>
      <c r="S152" s="96">
        <f t="shared" si="18"/>
        <v>11192.984</v>
      </c>
      <c r="T152" s="89"/>
      <c r="U152" s="103" t="s">
        <v>275</v>
      </c>
      <c r="V152" s="43"/>
      <c r="W152" s="90"/>
      <c r="X152" s="90"/>
    </row>
    <row r="153" spans="1:24" s="47" customFormat="1" x14ac:dyDescent="0.2">
      <c r="A153" s="43" t="s">
        <v>143</v>
      </c>
      <c r="B153" s="84" t="s">
        <v>1</v>
      </c>
      <c r="C153" s="84" t="s">
        <v>203</v>
      </c>
      <c r="D153" s="85">
        <v>35977</v>
      </c>
      <c r="E153" s="85">
        <v>39599</v>
      </c>
      <c r="F153" s="43" t="s">
        <v>247</v>
      </c>
      <c r="G153" s="43" t="s">
        <v>248</v>
      </c>
      <c r="H153" s="84" t="s">
        <v>250</v>
      </c>
      <c r="I153" s="67">
        <f>4.7713/I$1</f>
        <v>0.15391290322580645</v>
      </c>
      <c r="J153" s="86">
        <v>0</v>
      </c>
      <c r="K153" s="86">
        <v>2.2000000000000001E-3</v>
      </c>
      <c r="L153" s="86">
        <v>0</v>
      </c>
      <c r="M153" s="86">
        <v>0</v>
      </c>
      <c r="N153" s="87">
        <v>0</v>
      </c>
      <c r="O153" s="86">
        <f>SUM(I153:M153)</f>
        <v>0.15611290322580645</v>
      </c>
      <c r="P153" s="102" t="s">
        <v>249</v>
      </c>
      <c r="Q153" s="84">
        <v>15</v>
      </c>
      <c r="R153" s="43" t="s">
        <v>251</v>
      </c>
      <c r="S153" s="89">
        <f t="shared" si="18"/>
        <v>71.569500000000005</v>
      </c>
      <c r="T153" s="89"/>
      <c r="U153" s="103" t="s">
        <v>276</v>
      </c>
      <c r="V153" s="43"/>
      <c r="W153" s="90"/>
      <c r="X153" s="90"/>
    </row>
    <row r="154" spans="1:24" s="47" customFormat="1" x14ac:dyDescent="0.2">
      <c r="A154" s="43" t="s">
        <v>143</v>
      </c>
      <c r="B154" s="84" t="s">
        <v>1</v>
      </c>
      <c r="C154" s="84" t="s">
        <v>203</v>
      </c>
      <c r="D154" s="85">
        <v>36130</v>
      </c>
      <c r="E154" s="85">
        <v>39599</v>
      </c>
      <c r="F154" s="43" t="s">
        <v>247</v>
      </c>
      <c r="G154" s="43" t="s">
        <v>248</v>
      </c>
      <c r="H154" s="84" t="s">
        <v>250</v>
      </c>
      <c r="I154" s="67">
        <f>4.7713/I$1</f>
        <v>0.15391290322580645</v>
      </c>
      <c r="J154" s="86">
        <v>0</v>
      </c>
      <c r="K154" s="86">
        <v>2.2000000000000001E-3</v>
      </c>
      <c r="L154" s="86">
        <v>0</v>
      </c>
      <c r="M154" s="86">
        <v>0</v>
      </c>
      <c r="N154" s="87">
        <v>0</v>
      </c>
      <c r="O154" s="86">
        <f>SUM(I154:M154)</f>
        <v>0.15611290322580645</v>
      </c>
      <c r="P154" s="102" t="s">
        <v>252</v>
      </c>
      <c r="Q154" s="84">
        <v>2</v>
      </c>
      <c r="R154" s="43" t="s">
        <v>253</v>
      </c>
      <c r="S154" s="89">
        <f t="shared" si="18"/>
        <v>9.5426000000000002</v>
      </c>
      <c r="T154" s="89"/>
      <c r="U154" s="103" t="s">
        <v>277</v>
      </c>
      <c r="V154" s="43"/>
      <c r="W154" s="90"/>
      <c r="X154" s="90"/>
    </row>
    <row r="155" spans="1:24" s="47" customFormat="1" x14ac:dyDescent="0.2">
      <c r="A155" s="43" t="s">
        <v>143</v>
      </c>
      <c r="B155" s="84" t="s">
        <v>1</v>
      </c>
      <c r="C155" s="84" t="s">
        <v>203</v>
      </c>
      <c r="D155" s="85">
        <v>36220</v>
      </c>
      <c r="E155" s="85">
        <v>39599</v>
      </c>
      <c r="F155" s="43" t="s">
        <v>247</v>
      </c>
      <c r="G155" s="43" t="s">
        <v>248</v>
      </c>
      <c r="H155" s="84" t="s">
        <v>250</v>
      </c>
      <c r="I155" s="67">
        <f>4.7713/I$1</f>
        <v>0.15391290322580645</v>
      </c>
      <c r="J155" s="86">
        <v>0</v>
      </c>
      <c r="K155" s="86">
        <v>2.2000000000000001E-3</v>
      </c>
      <c r="L155" s="86">
        <v>0</v>
      </c>
      <c r="M155" s="86">
        <v>0</v>
      </c>
      <c r="N155" s="87">
        <v>0</v>
      </c>
      <c r="O155" s="86">
        <f>SUM(I155:M155)</f>
        <v>0.15611290322580645</v>
      </c>
      <c r="P155" s="102" t="s">
        <v>255</v>
      </c>
      <c r="Q155" s="84">
        <v>5</v>
      </c>
      <c r="R155" s="43" t="s">
        <v>254</v>
      </c>
      <c r="S155" s="89">
        <f t="shared" si="18"/>
        <v>23.8565</v>
      </c>
      <c r="T155" s="89"/>
      <c r="U155" s="103" t="s">
        <v>278</v>
      </c>
      <c r="V155" s="43"/>
      <c r="W155" s="90"/>
      <c r="X155" s="90"/>
    </row>
    <row r="156" spans="1:24" s="47" customFormat="1" x14ac:dyDescent="0.2">
      <c r="A156" s="43" t="s">
        <v>143</v>
      </c>
      <c r="B156" s="84" t="s">
        <v>1</v>
      </c>
      <c r="C156" s="84" t="s">
        <v>240</v>
      </c>
      <c r="D156" s="85">
        <v>36526</v>
      </c>
      <c r="E156" s="85">
        <v>36556</v>
      </c>
      <c r="F156" s="43" t="s">
        <v>229</v>
      </c>
      <c r="G156" s="95" t="s">
        <v>241</v>
      </c>
      <c r="H156" s="84" t="s">
        <v>242</v>
      </c>
      <c r="I156" s="67">
        <v>0.4955</v>
      </c>
      <c r="J156" s="86">
        <v>0</v>
      </c>
      <c r="K156" s="86">
        <v>2.2000000000000001E-3</v>
      </c>
      <c r="L156" s="86">
        <v>0</v>
      </c>
      <c r="M156" s="86">
        <v>0</v>
      </c>
      <c r="N156" s="87">
        <v>0</v>
      </c>
      <c r="O156" s="86">
        <f t="shared" si="21"/>
        <v>0.49769999999999998</v>
      </c>
      <c r="P156" s="102" t="s">
        <v>284</v>
      </c>
      <c r="Q156" s="84">
        <v>190</v>
      </c>
      <c r="R156" s="43" t="s">
        <v>243</v>
      </c>
      <c r="S156" s="89">
        <f t="shared" si="18"/>
        <v>2918.4949999999999</v>
      </c>
      <c r="T156" s="89"/>
      <c r="U156" s="90">
        <v>144552</v>
      </c>
      <c r="V156" s="43"/>
      <c r="W156" s="90"/>
      <c r="X156" s="90"/>
    </row>
    <row r="157" spans="1:24" x14ac:dyDescent="0.2">
      <c r="A157" s="28"/>
      <c r="B157" s="3"/>
      <c r="C157" s="3"/>
      <c r="D157" s="4"/>
      <c r="E157" s="4"/>
      <c r="F157" s="1"/>
      <c r="G157" s="1"/>
      <c r="H157" s="3"/>
      <c r="I157" s="8"/>
      <c r="J157" s="5"/>
      <c r="K157" s="5"/>
      <c r="L157" s="5"/>
      <c r="M157" s="5"/>
      <c r="N157" s="48"/>
      <c r="O157" s="5"/>
      <c r="P157" s="62"/>
      <c r="Q157" s="63"/>
      <c r="R157" s="41"/>
      <c r="S157" s="29"/>
      <c r="T157" s="29"/>
      <c r="U157" s="68"/>
      <c r="V157" s="97"/>
      <c r="W157" s="36"/>
      <c r="X157" s="36"/>
    </row>
    <row r="158" spans="1:24" x14ac:dyDescent="0.2">
      <c r="A158" s="28"/>
      <c r="B158" s="3"/>
      <c r="C158" s="3"/>
      <c r="D158" s="4"/>
      <c r="E158" s="4"/>
      <c r="F158" s="1"/>
      <c r="G158" s="1"/>
      <c r="H158" s="3"/>
      <c r="I158" s="5"/>
      <c r="J158" s="5"/>
      <c r="K158" s="5"/>
      <c r="L158" s="5"/>
      <c r="M158" s="5"/>
      <c r="N158" s="48"/>
      <c r="O158" s="5"/>
      <c r="P158" s="62"/>
      <c r="Q158" s="63"/>
      <c r="R158" s="29"/>
      <c r="S158" s="29"/>
      <c r="T158" s="29"/>
      <c r="U158" s="68"/>
      <c r="V158" s="97"/>
      <c r="W158" s="36"/>
      <c r="X158" s="36"/>
    </row>
    <row r="159" spans="1:24" x14ac:dyDescent="0.2">
      <c r="A159" s="28"/>
      <c r="B159" s="3"/>
      <c r="C159" s="3"/>
      <c r="D159" s="4"/>
      <c r="E159" s="4"/>
      <c r="F159" s="1"/>
      <c r="G159" s="1"/>
      <c r="H159" s="3"/>
      <c r="I159" s="8"/>
      <c r="J159" s="5"/>
      <c r="K159" s="5"/>
      <c r="L159" s="5"/>
      <c r="M159" s="5"/>
      <c r="N159" s="48"/>
      <c r="O159" s="5"/>
      <c r="P159" s="62"/>
      <c r="Q159" s="63"/>
      <c r="R159" s="29"/>
      <c r="S159" s="29"/>
      <c r="T159" s="29"/>
      <c r="U159" s="68"/>
      <c r="V159" s="97"/>
      <c r="W159" s="36"/>
      <c r="X159" s="36"/>
    </row>
    <row r="160" spans="1:24" x14ac:dyDescent="0.2">
      <c r="A160" s="28"/>
      <c r="B160" s="3"/>
      <c r="C160" s="3"/>
      <c r="D160" s="4"/>
      <c r="E160" s="4"/>
      <c r="F160" s="1"/>
      <c r="G160" s="1"/>
      <c r="H160" s="3"/>
      <c r="I160" s="5"/>
      <c r="J160" s="5"/>
      <c r="K160" s="5"/>
      <c r="L160" s="5"/>
      <c r="M160" s="5"/>
      <c r="N160" s="48"/>
      <c r="O160" s="5"/>
      <c r="P160" s="62"/>
      <c r="Q160" s="63"/>
      <c r="R160" s="29"/>
      <c r="S160" s="29"/>
      <c r="T160" s="29"/>
      <c r="U160" s="68"/>
      <c r="V160" s="97"/>
      <c r="W160" s="36"/>
      <c r="X160" s="36"/>
    </row>
    <row r="161" spans="1:24" x14ac:dyDescent="0.2">
      <c r="A161" s="28"/>
      <c r="B161" s="3"/>
      <c r="C161" s="3"/>
      <c r="D161" s="4"/>
      <c r="E161" s="4"/>
      <c r="F161" s="1"/>
      <c r="G161" s="1"/>
      <c r="H161" s="3"/>
      <c r="I161" s="8"/>
      <c r="J161" s="5"/>
      <c r="K161" s="5"/>
      <c r="L161" s="5"/>
      <c r="M161" s="5"/>
      <c r="N161" s="48"/>
      <c r="O161" s="5"/>
      <c r="P161" s="62"/>
      <c r="Q161" s="63"/>
      <c r="R161" s="29"/>
      <c r="S161" s="29"/>
      <c r="T161" s="29"/>
      <c r="U161" s="68"/>
      <c r="V161" s="97"/>
      <c r="W161" s="36"/>
      <c r="X161" s="36"/>
    </row>
    <row r="162" spans="1:24" x14ac:dyDescent="0.2">
      <c r="A162" s="28"/>
      <c r="B162" s="3"/>
      <c r="C162" s="3"/>
      <c r="D162" s="4"/>
      <c r="E162" s="4"/>
      <c r="F162" s="1"/>
      <c r="G162" s="1"/>
      <c r="H162" s="3"/>
      <c r="I162" s="5"/>
      <c r="J162" s="5"/>
      <c r="K162" s="5"/>
      <c r="L162" s="5"/>
      <c r="M162" s="5"/>
      <c r="N162" s="48"/>
      <c r="O162" s="5"/>
      <c r="P162" s="62"/>
      <c r="Q162" s="63"/>
      <c r="R162" s="29"/>
      <c r="S162" s="29"/>
      <c r="T162" s="29"/>
      <c r="U162" s="68"/>
      <c r="V162" s="97"/>
      <c r="W162" s="36"/>
      <c r="X162" s="36"/>
    </row>
    <row r="163" spans="1:24" x14ac:dyDescent="0.2">
      <c r="A163" s="28"/>
      <c r="B163" s="3"/>
      <c r="C163" s="3"/>
      <c r="D163" s="4"/>
      <c r="E163" s="4"/>
      <c r="F163" s="1"/>
      <c r="G163" s="1"/>
      <c r="H163" s="3"/>
      <c r="I163" s="5"/>
      <c r="J163" s="5"/>
      <c r="K163" s="5"/>
      <c r="L163" s="5"/>
      <c r="M163" s="5"/>
      <c r="N163" s="48"/>
      <c r="O163" s="5"/>
      <c r="P163" s="62"/>
      <c r="Q163" s="63"/>
      <c r="R163" s="29"/>
      <c r="S163" s="29"/>
      <c r="T163" s="29"/>
      <c r="U163" s="68"/>
      <c r="V163" s="97"/>
      <c r="W163" s="41"/>
      <c r="X163" s="36"/>
    </row>
    <row r="164" spans="1:24" x14ac:dyDescent="0.2">
      <c r="A164" s="28"/>
      <c r="B164" s="3"/>
      <c r="C164" s="3"/>
      <c r="D164" s="4"/>
      <c r="E164" s="4"/>
      <c r="F164" s="1"/>
      <c r="G164" s="1"/>
      <c r="H164" s="3"/>
      <c r="I164" s="5"/>
      <c r="J164" s="5"/>
      <c r="K164" s="5"/>
      <c r="L164" s="5"/>
      <c r="M164" s="5"/>
      <c r="N164" s="48"/>
      <c r="O164" s="5"/>
      <c r="P164" s="62"/>
      <c r="Q164" s="63"/>
      <c r="R164" s="29"/>
      <c r="S164" s="29"/>
      <c r="T164" s="29"/>
      <c r="U164" s="68"/>
      <c r="V164" s="97"/>
      <c r="W164" s="36"/>
      <c r="X164" s="36"/>
    </row>
    <row r="165" spans="1:24" x14ac:dyDescent="0.2">
      <c r="A165" s="28"/>
      <c r="B165" s="3"/>
      <c r="C165" s="3"/>
      <c r="D165" s="4"/>
      <c r="E165" s="4"/>
      <c r="F165" s="1"/>
      <c r="G165" s="1"/>
      <c r="H165" s="3"/>
      <c r="I165" s="5"/>
      <c r="J165" s="5"/>
      <c r="K165" s="5"/>
      <c r="L165" s="5"/>
      <c r="M165" s="5"/>
      <c r="N165" s="48"/>
      <c r="O165" s="5"/>
      <c r="P165" s="62"/>
      <c r="Q165" s="63"/>
      <c r="R165" s="29"/>
      <c r="S165" s="29"/>
      <c r="T165" s="29"/>
      <c r="U165" s="68"/>
      <c r="V165" s="97"/>
      <c r="W165" s="36"/>
      <c r="X165" s="36"/>
    </row>
    <row r="166" spans="1:24" x14ac:dyDescent="0.2">
      <c r="A166" s="28"/>
      <c r="B166" s="3"/>
      <c r="C166" s="3"/>
      <c r="D166" s="4"/>
      <c r="E166" s="4"/>
      <c r="F166" s="1"/>
      <c r="G166" s="1"/>
      <c r="H166" s="3"/>
      <c r="I166" s="8"/>
      <c r="J166" s="5"/>
      <c r="K166" s="5"/>
      <c r="L166" s="5"/>
      <c r="M166" s="5"/>
      <c r="N166" s="48"/>
      <c r="O166" s="5"/>
      <c r="P166" s="62"/>
      <c r="Q166" s="63"/>
      <c r="R166" s="41"/>
      <c r="S166" s="29"/>
      <c r="T166" s="29"/>
      <c r="U166" s="68"/>
      <c r="V166" s="97"/>
      <c r="W166" s="36"/>
      <c r="X166" s="36"/>
    </row>
    <row r="167" spans="1:24" x14ac:dyDescent="0.2">
      <c r="A167" s="28"/>
      <c r="B167" s="3"/>
      <c r="C167" s="3"/>
      <c r="D167" s="4"/>
      <c r="E167" s="4"/>
      <c r="F167" s="1"/>
      <c r="G167" s="1"/>
      <c r="H167" s="3"/>
      <c r="I167" s="8"/>
      <c r="J167" s="5"/>
      <c r="K167" s="5"/>
      <c r="L167" s="5"/>
      <c r="M167" s="5"/>
      <c r="N167" s="48"/>
      <c r="O167" s="5"/>
      <c r="P167" s="62"/>
      <c r="Q167" s="63"/>
      <c r="R167" s="41"/>
      <c r="S167" s="29"/>
      <c r="T167" s="29"/>
      <c r="U167" s="68"/>
      <c r="V167" s="97"/>
      <c r="W167" s="36"/>
      <c r="X167" s="36"/>
    </row>
    <row r="168" spans="1:24" x14ac:dyDescent="0.2">
      <c r="P168" s="35"/>
      <c r="Q168" s="35"/>
      <c r="R168" s="35"/>
      <c r="S168" s="35"/>
      <c r="T168" s="35"/>
      <c r="U168" s="64"/>
      <c r="V168" s="101"/>
      <c r="W168" s="64"/>
    </row>
    <row r="169" spans="1:24" x14ac:dyDescent="0.2">
      <c r="P169" s="35"/>
      <c r="Q169" s="35"/>
      <c r="R169" s="35"/>
      <c r="S169" s="35"/>
      <c r="T169" s="35"/>
      <c r="U169" s="64"/>
      <c r="V169" s="101"/>
      <c r="W169" s="64"/>
    </row>
  </sheetData>
  <pageMargins left="0.75" right="0.75" top="1" bottom="1" header="0.5" footer="0.5"/>
  <pageSetup paperSize="5" scale="59" fitToHeight="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6" workbookViewId="0">
      <selection activeCell="H21" sqref="H21"/>
    </sheetView>
  </sheetViews>
  <sheetFormatPr defaultRowHeight="12.75" x14ac:dyDescent="0.2"/>
  <cols>
    <col min="1" max="1" width="8.85546875" style="26" customWidth="1"/>
    <col min="2" max="2" width="9.140625" style="26"/>
    <col min="3" max="3" width="10.5703125" style="26" customWidth="1"/>
    <col min="4" max="4" width="8.7109375" style="26" customWidth="1"/>
    <col min="5" max="5" width="11" style="26" customWidth="1"/>
    <col min="6" max="6" width="12.42578125" style="28" customWidth="1"/>
    <col min="7" max="7" width="8" style="28" customWidth="1"/>
    <col min="8" max="8" width="6.42578125" style="26" customWidth="1"/>
    <col min="9" max="9" width="8.85546875" style="26" hidden="1" customWidth="1"/>
    <col min="10" max="13" width="0" style="26" hidden="1" customWidth="1"/>
    <col min="14" max="14" width="0" style="52" hidden="1" customWidth="1"/>
    <col min="15" max="15" width="0" style="26" hidden="1" customWidth="1"/>
    <col min="16" max="16" width="12.28515625" style="39" customWidth="1"/>
    <col min="17" max="17" width="9.140625" style="26"/>
    <col min="18" max="18" width="13.7109375" style="26" customWidth="1"/>
    <col min="19" max="20" width="9.140625" style="26"/>
    <col min="21" max="21" width="13.5703125" style="39" customWidth="1"/>
    <col min="22" max="22" width="42.28515625" style="26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83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37"/>
      <c r="Q1" s="2"/>
      <c r="R1" s="29"/>
      <c r="S1" s="29"/>
      <c r="T1" s="29"/>
      <c r="U1" s="68"/>
      <c r="V1" s="29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37"/>
      <c r="Q2" s="2"/>
      <c r="R2" s="29"/>
      <c r="S2" s="29"/>
      <c r="T2" s="29"/>
      <c r="U2" s="68"/>
      <c r="V2" s="29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37"/>
      <c r="Q3" s="2"/>
      <c r="R3" s="29"/>
      <c r="S3" s="29"/>
      <c r="T3" s="29"/>
      <c r="U3" s="68"/>
      <c r="V3" s="29"/>
      <c r="W3" s="36"/>
      <c r="X3" s="36"/>
    </row>
    <row r="4" spans="1:24" x14ac:dyDescent="0.2">
      <c r="A4" s="45" t="s">
        <v>50</v>
      </c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37"/>
      <c r="Q4" s="2"/>
      <c r="R4" s="29"/>
      <c r="S4" s="34"/>
      <c r="T4" s="34"/>
      <c r="U4" s="69"/>
      <c r="V4" s="29"/>
      <c r="W4" s="36"/>
      <c r="X4" s="36"/>
    </row>
    <row r="5" spans="1:24" x14ac:dyDescent="0.2">
      <c r="A5" s="1" t="s">
        <v>51</v>
      </c>
      <c r="B5" s="3"/>
      <c r="C5" s="91" t="s">
        <v>84</v>
      </c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37"/>
      <c r="Q5" s="2"/>
      <c r="R5" s="29"/>
      <c r="S5" s="34"/>
      <c r="T5" s="34"/>
      <c r="U5" s="69"/>
      <c r="V5" s="29"/>
      <c r="W5" s="36"/>
      <c r="X5" s="36"/>
    </row>
    <row r="6" spans="1:24" x14ac:dyDescent="0.2">
      <c r="A6" s="1"/>
      <c r="B6" s="3"/>
      <c r="C6" s="91" t="s">
        <v>82</v>
      </c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37"/>
      <c r="Q6" s="2"/>
      <c r="R6" s="29"/>
      <c r="S6" s="34"/>
      <c r="T6" s="34"/>
      <c r="U6" s="69"/>
      <c r="V6" s="29"/>
      <c r="W6" s="36"/>
      <c r="X6" s="36"/>
    </row>
    <row r="7" spans="1:24" x14ac:dyDescent="0.2">
      <c r="A7" s="1"/>
      <c r="B7" s="3"/>
      <c r="C7" s="91" t="s">
        <v>85</v>
      </c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37"/>
      <c r="Q7" s="2"/>
      <c r="R7" s="29"/>
      <c r="S7" s="34"/>
      <c r="T7" s="34"/>
      <c r="U7" s="69"/>
      <c r="V7" s="29"/>
      <c r="W7" s="36"/>
      <c r="X7" s="36"/>
    </row>
    <row r="8" spans="1:24" x14ac:dyDescent="0.2">
      <c r="A8" s="1"/>
      <c r="B8" s="3"/>
      <c r="C8" s="91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37"/>
      <c r="Q8" s="2"/>
      <c r="R8" s="29"/>
      <c r="S8" s="34"/>
      <c r="T8" s="34"/>
      <c r="U8" s="69"/>
      <c r="V8" s="29"/>
      <c r="W8" s="36"/>
      <c r="X8" s="36"/>
    </row>
    <row r="9" spans="1:24" x14ac:dyDescent="0.2">
      <c r="A9" s="1"/>
      <c r="B9" s="3"/>
      <c r="C9" s="91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37"/>
      <c r="Q9" s="2"/>
      <c r="R9" s="29"/>
      <c r="S9" s="34"/>
      <c r="T9" s="34"/>
      <c r="U9" s="69"/>
      <c r="V9" s="29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37"/>
      <c r="Q10" s="2"/>
      <c r="R10" s="29"/>
      <c r="S10" s="34"/>
      <c r="T10" s="34"/>
      <c r="U10" s="69"/>
      <c r="V10" s="29"/>
      <c r="W10" s="36"/>
      <c r="X10" s="36"/>
    </row>
    <row r="11" spans="1:24" x14ac:dyDescent="0.2">
      <c r="A11" s="17" t="s">
        <v>4</v>
      </c>
      <c r="B11" s="18" t="s">
        <v>5</v>
      </c>
      <c r="C11" s="18" t="s">
        <v>6</v>
      </c>
      <c r="D11" s="19" t="s">
        <v>7</v>
      </c>
      <c r="E11" s="19"/>
      <c r="F11" s="17" t="s">
        <v>8</v>
      </c>
      <c r="G11" s="17" t="s">
        <v>9</v>
      </c>
      <c r="H11" s="18" t="s">
        <v>10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115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22" t="s">
        <v>52</v>
      </c>
      <c r="W11" s="37"/>
      <c r="X11" s="37"/>
    </row>
    <row r="12" spans="1:24" s="109" customFormat="1" x14ac:dyDescent="0.2">
      <c r="A12" s="1" t="s">
        <v>143</v>
      </c>
      <c r="B12" s="3" t="s">
        <v>46</v>
      </c>
      <c r="C12" s="3" t="s">
        <v>44</v>
      </c>
      <c r="D12" s="4">
        <v>36526</v>
      </c>
      <c r="E12" s="4">
        <v>36830</v>
      </c>
      <c r="F12" s="1" t="s">
        <v>59</v>
      </c>
      <c r="G12" s="1" t="s">
        <v>47</v>
      </c>
      <c r="H12" s="3"/>
      <c r="I12" s="8">
        <f>1.0603/I$1</f>
        <v>3.4203225806451611E-2</v>
      </c>
      <c r="J12" s="5">
        <v>1.6999999999999999E-3</v>
      </c>
      <c r="K12" s="5">
        <v>2.2000000000000001E-3</v>
      </c>
      <c r="L12" s="5">
        <v>0</v>
      </c>
      <c r="M12" s="5">
        <v>0</v>
      </c>
      <c r="N12" s="48">
        <v>5.9300000000000004E-3</v>
      </c>
      <c r="O12" s="5">
        <f>SUM(I12:M12)</f>
        <v>3.8103225806451611E-2</v>
      </c>
      <c r="P12" s="37">
        <v>42789</v>
      </c>
      <c r="Q12" s="3">
        <v>30000</v>
      </c>
      <c r="R12" s="1" t="s">
        <v>60</v>
      </c>
      <c r="S12" s="9">
        <f>I12*I$1*Q12</f>
        <v>31809</v>
      </c>
      <c r="T12" s="9"/>
      <c r="U12" s="73">
        <v>140447</v>
      </c>
      <c r="V12" s="1"/>
      <c r="W12" s="37"/>
      <c r="X12" s="37"/>
    </row>
    <row r="13" spans="1:24" x14ac:dyDescent="0.2">
      <c r="A13" s="10" t="s">
        <v>3</v>
      </c>
      <c r="B13" s="11" t="s">
        <v>3</v>
      </c>
      <c r="C13" s="12" t="s">
        <v>3</v>
      </c>
      <c r="D13" s="13" t="s">
        <v>3</v>
      </c>
      <c r="E13" s="13"/>
      <c r="F13" s="10" t="s">
        <v>3</v>
      </c>
      <c r="G13" s="31" t="s">
        <v>3</v>
      </c>
      <c r="H13" s="11" t="s">
        <v>3</v>
      </c>
      <c r="I13" s="14"/>
      <c r="J13" s="15"/>
      <c r="K13" s="15"/>
      <c r="L13" s="15"/>
      <c r="M13" s="15"/>
      <c r="N13" s="50"/>
      <c r="O13" s="15"/>
      <c r="P13" s="116" t="s">
        <v>3</v>
      </c>
      <c r="Q13" s="11">
        <f>SUM(Q12:Q12)</f>
        <v>30000</v>
      </c>
      <c r="R13" s="10" t="s">
        <v>3</v>
      </c>
      <c r="S13" s="23">
        <f>SUM(S12:S12)</f>
        <v>31809</v>
      </c>
      <c r="T13" s="23">
        <f>SUM(T12:T12)</f>
        <v>0</v>
      </c>
      <c r="U13" s="72"/>
      <c r="V13" s="16"/>
      <c r="W13" s="37"/>
      <c r="X13" s="37"/>
    </row>
    <row r="14" spans="1:24" x14ac:dyDescent="0.2">
      <c r="A14" s="17" t="s">
        <v>4</v>
      </c>
      <c r="B14" s="18" t="s">
        <v>5</v>
      </c>
      <c r="C14" s="18" t="s">
        <v>6</v>
      </c>
      <c r="D14" s="19" t="s">
        <v>7</v>
      </c>
      <c r="E14" s="19"/>
      <c r="F14" s="17" t="s">
        <v>8</v>
      </c>
      <c r="G14" s="17" t="s">
        <v>9</v>
      </c>
      <c r="H14" s="18" t="s">
        <v>10</v>
      </c>
      <c r="I14" s="20" t="s">
        <v>11</v>
      </c>
      <c r="J14" s="18" t="s">
        <v>12</v>
      </c>
      <c r="K14" s="18" t="s">
        <v>13</v>
      </c>
      <c r="L14" s="18" t="s">
        <v>14</v>
      </c>
      <c r="M14" s="18" t="s">
        <v>15</v>
      </c>
      <c r="N14" s="49" t="s">
        <v>16</v>
      </c>
      <c r="O14" s="18" t="s">
        <v>17</v>
      </c>
      <c r="P14" s="115" t="s">
        <v>18</v>
      </c>
      <c r="Q14" s="18" t="s">
        <v>19</v>
      </c>
      <c r="R14" s="17" t="s">
        <v>20</v>
      </c>
      <c r="S14" s="22" t="s">
        <v>21</v>
      </c>
      <c r="T14" s="22" t="s">
        <v>21</v>
      </c>
      <c r="U14" s="70"/>
      <c r="V14" s="22" t="str">
        <f>+V11</f>
        <v>Questions</v>
      </c>
      <c r="W14" s="37"/>
      <c r="X14" s="37"/>
    </row>
    <row r="15" spans="1:24" s="47" customFormat="1" x14ac:dyDescent="0.2">
      <c r="A15" s="43" t="s">
        <v>143</v>
      </c>
      <c r="B15" s="84" t="s">
        <v>65</v>
      </c>
      <c r="C15" s="84" t="s">
        <v>44</v>
      </c>
      <c r="D15" s="85">
        <v>36526</v>
      </c>
      <c r="E15" s="85" t="s">
        <v>304</v>
      </c>
      <c r="F15" s="45" t="s">
        <v>315</v>
      </c>
      <c r="G15" s="45" t="s">
        <v>315</v>
      </c>
      <c r="H15" s="84"/>
      <c r="I15" s="54">
        <v>0</v>
      </c>
      <c r="J15" s="86">
        <v>0</v>
      </c>
      <c r="K15" s="86">
        <v>0</v>
      </c>
      <c r="L15" s="86">
        <v>0</v>
      </c>
      <c r="M15" s="86">
        <v>0</v>
      </c>
      <c r="N15" s="87">
        <v>0</v>
      </c>
      <c r="O15" s="86">
        <f>SUM(I15:M15)</f>
        <v>0</v>
      </c>
      <c r="P15" s="90">
        <v>36907</v>
      </c>
      <c r="Q15" s="84">
        <v>0</v>
      </c>
      <c r="R15" s="43" t="s">
        <v>316</v>
      </c>
      <c r="S15" s="89">
        <f>I15*I$1*Q15</f>
        <v>0</v>
      </c>
      <c r="T15" s="89"/>
      <c r="U15" s="83">
        <v>148659</v>
      </c>
      <c r="V15" s="89"/>
      <c r="W15" s="90"/>
      <c r="X15" s="90"/>
    </row>
    <row r="16" spans="1:24" s="47" customFormat="1" x14ac:dyDescent="0.2">
      <c r="A16" s="43" t="s">
        <v>161</v>
      </c>
      <c r="B16" s="84" t="s">
        <v>65</v>
      </c>
      <c r="C16" s="84" t="s">
        <v>318</v>
      </c>
      <c r="D16" s="85">
        <v>36526</v>
      </c>
      <c r="E16" s="85" t="s">
        <v>304</v>
      </c>
      <c r="F16" s="45" t="s">
        <v>315</v>
      </c>
      <c r="G16" s="45" t="s">
        <v>315</v>
      </c>
      <c r="H16" s="84"/>
      <c r="I16" s="54">
        <v>0</v>
      </c>
      <c r="J16" s="86">
        <v>0</v>
      </c>
      <c r="K16" s="86">
        <v>0</v>
      </c>
      <c r="L16" s="86">
        <v>0</v>
      </c>
      <c r="M16" s="86">
        <v>0</v>
      </c>
      <c r="N16" s="87">
        <v>0</v>
      </c>
      <c r="O16" s="86">
        <f>SUM(I16:M16)</f>
        <v>0</v>
      </c>
      <c r="P16" s="90">
        <v>48049</v>
      </c>
      <c r="Q16" s="84">
        <v>0</v>
      </c>
      <c r="R16" s="43" t="s">
        <v>316</v>
      </c>
      <c r="S16" s="89">
        <f>I16*I$1*Q16</f>
        <v>0</v>
      </c>
      <c r="T16" s="89"/>
      <c r="U16" s="83">
        <v>149173</v>
      </c>
      <c r="V16" s="89"/>
      <c r="W16" s="90"/>
      <c r="X16" s="90"/>
    </row>
    <row r="17" spans="1:24" s="47" customFormat="1" x14ac:dyDescent="0.2">
      <c r="A17" s="43" t="s">
        <v>143</v>
      </c>
      <c r="B17" s="84" t="s">
        <v>65</v>
      </c>
      <c r="C17" s="84" t="s">
        <v>44</v>
      </c>
      <c r="D17" s="85">
        <v>36526</v>
      </c>
      <c r="E17" s="85" t="s">
        <v>304</v>
      </c>
      <c r="F17" s="45" t="s">
        <v>315</v>
      </c>
      <c r="G17" s="45" t="s">
        <v>315</v>
      </c>
      <c r="H17" s="84"/>
      <c r="I17" s="54">
        <v>0</v>
      </c>
      <c r="J17" s="86">
        <v>0</v>
      </c>
      <c r="K17" s="86">
        <v>0</v>
      </c>
      <c r="L17" s="86">
        <v>0</v>
      </c>
      <c r="M17" s="86">
        <v>0</v>
      </c>
      <c r="N17" s="87">
        <v>0</v>
      </c>
      <c r="O17" s="86">
        <f>SUM(I17:M17)</f>
        <v>0</v>
      </c>
      <c r="P17" s="90">
        <v>39999</v>
      </c>
      <c r="Q17" s="84">
        <v>0</v>
      </c>
      <c r="R17" s="43" t="s">
        <v>319</v>
      </c>
      <c r="S17" s="89">
        <f>I17*I$1*Q17</f>
        <v>0</v>
      </c>
      <c r="T17" s="89"/>
      <c r="U17" s="83">
        <v>149337</v>
      </c>
      <c r="V17" s="89"/>
      <c r="W17" s="90"/>
      <c r="X17" s="90"/>
    </row>
    <row r="18" spans="1:24" s="47" customFormat="1" x14ac:dyDescent="0.2">
      <c r="A18" s="43" t="s">
        <v>161</v>
      </c>
      <c r="B18" s="84" t="s">
        <v>65</v>
      </c>
      <c r="C18" s="84" t="s">
        <v>318</v>
      </c>
      <c r="D18" s="85">
        <v>36526</v>
      </c>
      <c r="E18" s="85" t="s">
        <v>304</v>
      </c>
      <c r="F18" s="45" t="s">
        <v>315</v>
      </c>
      <c r="G18" s="45" t="s">
        <v>315</v>
      </c>
      <c r="H18" s="84"/>
      <c r="I18" s="54">
        <v>0</v>
      </c>
      <c r="J18" s="86">
        <v>0</v>
      </c>
      <c r="K18" s="86">
        <v>0</v>
      </c>
      <c r="L18" s="86">
        <v>0</v>
      </c>
      <c r="M18" s="86">
        <v>0</v>
      </c>
      <c r="N18" s="87">
        <v>0</v>
      </c>
      <c r="O18" s="86">
        <f>SUM(I18:M18)</f>
        <v>0</v>
      </c>
      <c r="P18" s="90">
        <v>48050</v>
      </c>
      <c r="Q18" s="84">
        <v>0</v>
      </c>
      <c r="R18" s="43" t="s">
        <v>319</v>
      </c>
      <c r="S18" s="89">
        <f>I18*I$1*Q18</f>
        <v>0</v>
      </c>
      <c r="T18" s="89"/>
      <c r="U18" s="83">
        <v>149338</v>
      </c>
      <c r="V18" s="89"/>
      <c r="W18" s="90"/>
      <c r="X18" s="90"/>
    </row>
    <row r="19" spans="1:24" x14ac:dyDescent="0.2">
      <c r="A19" s="1"/>
      <c r="B19" s="3"/>
      <c r="C19" s="3"/>
      <c r="D19" s="4" t="s">
        <v>3</v>
      </c>
      <c r="E19" s="4"/>
      <c r="F19" s="1"/>
      <c r="G19" s="1"/>
      <c r="H19" s="3"/>
      <c r="I19" s="8"/>
      <c r="J19" s="5"/>
      <c r="K19" s="24"/>
      <c r="L19" s="5"/>
      <c r="M19" s="5"/>
      <c r="N19" s="48"/>
      <c r="O19" s="5"/>
      <c r="P19" s="36"/>
      <c r="Q19" s="34"/>
      <c r="R19" s="41"/>
      <c r="S19" s="93"/>
      <c r="T19" s="40"/>
      <c r="U19" s="74"/>
      <c r="V19" s="40"/>
      <c r="W19" s="36"/>
      <c r="X19" s="36"/>
    </row>
    <row r="20" spans="1:24" x14ac:dyDescent="0.2">
      <c r="A20" s="17" t="s">
        <v>4</v>
      </c>
      <c r="B20" s="18" t="s">
        <v>5</v>
      </c>
      <c r="C20" s="18" t="s">
        <v>6</v>
      </c>
      <c r="D20" s="19" t="s">
        <v>7</v>
      </c>
      <c r="E20" s="19"/>
      <c r="F20" s="17" t="s">
        <v>8</v>
      </c>
      <c r="G20" s="17" t="s">
        <v>9</v>
      </c>
      <c r="H20" s="18" t="s">
        <v>10</v>
      </c>
      <c r="I20" s="20" t="s">
        <v>11</v>
      </c>
      <c r="J20" s="18" t="s">
        <v>12</v>
      </c>
      <c r="K20" s="18" t="s">
        <v>13</v>
      </c>
      <c r="L20" s="18" t="s">
        <v>14</v>
      </c>
      <c r="M20" s="18" t="s">
        <v>15</v>
      </c>
      <c r="N20" s="49" t="s">
        <v>16</v>
      </c>
      <c r="O20" s="18" t="s">
        <v>17</v>
      </c>
      <c r="P20" s="115" t="s">
        <v>18</v>
      </c>
      <c r="Q20" s="18" t="s">
        <v>19</v>
      </c>
      <c r="R20" s="17" t="s">
        <v>20</v>
      </c>
      <c r="S20" s="22" t="s">
        <v>81</v>
      </c>
      <c r="T20" s="22" t="s">
        <v>80</v>
      </c>
      <c r="U20" s="70" t="s">
        <v>37</v>
      </c>
      <c r="V20" s="22" t="s">
        <v>52</v>
      </c>
      <c r="W20" s="37"/>
      <c r="X20" s="37"/>
    </row>
    <row r="21" spans="1:24" s="47" customFormat="1" x14ac:dyDescent="0.2">
      <c r="A21" s="43" t="s">
        <v>143</v>
      </c>
      <c r="B21" s="84" t="s">
        <v>329</v>
      </c>
      <c r="C21" s="84" t="s">
        <v>44</v>
      </c>
      <c r="D21" s="85">
        <v>36526</v>
      </c>
      <c r="E21" s="85" t="s">
        <v>304</v>
      </c>
      <c r="F21" s="43" t="s">
        <v>305</v>
      </c>
      <c r="G21" s="43" t="s">
        <v>305</v>
      </c>
      <c r="H21" s="84" t="s">
        <v>306</v>
      </c>
      <c r="I21" s="67">
        <v>0</v>
      </c>
      <c r="J21" s="86">
        <v>0</v>
      </c>
      <c r="K21" s="86">
        <v>0</v>
      </c>
      <c r="L21" s="86">
        <v>0</v>
      </c>
      <c r="M21" s="86">
        <v>0</v>
      </c>
      <c r="N21" s="87">
        <v>0</v>
      </c>
      <c r="O21" s="86">
        <f>SUM(I21:M21)</f>
        <v>0</v>
      </c>
      <c r="P21" s="90">
        <v>238</v>
      </c>
      <c r="Q21" s="84">
        <v>0</v>
      </c>
      <c r="R21" s="43" t="s">
        <v>324</v>
      </c>
      <c r="S21" s="89">
        <f>I21*I$1*Q21</f>
        <v>0</v>
      </c>
      <c r="T21" s="89"/>
      <c r="U21" s="83">
        <v>149902</v>
      </c>
      <c r="V21" s="43"/>
      <c r="W21" s="90"/>
      <c r="X21" s="90"/>
    </row>
    <row r="22" spans="1:24" x14ac:dyDescent="0.2">
      <c r="A22" s="10" t="s">
        <v>3</v>
      </c>
      <c r="B22" s="11" t="s">
        <v>3</v>
      </c>
      <c r="C22" s="12" t="s">
        <v>3</v>
      </c>
      <c r="D22" s="13" t="s">
        <v>3</v>
      </c>
      <c r="E22" s="13"/>
      <c r="F22" s="10" t="s">
        <v>3</v>
      </c>
      <c r="G22" s="31" t="s">
        <v>3</v>
      </c>
      <c r="H22" s="11" t="s">
        <v>3</v>
      </c>
      <c r="I22" s="14"/>
      <c r="J22" s="15"/>
      <c r="K22" s="15"/>
      <c r="L22" s="15"/>
      <c r="M22" s="15"/>
      <c r="N22" s="50"/>
      <c r="O22" s="15"/>
      <c r="P22" s="116" t="s">
        <v>3</v>
      </c>
      <c r="Q22" s="11">
        <f>SUM(Q21:Q21)</f>
        <v>0</v>
      </c>
      <c r="R22" s="10" t="s">
        <v>3</v>
      </c>
      <c r="S22" s="23">
        <f>SUM(S21:S21)</f>
        <v>0</v>
      </c>
      <c r="T22" s="23">
        <f>SUM(T21:T21)</f>
        <v>0</v>
      </c>
      <c r="U22" s="72"/>
      <c r="V22" s="16"/>
      <c r="W22" s="37"/>
      <c r="X22" s="37"/>
    </row>
    <row r="23" spans="1:24" x14ac:dyDescent="0.2">
      <c r="A23" s="17" t="s">
        <v>4</v>
      </c>
      <c r="B23" s="18" t="s">
        <v>5</v>
      </c>
      <c r="C23" s="18" t="s">
        <v>6</v>
      </c>
      <c r="D23" s="19" t="s">
        <v>7</v>
      </c>
      <c r="E23" s="19"/>
      <c r="F23" s="17" t="s">
        <v>8</v>
      </c>
      <c r="G23" s="17" t="s">
        <v>9</v>
      </c>
      <c r="H23" s="18" t="s">
        <v>10</v>
      </c>
      <c r="I23" s="20" t="s">
        <v>11</v>
      </c>
      <c r="J23" s="18" t="s">
        <v>12</v>
      </c>
      <c r="K23" s="18" t="s">
        <v>13</v>
      </c>
      <c r="L23" s="18" t="s">
        <v>14</v>
      </c>
      <c r="M23" s="18" t="s">
        <v>15</v>
      </c>
      <c r="N23" s="49" t="s">
        <v>16</v>
      </c>
      <c r="O23" s="18" t="s">
        <v>17</v>
      </c>
      <c r="P23" s="115" t="s">
        <v>18</v>
      </c>
      <c r="Q23" s="18" t="s">
        <v>19</v>
      </c>
      <c r="R23" s="17" t="s">
        <v>20</v>
      </c>
      <c r="S23" s="22" t="s">
        <v>81</v>
      </c>
      <c r="T23" s="22" t="s">
        <v>80</v>
      </c>
      <c r="U23" s="70" t="s">
        <v>37</v>
      </c>
      <c r="V23" s="22" t="s">
        <v>52</v>
      </c>
      <c r="W23" s="37"/>
      <c r="X23" s="37"/>
    </row>
    <row r="24" spans="1:24" s="47" customFormat="1" x14ac:dyDescent="0.2">
      <c r="A24" s="43" t="s">
        <v>143</v>
      </c>
      <c r="B24" s="84" t="s">
        <v>1</v>
      </c>
      <c r="C24" s="84" t="s">
        <v>44</v>
      </c>
      <c r="D24" s="85">
        <v>36526</v>
      </c>
      <c r="E24" s="85" t="s">
        <v>304</v>
      </c>
      <c r="F24" s="43" t="s">
        <v>305</v>
      </c>
      <c r="G24" s="43" t="s">
        <v>305</v>
      </c>
      <c r="H24" s="84" t="s">
        <v>306</v>
      </c>
      <c r="I24" s="67">
        <v>0</v>
      </c>
      <c r="J24" s="86">
        <v>0</v>
      </c>
      <c r="K24" s="86">
        <v>0</v>
      </c>
      <c r="L24" s="86">
        <v>0</v>
      </c>
      <c r="M24" s="86">
        <v>0</v>
      </c>
      <c r="N24" s="87">
        <v>0</v>
      </c>
      <c r="O24" s="86">
        <f>SUM(I24:M24)</f>
        <v>0</v>
      </c>
      <c r="P24" s="90">
        <v>3.2846000000000002</v>
      </c>
      <c r="Q24" s="84">
        <v>0</v>
      </c>
      <c r="R24" s="43" t="s">
        <v>324</v>
      </c>
      <c r="S24" s="89">
        <f>I24*I$1*Q24</f>
        <v>0</v>
      </c>
      <c r="T24" s="89"/>
      <c r="U24" s="83">
        <v>149876</v>
      </c>
      <c r="V24" s="43"/>
      <c r="W24" s="90"/>
      <c r="X24" s="90"/>
    </row>
    <row r="25" spans="1:24" x14ac:dyDescent="0.2">
      <c r="A25" s="10" t="s">
        <v>3</v>
      </c>
      <c r="B25" s="11" t="s">
        <v>3</v>
      </c>
      <c r="C25" s="12" t="s">
        <v>3</v>
      </c>
      <c r="D25" s="13" t="s">
        <v>3</v>
      </c>
      <c r="E25" s="13"/>
      <c r="F25" s="10" t="s">
        <v>3</v>
      </c>
      <c r="G25" s="31" t="s">
        <v>3</v>
      </c>
      <c r="H25" s="11" t="s">
        <v>3</v>
      </c>
      <c r="I25" s="14"/>
      <c r="J25" s="15"/>
      <c r="K25" s="15"/>
      <c r="L25" s="15"/>
      <c r="M25" s="15"/>
      <c r="N25" s="50"/>
      <c r="O25" s="15"/>
      <c r="P25" s="116" t="s">
        <v>3</v>
      </c>
      <c r="Q25" s="11">
        <f>SUM(Q24:Q24)</f>
        <v>0</v>
      </c>
      <c r="R25" s="10" t="s">
        <v>3</v>
      </c>
      <c r="S25" s="23">
        <f>SUM(S24:S24)</f>
        <v>0</v>
      </c>
      <c r="T25" s="23">
        <f>SUM(T24:T24)</f>
        <v>0</v>
      </c>
      <c r="U25" s="72"/>
      <c r="V25" s="16"/>
      <c r="W25" s="37"/>
      <c r="X25" s="37"/>
    </row>
    <row r="26" spans="1:24" x14ac:dyDescent="0.2">
      <c r="A26" s="28"/>
      <c r="B26" s="3"/>
      <c r="C26" s="3"/>
      <c r="D26" s="4"/>
      <c r="E26" s="4"/>
      <c r="F26" s="1"/>
      <c r="G26" s="1"/>
      <c r="H26" s="3"/>
      <c r="I26" s="8"/>
      <c r="J26" s="5"/>
      <c r="K26" s="5"/>
      <c r="L26" s="5"/>
      <c r="M26" s="5"/>
      <c r="N26" s="48"/>
      <c r="O26" s="5"/>
      <c r="P26" s="36"/>
      <c r="Q26" s="63"/>
      <c r="R26" s="41"/>
      <c r="S26" s="29"/>
      <c r="T26" s="29"/>
      <c r="U26" s="68"/>
      <c r="V26" s="29"/>
      <c r="W26" s="36"/>
      <c r="X26" s="36"/>
    </row>
    <row r="27" spans="1:24" x14ac:dyDescent="0.2">
      <c r="A27" s="28"/>
      <c r="B27" s="3"/>
      <c r="C27" s="3"/>
      <c r="D27" s="4"/>
      <c r="E27" s="4"/>
      <c r="F27" s="1"/>
      <c r="G27" s="1"/>
      <c r="H27" s="3"/>
      <c r="I27" s="5"/>
      <c r="J27" s="5"/>
      <c r="K27" s="5"/>
      <c r="L27" s="5"/>
      <c r="M27" s="5"/>
      <c r="N27" s="48"/>
      <c r="O27" s="5"/>
      <c r="P27" s="36"/>
      <c r="Q27" s="63"/>
      <c r="R27" s="29"/>
      <c r="S27" s="29"/>
      <c r="T27" s="29"/>
      <c r="U27" s="68"/>
      <c r="V27" s="29"/>
      <c r="W27" s="36"/>
      <c r="X27" s="36"/>
    </row>
    <row r="28" spans="1:24" x14ac:dyDescent="0.2">
      <c r="A28" s="28"/>
      <c r="B28" s="3"/>
      <c r="C28" s="3"/>
      <c r="D28" s="4"/>
      <c r="E28" s="4"/>
      <c r="F28" s="1"/>
      <c r="G28" s="1"/>
      <c r="H28" s="3"/>
      <c r="I28" s="8"/>
      <c r="J28" s="5"/>
      <c r="K28" s="5"/>
      <c r="L28" s="5"/>
      <c r="M28" s="5"/>
      <c r="N28" s="48"/>
      <c r="O28" s="5"/>
      <c r="P28" s="36"/>
      <c r="Q28" s="63"/>
      <c r="R28" s="29"/>
      <c r="S28" s="29"/>
      <c r="T28" s="29"/>
      <c r="U28" s="68"/>
      <c r="V28" s="29"/>
      <c r="W28" s="36"/>
      <c r="X28" s="36"/>
    </row>
    <row r="29" spans="1:24" x14ac:dyDescent="0.2">
      <c r="A29" s="28" t="s">
        <v>325</v>
      </c>
      <c r="B29" s="3"/>
      <c r="C29" s="3"/>
      <c r="D29" s="4"/>
      <c r="E29" s="4"/>
      <c r="F29" s="1"/>
      <c r="G29" s="1"/>
      <c r="H29" s="3"/>
      <c r="I29" s="5"/>
      <c r="J29" s="5"/>
      <c r="K29" s="5"/>
      <c r="L29" s="5"/>
      <c r="M29" s="5"/>
      <c r="N29" s="48"/>
      <c r="O29" s="5"/>
      <c r="P29" s="36"/>
      <c r="Q29" s="63"/>
      <c r="R29" s="29"/>
      <c r="S29" s="29"/>
      <c r="T29" s="29"/>
      <c r="U29" s="68"/>
      <c r="V29" s="29"/>
      <c r="W29" s="36"/>
      <c r="X29" s="36"/>
    </row>
    <row r="30" spans="1:24" x14ac:dyDescent="0.2">
      <c r="A30" s="28"/>
      <c r="B30" s="1" t="s">
        <v>326</v>
      </c>
      <c r="C30" s="3"/>
      <c r="D30" s="4"/>
      <c r="E30" s="4"/>
      <c r="F30" s="1"/>
      <c r="G30" s="1"/>
      <c r="H30" s="3"/>
      <c r="I30" s="8"/>
      <c r="J30" s="5"/>
      <c r="K30" s="5"/>
      <c r="L30" s="5"/>
      <c r="M30" s="5"/>
      <c r="N30" s="48"/>
      <c r="O30" s="5"/>
      <c r="P30" s="36"/>
      <c r="Q30" s="63"/>
      <c r="R30" s="29"/>
      <c r="S30" s="29"/>
      <c r="T30" s="29"/>
      <c r="U30" s="68"/>
      <c r="V30" s="29"/>
      <c r="W30" s="36"/>
      <c r="X30" s="36"/>
    </row>
    <row r="31" spans="1:24" x14ac:dyDescent="0.2">
      <c r="A31" s="28"/>
      <c r="B31" s="3" t="s">
        <v>327</v>
      </c>
      <c r="C31" s="37">
        <v>149776</v>
      </c>
      <c r="D31" s="4"/>
      <c r="E31" s="4"/>
      <c r="F31" s="1"/>
      <c r="G31" s="1"/>
      <c r="H31" s="3"/>
      <c r="I31" s="5"/>
      <c r="J31" s="5"/>
      <c r="K31" s="5"/>
      <c r="L31" s="5"/>
      <c r="M31" s="5"/>
      <c r="N31" s="48"/>
      <c r="O31" s="5"/>
      <c r="P31" s="36"/>
      <c r="Q31" s="63"/>
      <c r="R31" s="29"/>
      <c r="S31" s="29"/>
      <c r="T31" s="29"/>
      <c r="U31" s="68"/>
      <c r="V31" s="29"/>
      <c r="W31" s="36"/>
      <c r="X31" s="36"/>
    </row>
    <row r="32" spans="1:24" x14ac:dyDescent="0.2">
      <c r="A32" s="28"/>
      <c r="B32" s="3" t="s">
        <v>328</v>
      </c>
      <c r="C32" s="37">
        <v>149775</v>
      </c>
      <c r="D32" s="4"/>
      <c r="E32" s="4"/>
      <c r="F32" s="1"/>
      <c r="G32" s="1"/>
      <c r="H32" s="3"/>
      <c r="I32" s="5"/>
      <c r="J32" s="5"/>
      <c r="K32" s="5"/>
      <c r="L32" s="5"/>
      <c r="M32" s="5"/>
      <c r="N32" s="48"/>
      <c r="O32" s="5"/>
      <c r="P32" s="36"/>
      <c r="Q32" s="63"/>
      <c r="R32" s="29"/>
      <c r="S32" s="29"/>
      <c r="T32" s="29"/>
      <c r="U32" s="68"/>
      <c r="V32" s="29"/>
      <c r="W32" s="41"/>
      <c r="X32" s="36"/>
    </row>
    <row r="33" spans="1:24" x14ac:dyDescent="0.2">
      <c r="A33" s="28"/>
      <c r="B33" s="3"/>
      <c r="C33" s="3"/>
      <c r="D33" s="4"/>
      <c r="E33" s="4"/>
      <c r="F33" s="1"/>
      <c r="G33" s="1"/>
      <c r="H33" s="3"/>
      <c r="I33" s="5"/>
      <c r="J33" s="5"/>
      <c r="K33" s="5"/>
      <c r="L33" s="5"/>
      <c r="M33" s="5"/>
      <c r="N33" s="48"/>
      <c r="O33" s="5"/>
      <c r="P33" s="36"/>
      <c r="Q33" s="63"/>
      <c r="R33" s="29"/>
      <c r="S33" s="29"/>
      <c r="T33" s="29"/>
      <c r="U33" s="68"/>
      <c r="V33" s="29"/>
      <c r="W33" s="36"/>
      <c r="X33" s="36"/>
    </row>
    <row r="34" spans="1:24" x14ac:dyDescent="0.2">
      <c r="A34" s="28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48"/>
      <c r="O34" s="5"/>
      <c r="P34" s="36"/>
      <c r="Q34" s="63"/>
      <c r="R34" s="29"/>
      <c r="S34" s="29"/>
      <c r="T34" s="29"/>
      <c r="U34" s="68"/>
      <c r="V34" s="29"/>
      <c r="W34" s="36"/>
      <c r="X34" s="36"/>
    </row>
    <row r="35" spans="1:24" x14ac:dyDescent="0.2">
      <c r="A35" s="28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48"/>
      <c r="O35" s="5"/>
      <c r="P35" s="36"/>
      <c r="Q35" s="63"/>
      <c r="R35" s="41"/>
      <c r="S35" s="29"/>
      <c r="T35" s="29"/>
      <c r="U35" s="68"/>
      <c r="V35" s="29"/>
      <c r="W35" s="36"/>
      <c r="X35" s="36"/>
    </row>
    <row r="36" spans="1:24" x14ac:dyDescent="0.2">
      <c r="A36" s="28"/>
      <c r="B36" s="3"/>
      <c r="C36" s="3"/>
      <c r="D36" s="4"/>
      <c r="E36" s="4"/>
      <c r="F36" s="1"/>
      <c r="G36" s="1"/>
      <c r="H36" s="3"/>
      <c r="I36" s="8"/>
      <c r="J36" s="5"/>
      <c r="K36" s="5"/>
      <c r="L36" s="5"/>
      <c r="M36" s="5"/>
      <c r="N36" s="48"/>
      <c r="O36" s="5"/>
      <c r="P36" s="36"/>
      <c r="Q36" s="63"/>
      <c r="R36" s="41"/>
      <c r="S36" s="29"/>
      <c r="T36" s="29"/>
      <c r="U36" s="68"/>
      <c r="V36" s="29"/>
      <c r="W36" s="36"/>
      <c r="X36" s="36"/>
    </row>
    <row r="37" spans="1:24" x14ac:dyDescent="0.2">
      <c r="P37" s="64"/>
      <c r="Q37" s="35"/>
      <c r="R37" s="35"/>
      <c r="S37" s="35"/>
      <c r="T37" s="35"/>
      <c r="U37" s="64"/>
      <c r="V37" s="35"/>
      <c r="W37" s="64"/>
    </row>
    <row r="38" spans="1:24" x14ac:dyDescent="0.2">
      <c r="P38" s="64"/>
      <c r="Q38" s="35"/>
      <c r="R38" s="35"/>
      <c r="S38" s="35"/>
      <c r="T38" s="35"/>
      <c r="U38" s="64"/>
      <c r="V38" s="35"/>
      <c r="W38" s="6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tabSelected="1" topLeftCell="A17" zoomScale="115" workbookViewId="0">
      <selection activeCell="Q36" sqref="Q36"/>
    </sheetView>
  </sheetViews>
  <sheetFormatPr defaultRowHeight="12.75" x14ac:dyDescent="0.2"/>
  <cols>
    <col min="1" max="1" width="8.85546875" style="26" customWidth="1"/>
    <col min="2" max="2" width="9.140625" style="26"/>
    <col min="3" max="3" width="10.5703125" style="26" customWidth="1"/>
    <col min="4" max="4" width="8.7109375" style="26" customWidth="1"/>
    <col min="5" max="5" width="11" style="26" customWidth="1"/>
    <col min="6" max="6" width="12.42578125" style="28" customWidth="1"/>
    <col min="7" max="7" width="8" style="28" customWidth="1"/>
    <col min="8" max="8" width="6.42578125" style="26" customWidth="1"/>
    <col min="9" max="9" width="8.85546875" style="26" customWidth="1"/>
    <col min="10" max="13" width="9.140625" style="26" hidden="1" customWidth="1"/>
    <col min="14" max="14" width="9.140625" style="52" hidden="1" customWidth="1"/>
    <col min="15" max="15" width="9.140625" style="26" hidden="1" customWidth="1"/>
    <col min="16" max="16" width="12.28515625" style="26" customWidth="1"/>
    <col min="17" max="17" width="9.140625" style="26"/>
    <col min="18" max="18" width="13.7109375" style="26" customWidth="1"/>
    <col min="19" max="19" width="12.85546875" style="26" bestFit="1" customWidth="1"/>
    <col min="20" max="20" width="0" style="26" hidden="1" customWidth="1"/>
    <col min="21" max="21" width="13.5703125" style="39" customWidth="1"/>
    <col min="22" max="22" width="42.28515625" style="26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83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29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29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29"/>
      <c r="W3" s="36"/>
      <c r="X3" s="36"/>
    </row>
    <row r="4" spans="1:24" x14ac:dyDescent="0.2">
      <c r="A4" s="45" t="s">
        <v>50</v>
      </c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29"/>
      <c r="W4" s="36"/>
      <c r="X4" s="36"/>
    </row>
    <row r="5" spans="1:24" x14ac:dyDescent="0.2">
      <c r="A5" s="1" t="s">
        <v>51</v>
      </c>
      <c r="B5" s="3"/>
      <c r="C5" s="91" t="s">
        <v>84</v>
      </c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29"/>
      <c r="W5" s="36"/>
      <c r="X5" s="36"/>
    </row>
    <row r="6" spans="1:24" x14ac:dyDescent="0.2">
      <c r="A6" s="1"/>
      <c r="B6" s="3"/>
      <c r="C6" s="91" t="s">
        <v>82</v>
      </c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29"/>
      <c r="W6" s="36"/>
      <c r="X6" s="36"/>
    </row>
    <row r="7" spans="1:24" x14ac:dyDescent="0.2">
      <c r="A7" s="1"/>
      <c r="B7" s="3"/>
      <c r="C7" s="91" t="s">
        <v>85</v>
      </c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29"/>
      <c r="W7" s="36"/>
      <c r="X7" s="36"/>
    </row>
    <row r="8" spans="1:24" x14ac:dyDescent="0.2">
      <c r="A8" s="1"/>
      <c r="B8" s="3"/>
      <c r="C8" s="91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29"/>
      <c r="W8" s="36"/>
      <c r="X8" s="36"/>
    </row>
    <row r="9" spans="1:24" x14ac:dyDescent="0.2">
      <c r="A9" s="1"/>
      <c r="B9" s="3"/>
      <c r="C9" s="91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29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29"/>
      <c r="W10" s="36"/>
      <c r="X10" s="36"/>
    </row>
    <row r="11" spans="1:24" x14ac:dyDescent="0.2">
      <c r="A11" s="17" t="s">
        <v>4</v>
      </c>
      <c r="B11" s="18" t="s">
        <v>5</v>
      </c>
      <c r="C11" s="18" t="s">
        <v>6</v>
      </c>
      <c r="D11" s="19" t="s">
        <v>7</v>
      </c>
      <c r="E11" s="19"/>
      <c r="F11" s="17" t="s">
        <v>8</v>
      </c>
      <c r="G11" s="17" t="s">
        <v>9</v>
      </c>
      <c r="H11" s="18" t="s">
        <v>10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22" t="s">
        <v>52</v>
      </c>
      <c r="W11" s="37"/>
      <c r="X11" s="37"/>
    </row>
    <row r="12" spans="1:24" s="47" customFormat="1" x14ac:dyDescent="0.2">
      <c r="A12" s="43" t="s">
        <v>161</v>
      </c>
      <c r="B12" s="84" t="s">
        <v>29</v>
      </c>
      <c r="C12" s="84" t="s">
        <v>168</v>
      </c>
      <c r="D12" s="85">
        <v>36465</v>
      </c>
      <c r="E12" s="85">
        <v>36616</v>
      </c>
      <c r="F12" s="95" t="s">
        <v>169</v>
      </c>
      <c r="G12" s="95" t="s">
        <v>170</v>
      </c>
      <c r="H12" s="84" t="s">
        <v>153</v>
      </c>
      <c r="I12" s="67">
        <f>5.75/'Ces Retail'!I$1</f>
        <v>0.18548387096774194</v>
      </c>
      <c r="J12" s="86">
        <v>4.3400000000000001E-2</v>
      </c>
      <c r="K12" s="86">
        <v>2.2000000000000001E-3</v>
      </c>
      <c r="L12" s="86">
        <v>0</v>
      </c>
      <c r="M12" s="86">
        <v>0</v>
      </c>
      <c r="N12" s="87">
        <v>2.2800000000000001E-2</v>
      </c>
      <c r="O12" s="86">
        <f>SUM(I12:M12)</f>
        <v>0.23108387096774194</v>
      </c>
      <c r="P12" s="88" t="s">
        <v>172</v>
      </c>
      <c r="Q12" s="84">
        <v>4600</v>
      </c>
      <c r="R12" s="43" t="s">
        <v>171</v>
      </c>
      <c r="S12" s="89">
        <f>I12*I$1*Q12</f>
        <v>26450</v>
      </c>
      <c r="T12" s="89"/>
      <c r="U12" s="83">
        <v>142516</v>
      </c>
      <c r="V12" s="43"/>
      <c r="W12" s="90"/>
      <c r="X12" s="90"/>
    </row>
    <row r="13" spans="1:24" s="47" customFormat="1" x14ac:dyDescent="0.2">
      <c r="A13" s="43" t="s">
        <v>161</v>
      </c>
      <c r="B13" s="84" t="s">
        <v>29</v>
      </c>
      <c r="C13" s="84" t="s">
        <v>168</v>
      </c>
      <c r="D13" s="85">
        <v>36465</v>
      </c>
      <c r="E13" s="85">
        <v>36616</v>
      </c>
      <c r="F13" s="43" t="s">
        <v>173</v>
      </c>
      <c r="G13" s="95" t="s">
        <v>170</v>
      </c>
      <c r="H13" s="84" t="s">
        <v>153</v>
      </c>
      <c r="I13" s="67">
        <f>5.75/'Ces Retail'!I$1</f>
        <v>0.18548387096774194</v>
      </c>
      <c r="J13" s="86">
        <v>4.3400000000000001E-2</v>
      </c>
      <c r="K13" s="86">
        <v>2.2000000000000001E-3</v>
      </c>
      <c r="L13" s="86">
        <v>0</v>
      </c>
      <c r="M13" s="86">
        <v>0</v>
      </c>
      <c r="N13" s="87">
        <v>2.2800000000000001E-2</v>
      </c>
      <c r="O13" s="86">
        <f>SUM(I13:M13)</f>
        <v>0.23108387096774194</v>
      </c>
      <c r="P13" s="88" t="s">
        <v>172</v>
      </c>
      <c r="Q13" s="84">
        <v>11357</v>
      </c>
      <c r="R13" s="43" t="s">
        <v>171</v>
      </c>
      <c r="S13" s="89">
        <f>I13*I$1*Q13</f>
        <v>65302.75</v>
      </c>
      <c r="T13" s="89"/>
      <c r="U13" s="83">
        <v>142516</v>
      </c>
      <c r="V13" s="43"/>
      <c r="W13" s="90"/>
      <c r="X13" s="90"/>
    </row>
    <row r="14" spans="1:24" s="47" customFormat="1" x14ac:dyDescent="0.2">
      <c r="A14" s="43" t="s">
        <v>161</v>
      </c>
      <c r="B14" s="84" t="s">
        <v>29</v>
      </c>
      <c r="C14" s="84" t="s">
        <v>168</v>
      </c>
      <c r="D14" s="85">
        <v>36465</v>
      </c>
      <c r="E14" s="85">
        <v>36616</v>
      </c>
      <c r="F14" s="43"/>
      <c r="G14" s="95"/>
      <c r="H14" s="84" t="s">
        <v>174</v>
      </c>
      <c r="I14" s="67">
        <f>6.25/'Ces Retail'!I$1</f>
        <v>0.20161290322580644</v>
      </c>
      <c r="J14" s="86">
        <v>0</v>
      </c>
      <c r="K14" s="86">
        <v>0</v>
      </c>
      <c r="L14" s="86">
        <v>0</v>
      </c>
      <c r="M14" s="86">
        <v>0</v>
      </c>
      <c r="N14" s="87">
        <v>0</v>
      </c>
      <c r="O14" s="86">
        <f>SUM(I14:M14)</f>
        <v>0.20161290322580644</v>
      </c>
      <c r="P14" s="88" t="s">
        <v>172</v>
      </c>
      <c r="Q14" s="84">
        <v>15957</v>
      </c>
      <c r="R14" s="43" t="s">
        <v>171</v>
      </c>
      <c r="S14" s="89">
        <f>I14*I$1*Q14</f>
        <v>99731.25</v>
      </c>
      <c r="T14" s="89"/>
      <c r="U14" s="83">
        <v>142516</v>
      </c>
      <c r="V14" s="43"/>
      <c r="W14" s="90"/>
      <c r="X14" s="90"/>
    </row>
    <row r="15" spans="1:24" s="47" customFormat="1" x14ac:dyDescent="0.2">
      <c r="A15" s="43"/>
      <c r="B15" s="84"/>
      <c r="C15" s="84"/>
      <c r="D15" s="85"/>
      <c r="E15" s="85"/>
      <c r="F15" s="43"/>
      <c r="G15" s="95"/>
      <c r="H15" s="84"/>
      <c r="I15" s="67"/>
      <c r="J15" s="86"/>
      <c r="K15" s="86"/>
      <c r="L15" s="86"/>
      <c r="M15" s="86"/>
      <c r="N15" s="87"/>
      <c r="O15" s="86"/>
      <c r="P15" s="88"/>
      <c r="Q15" s="84"/>
      <c r="R15" s="43"/>
      <c r="S15" s="89">
        <f>SUM(S12:S14)</f>
        <v>191484</v>
      </c>
      <c r="T15" s="89"/>
      <c r="U15" s="83"/>
      <c r="V15" s="43"/>
      <c r="W15" s="90"/>
      <c r="X15" s="90"/>
    </row>
    <row r="16" spans="1:24" x14ac:dyDescent="0.2">
      <c r="A16" s="17" t="s">
        <v>4</v>
      </c>
      <c r="B16" s="18" t="s">
        <v>5</v>
      </c>
      <c r="C16" s="18" t="s">
        <v>6</v>
      </c>
      <c r="D16" s="19" t="s">
        <v>7</v>
      </c>
      <c r="E16" s="19"/>
      <c r="F16" s="17" t="s">
        <v>8</v>
      </c>
      <c r="G16" s="17" t="s">
        <v>9</v>
      </c>
      <c r="H16" s="18" t="s">
        <v>10</v>
      </c>
      <c r="I16" s="20" t="s">
        <v>11</v>
      </c>
      <c r="J16" s="18" t="s">
        <v>12</v>
      </c>
      <c r="K16" s="18" t="s">
        <v>13</v>
      </c>
      <c r="L16" s="18" t="s">
        <v>14</v>
      </c>
      <c r="M16" s="18" t="s">
        <v>15</v>
      </c>
      <c r="N16" s="49" t="s">
        <v>16</v>
      </c>
      <c r="O16" s="18" t="s">
        <v>17</v>
      </c>
      <c r="P16" s="21" t="s">
        <v>18</v>
      </c>
      <c r="Q16" s="18" t="s">
        <v>19</v>
      </c>
      <c r="R16" s="17" t="s">
        <v>20</v>
      </c>
      <c r="S16" s="22" t="s">
        <v>81</v>
      </c>
      <c r="T16" s="22" t="s">
        <v>80</v>
      </c>
      <c r="U16" s="70" t="s">
        <v>37</v>
      </c>
      <c r="V16" s="22" t="s">
        <v>52</v>
      </c>
      <c r="W16" s="37"/>
      <c r="X16" s="37"/>
    </row>
    <row r="17" spans="1:24" s="47" customFormat="1" x14ac:dyDescent="0.2">
      <c r="A17" s="43" t="s">
        <v>143</v>
      </c>
      <c r="B17" s="84" t="s">
        <v>46</v>
      </c>
      <c r="C17" s="84" t="s">
        <v>44</v>
      </c>
      <c r="D17" s="85">
        <v>36526</v>
      </c>
      <c r="E17" s="85">
        <v>36830</v>
      </c>
      <c r="F17" s="45" t="s">
        <v>59</v>
      </c>
      <c r="G17" s="45" t="s">
        <v>47</v>
      </c>
      <c r="H17" s="84"/>
      <c r="I17" s="54">
        <f>1.0603/I$1</f>
        <v>3.4203225806451611E-2</v>
      </c>
      <c r="J17" s="86">
        <v>1.6999999999999999E-3</v>
      </c>
      <c r="K17" s="86">
        <v>2.2000000000000001E-3</v>
      </c>
      <c r="L17" s="86">
        <v>0</v>
      </c>
      <c r="M17" s="86">
        <v>0</v>
      </c>
      <c r="N17" s="87">
        <v>5.9300000000000004E-3</v>
      </c>
      <c r="O17" s="86">
        <f t="shared" ref="O17:O27" si="0">SUM(I17:M17)</f>
        <v>3.8103225806451611E-2</v>
      </c>
      <c r="P17" s="88">
        <v>42789</v>
      </c>
      <c r="Q17" s="84">
        <v>30000</v>
      </c>
      <c r="R17" s="43" t="s">
        <v>60</v>
      </c>
      <c r="S17" s="89">
        <f t="shared" ref="S17:S27" si="1">I17*I$1*Q17</f>
        <v>31809</v>
      </c>
      <c r="T17" s="89"/>
      <c r="U17" s="83">
        <v>140447</v>
      </c>
      <c r="V17" s="43"/>
      <c r="W17" s="90"/>
      <c r="X17" s="90"/>
    </row>
    <row r="18" spans="1:24" s="47" customFormat="1" x14ac:dyDescent="0.2">
      <c r="A18" s="43" t="s">
        <v>143</v>
      </c>
      <c r="B18" s="84" t="s">
        <v>46</v>
      </c>
      <c r="C18" s="84" t="s">
        <v>44</v>
      </c>
      <c r="D18" s="85">
        <v>36526</v>
      </c>
      <c r="E18" s="85">
        <v>36830</v>
      </c>
      <c r="F18" s="45" t="s">
        <v>63</v>
      </c>
      <c r="G18" s="45" t="s">
        <v>47</v>
      </c>
      <c r="H18" s="84"/>
      <c r="I18" s="54">
        <f>1.0603/I$1</f>
        <v>3.4203225806451611E-2</v>
      </c>
      <c r="J18" s="86">
        <v>1.6999999999999999E-3</v>
      </c>
      <c r="K18" s="86">
        <v>2.2000000000000001E-3</v>
      </c>
      <c r="L18" s="86">
        <v>0</v>
      </c>
      <c r="M18" s="86">
        <v>0</v>
      </c>
      <c r="N18" s="87">
        <v>5.9300000000000004E-3</v>
      </c>
      <c r="O18" s="86">
        <f t="shared" si="0"/>
        <v>3.8103225806451611E-2</v>
      </c>
      <c r="P18" s="88">
        <v>50250</v>
      </c>
      <c r="Q18" s="84">
        <v>20000</v>
      </c>
      <c r="R18" s="43" t="s">
        <v>64</v>
      </c>
      <c r="S18" s="89">
        <f t="shared" si="1"/>
        <v>21206</v>
      </c>
      <c r="T18" s="89"/>
      <c r="U18" s="83">
        <v>140448</v>
      </c>
      <c r="V18" s="43"/>
      <c r="W18" s="90"/>
      <c r="X18" s="90"/>
    </row>
    <row r="19" spans="1:24" s="47" customFormat="1" x14ac:dyDescent="0.2">
      <c r="A19" s="43" t="s">
        <v>143</v>
      </c>
      <c r="B19" s="84" t="s">
        <v>46</v>
      </c>
      <c r="C19" s="84" t="s">
        <v>44</v>
      </c>
      <c r="D19" s="85">
        <v>36526</v>
      </c>
      <c r="E19" s="85">
        <v>38442</v>
      </c>
      <c r="F19" s="45" t="s">
        <v>47</v>
      </c>
      <c r="G19" s="45" t="s">
        <v>34</v>
      </c>
      <c r="H19" s="84"/>
      <c r="I19" s="54">
        <f>3.145/I$1</f>
        <v>0.10145161290322581</v>
      </c>
      <c r="J19" s="86">
        <v>1.7000000000000001E-2</v>
      </c>
      <c r="K19" s="86">
        <v>2.2000000000000001E-3</v>
      </c>
      <c r="L19" s="86">
        <v>0</v>
      </c>
      <c r="M19" s="86">
        <v>0</v>
      </c>
      <c r="N19" s="87">
        <v>2.988E-2</v>
      </c>
      <c r="O19" s="86">
        <f t="shared" si="0"/>
        <v>0.12065161290322581</v>
      </c>
      <c r="P19" s="88">
        <v>58654</v>
      </c>
      <c r="Q19" s="84">
        <v>15000</v>
      </c>
      <c r="R19" s="43" t="s">
        <v>55</v>
      </c>
      <c r="S19" s="89">
        <f t="shared" si="1"/>
        <v>47175</v>
      </c>
      <c r="T19" s="89"/>
      <c r="U19" s="83">
        <v>140445</v>
      </c>
      <c r="V19" s="43"/>
      <c r="W19" s="90"/>
      <c r="X19" s="90"/>
    </row>
    <row r="20" spans="1:24" s="47" customFormat="1" x14ac:dyDescent="0.2">
      <c r="A20" s="43" t="s">
        <v>143</v>
      </c>
      <c r="B20" s="84" t="s">
        <v>46</v>
      </c>
      <c r="C20" s="84" t="s">
        <v>44</v>
      </c>
      <c r="D20" s="85">
        <v>36526</v>
      </c>
      <c r="E20" s="85">
        <v>37955</v>
      </c>
      <c r="F20" s="45" t="s">
        <v>56</v>
      </c>
      <c r="G20" s="45" t="s">
        <v>57</v>
      </c>
      <c r="H20" s="84"/>
      <c r="I20" s="54">
        <f>1.0603/I$1</f>
        <v>3.4203225806451611E-2</v>
      </c>
      <c r="J20" s="86">
        <v>1.6999999999999999E-3</v>
      </c>
      <c r="K20" s="86">
        <v>2.2000000000000001E-3</v>
      </c>
      <c r="L20" s="86">
        <v>0</v>
      </c>
      <c r="M20" s="86">
        <v>0</v>
      </c>
      <c r="N20" s="87">
        <v>5.9300000000000004E-3</v>
      </c>
      <c r="O20" s="86">
        <f t="shared" si="0"/>
        <v>3.8103225806451611E-2</v>
      </c>
      <c r="P20" s="88">
        <v>62408</v>
      </c>
      <c r="Q20" s="84">
        <v>40000</v>
      </c>
      <c r="R20" s="43" t="s">
        <v>58</v>
      </c>
      <c r="S20" s="89">
        <f t="shared" si="1"/>
        <v>42412</v>
      </c>
      <c r="T20" s="89"/>
      <c r="U20" s="83">
        <v>140443</v>
      </c>
      <c r="V20" s="43"/>
      <c r="W20" s="90"/>
      <c r="X20" s="90"/>
    </row>
    <row r="21" spans="1:24" s="47" customFormat="1" x14ac:dyDescent="0.2">
      <c r="A21" s="43" t="s">
        <v>143</v>
      </c>
      <c r="B21" s="84" t="s">
        <v>46</v>
      </c>
      <c r="C21" s="84" t="s">
        <v>44</v>
      </c>
      <c r="D21" s="85">
        <v>36526</v>
      </c>
      <c r="E21" s="85">
        <v>37346</v>
      </c>
      <c r="F21" s="45" t="s">
        <v>47</v>
      </c>
      <c r="G21" s="45" t="s">
        <v>34</v>
      </c>
      <c r="H21" s="84"/>
      <c r="I21" s="54">
        <v>8.7999999999999995E-2</v>
      </c>
      <c r="J21" s="86">
        <v>1.7000000000000001E-2</v>
      </c>
      <c r="K21" s="86">
        <v>2.2000000000000001E-3</v>
      </c>
      <c r="L21" s="86">
        <v>0</v>
      </c>
      <c r="M21" s="86">
        <v>0</v>
      </c>
      <c r="N21" s="87">
        <v>2.988E-2</v>
      </c>
      <c r="O21" s="86">
        <f t="shared" si="0"/>
        <v>0.10719999999999999</v>
      </c>
      <c r="P21" s="88">
        <v>63115</v>
      </c>
      <c r="Q21" s="84">
        <v>30000</v>
      </c>
      <c r="R21" s="43" t="s">
        <v>55</v>
      </c>
      <c r="S21" s="89">
        <f t="shared" si="1"/>
        <v>81840</v>
      </c>
      <c r="T21" s="89"/>
      <c r="U21" s="83">
        <v>140442</v>
      </c>
      <c r="V21" s="43"/>
      <c r="W21" s="90"/>
      <c r="X21" s="90"/>
    </row>
    <row r="22" spans="1:24" s="47" customFormat="1" x14ac:dyDescent="0.2">
      <c r="A22" s="43" t="s">
        <v>143</v>
      </c>
      <c r="B22" s="84" t="s">
        <v>46</v>
      </c>
      <c r="C22" s="84" t="s">
        <v>44</v>
      </c>
      <c r="D22" s="85">
        <v>36526</v>
      </c>
      <c r="E22" s="85">
        <v>38291</v>
      </c>
      <c r="F22" s="45" t="s">
        <v>61</v>
      </c>
      <c r="G22" s="45" t="s">
        <v>47</v>
      </c>
      <c r="H22" s="84"/>
      <c r="I22" s="54">
        <f>1.0603/I$1</f>
        <v>3.4203225806451611E-2</v>
      </c>
      <c r="J22" s="86">
        <v>1.6999999999999999E-3</v>
      </c>
      <c r="K22" s="86">
        <v>2.2000000000000001E-3</v>
      </c>
      <c r="L22" s="86">
        <v>0</v>
      </c>
      <c r="M22" s="86">
        <v>0</v>
      </c>
      <c r="N22" s="87">
        <v>5.9300000000000004E-3</v>
      </c>
      <c r="O22" s="86">
        <f t="shared" si="0"/>
        <v>3.8103225806451611E-2</v>
      </c>
      <c r="P22" s="88">
        <v>63922</v>
      </c>
      <c r="Q22" s="84">
        <v>25654</v>
      </c>
      <c r="R22" s="43" t="s">
        <v>62</v>
      </c>
      <c r="S22" s="89">
        <f t="shared" si="1"/>
        <v>27200.9362</v>
      </c>
      <c r="T22" s="89"/>
      <c r="U22" s="83">
        <v>140444</v>
      </c>
      <c r="V22" s="43"/>
      <c r="W22" s="90"/>
      <c r="X22" s="90"/>
    </row>
    <row r="23" spans="1:24" s="47" customFormat="1" x14ac:dyDescent="0.2">
      <c r="A23" s="43" t="s">
        <v>143</v>
      </c>
      <c r="B23" s="84" t="s">
        <v>46</v>
      </c>
      <c r="C23" s="84" t="s">
        <v>44</v>
      </c>
      <c r="D23" s="85">
        <v>36526</v>
      </c>
      <c r="E23" s="85">
        <v>36769</v>
      </c>
      <c r="F23" s="45" t="s">
        <v>42</v>
      </c>
      <c r="G23" s="45" t="s">
        <v>43</v>
      </c>
      <c r="H23" s="84"/>
      <c r="I23" s="54">
        <v>6.4799999999999996E-2</v>
      </c>
      <c r="J23" s="86">
        <v>0</v>
      </c>
      <c r="K23" s="86">
        <v>2.2000000000000001E-3</v>
      </c>
      <c r="L23" s="86">
        <v>0</v>
      </c>
      <c r="M23" s="86">
        <v>0</v>
      </c>
      <c r="N23" s="87">
        <v>5.9300000000000004E-3</v>
      </c>
      <c r="O23" s="86">
        <f>SUM(I23:M23)</f>
        <v>6.699999999999999E-2</v>
      </c>
      <c r="P23" s="88">
        <v>64502</v>
      </c>
      <c r="Q23" s="84">
        <v>29000</v>
      </c>
      <c r="R23" s="43" t="s">
        <v>45</v>
      </c>
      <c r="S23" s="89">
        <f t="shared" si="1"/>
        <v>58255.199999999997</v>
      </c>
      <c r="T23" s="89"/>
      <c r="U23" s="83">
        <v>140440</v>
      </c>
      <c r="V23" s="89"/>
      <c r="W23" s="90"/>
      <c r="X23" s="90"/>
    </row>
    <row r="24" spans="1:24" s="47" customFormat="1" x14ac:dyDescent="0.2">
      <c r="A24" s="43" t="s">
        <v>143</v>
      </c>
      <c r="B24" s="84" t="s">
        <v>46</v>
      </c>
      <c r="C24" s="84" t="s">
        <v>291</v>
      </c>
      <c r="D24" s="85">
        <v>36465</v>
      </c>
      <c r="E24" s="85">
        <v>36830</v>
      </c>
      <c r="F24" s="104" t="s">
        <v>300</v>
      </c>
      <c r="G24" s="104" t="s">
        <v>288</v>
      </c>
      <c r="H24" s="84"/>
      <c r="I24" s="54">
        <f>3.145/I$1</f>
        <v>0.10145161290322581</v>
      </c>
      <c r="J24" s="86">
        <v>0</v>
      </c>
      <c r="K24" s="86">
        <v>2.2000000000000001E-3</v>
      </c>
      <c r="L24" s="86">
        <v>0</v>
      </c>
      <c r="M24" s="86">
        <v>0</v>
      </c>
      <c r="N24" s="87">
        <v>5.9300000000000004E-3</v>
      </c>
      <c r="O24" s="86">
        <f>SUM(I24:M24)</f>
        <v>0.1036516129032258</v>
      </c>
      <c r="P24" s="88">
        <v>65072</v>
      </c>
      <c r="Q24" s="84">
        <v>7610</v>
      </c>
      <c r="R24" s="95" t="s">
        <v>301</v>
      </c>
      <c r="S24" s="89">
        <f t="shared" si="1"/>
        <v>23933.45</v>
      </c>
      <c r="T24" s="89"/>
      <c r="U24" s="83">
        <v>145034</v>
      </c>
      <c r="V24" s="89"/>
      <c r="W24" s="90"/>
      <c r="X24" s="90"/>
    </row>
    <row r="25" spans="1:24" s="47" customFormat="1" x14ac:dyDescent="0.2">
      <c r="A25" s="43" t="s">
        <v>143</v>
      </c>
      <c r="B25" s="84" t="s">
        <v>46</v>
      </c>
      <c r="C25" s="84" t="s">
        <v>291</v>
      </c>
      <c r="D25" s="85">
        <v>36526</v>
      </c>
      <c r="E25" s="85">
        <v>36556</v>
      </c>
      <c r="F25" s="104" t="s">
        <v>300</v>
      </c>
      <c r="G25" s="104" t="s">
        <v>288</v>
      </c>
      <c r="H25" s="84"/>
      <c r="I25" s="54">
        <f>3.145/I$1</f>
        <v>0.10145161290322581</v>
      </c>
      <c r="J25" s="86">
        <v>0</v>
      </c>
      <c r="K25" s="86">
        <v>2.2000000000000001E-3</v>
      </c>
      <c r="L25" s="86">
        <v>0</v>
      </c>
      <c r="M25" s="86">
        <v>0</v>
      </c>
      <c r="N25" s="87">
        <v>5.9300000000000004E-3</v>
      </c>
      <c r="O25" s="86">
        <f>SUM(I25:M25)</f>
        <v>0.1036516129032258</v>
      </c>
      <c r="P25" s="88">
        <v>65072</v>
      </c>
      <c r="Q25" s="84">
        <v>-103</v>
      </c>
      <c r="R25" s="95" t="s">
        <v>295</v>
      </c>
      <c r="S25" s="89">
        <f t="shared" si="1"/>
        <v>-323.935</v>
      </c>
      <c r="T25" s="89"/>
      <c r="U25" s="83"/>
      <c r="V25" s="89"/>
      <c r="W25" s="90"/>
      <c r="X25" s="90"/>
    </row>
    <row r="26" spans="1:24" s="47" customFormat="1" x14ac:dyDescent="0.2">
      <c r="A26" s="43" t="s">
        <v>143</v>
      </c>
      <c r="B26" s="84" t="s">
        <v>46</v>
      </c>
      <c r="C26" s="84" t="s">
        <v>291</v>
      </c>
      <c r="D26" s="85">
        <v>36526</v>
      </c>
      <c r="E26" s="85">
        <v>36556</v>
      </c>
      <c r="F26" s="104" t="s">
        <v>300</v>
      </c>
      <c r="G26" s="104" t="s">
        <v>288</v>
      </c>
      <c r="H26" s="84"/>
      <c r="I26" s="54">
        <f>3.145/I$1</f>
        <v>0.10145161290322581</v>
      </c>
      <c r="J26" s="86">
        <v>0</v>
      </c>
      <c r="K26" s="86">
        <v>2.2000000000000001E-3</v>
      </c>
      <c r="L26" s="86">
        <v>0</v>
      </c>
      <c r="M26" s="86">
        <v>0</v>
      </c>
      <c r="N26" s="87">
        <v>5.9300000000000004E-3</v>
      </c>
      <c r="O26" s="86">
        <f>SUM(I26:M26)</f>
        <v>0.1036516129032258</v>
      </c>
      <c r="P26" s="88">
        <v>65072</v>
      </c>
      <c r="Q26" s="84">
        <v>-103</v>
      </c>
      <c r="R26" s="95" t="s">
        <v>298</v>
      </c>
      <c r="S26" s="89">
        <f t="shared" si="1"/>
        <v>-323.935</v>
      </c>
      <c r="T26" s="89"/>
      <c r="U26" s="83"/>
      <c r="V26" s="89"/>
      <c r="W26" s="90"/>
      <c r="X26" s="90"/>
    </row>
    <row r="27" spans="1:24" s="47" customFormat="1" x14ac:dyDescent="0.2">
      <c r="A27" s="43" t="s">
        <v>143</v>
      </c>
      <c r="B27" s="84" t="s">
        <v>46</v>
      </c>
      <c r="C27" s="84" t="s">
        <v>291</v>
      </c>
      <c r="D27" s="85">
        <v>36526</v>
      </c>
      <c r="E27" s="85">
        <v>36556</v>
      </c>
      <c r="F27" s="104" t="s">
        <v>300</v>
      </c>
      <c r="G27" s="104" t="s">
        <v>288</v>
      </c>
      <c r="H27" s="84"/>
      <c r="I27" s="54">
        <f>3.145/I$1</f>
        <v>0.10145161290322581</v>
      </c>
      <c r="J27" s="86">
        <v>0</v>
      </c>
      <c r="K27" s="86">
        <v>2.2000000000000001E-3</v>
      </c>
      <c r="L27" s="86">
        <v>0</v>
      </c>
      <c r="M27" s="86">
        <v>0</v>
      </c>
      <c r="N27" s="87">
        <v>5.9300000000000004E-3</v>
      </c>
      <c r="O27" s="86">
        <f t="shared" si="0"/>
        <v>0.1036516129032258</v>
      </c>
      <c r="P27" s="88">
        <v>65072</v>
      </c>
      <c r="Q27" s="84">
        <v>-230</v>
      </c>
      <c r="R27" s="95" t="s">
        <v>299</v>
      </c>
      <c r="S27" s="89">
        <f t="shared" si="1"/>
        <v>-723.35</v>
      </c>
      <c r="T27" s="89"/>
      <c r="U27" s="83"/>
      <c r="V27" s="89"/>
      <c r="W27" s="90"/>
      <c r="X27" s="90"/>
    </row>
    <row r="28" spans="1:24" x14ac:dyDescent="0.2">
      <c r="A28" s="10" t="s">
        <v>3</v>
      </c>
      <c r="B28" s="11" t="s">
        <v>3</v>
      </c>
      <c r="C28" s="12" t="s">
        <v>3</v>
      </c>
      <c r="D28" s="13" t="s">
        <v>3</v>
      </c>
      <c r="E28" s="13"/>
      <c r="F28" s="10" t="s">
        <v>3</v>
      </c>
      <c r="G28" s="31" t="s">
        <v>3</v>
      </c>
      <c r="H28" s="11" t="s">
        <v>3</v>
      </c>
      <c r="I28" s="14"/>
      <c r="J28" s="15"/>
      <c r="K28" s="15"/>
      <c r="L28" s="15"/>
      <c r="M28" s="15"/>
      <c r="N28" s="50"/>
      <c r="O28" s="15"/>
      <c r="P28" s="27" t="s">
        <v>3</v>
      </c>
      <c r="Q28" s="11">
        <f>SUM(Q17:Q27)</f>
        <v>196828</v>
      </c>
      <c r="R28" s="10" t="s">
        <v>3</v>
      </c>
      <c r="S28" s="23">
        <f>SUM(S17:S27)</f>
        <v>332460.36620000005</v>
      </c>
      <c r="T28" s="23">
        <f>SUM(T17:T27)</f>
        <v>0</v>
      </c>
      <c r="U28" s="72"/>
      <c r="V28" s="16"/>
      <c r="W28" s="37"/>
      <c r="X28" s="37"/>
    </row>
    <row r="29" spans="1:24" x14ac:dyDescent="0.2">
      <c r="A29" s="17" t="s">
        <v>4</v>
      </c>
      <c r="B29" s="18" t="s">
        <v>5</v>
      </c>
      <c r="C29" s="18" t="s">
        <v>6</v>
      </c>
      <c r="D29" s="19" t="s">
        <v>7</v>
      </c>
      <c r="E29" s="19"/>
      <c r="F29" s="17" t="s">
        <v>8</v>
      </c>
      <c r="G29" s="17" t="s">
        <v>9</v>
      </c>
      <c r="H29" s="18" t="s">
        <v>10</v>
      </c>
      <c r="I29" s="20" t="s">
        <v>11</v>
      </c>
      <c r="J29" s="18" t="s">
        <v>12</v>
      </c>
      <c r="K29" s="18" t="s">
        <v>13</v>
      </c>
      <c r="L29" s="18" t="s">
        <v>14</v>
      </c>
      <c r="M29" s="18" t="s">
        <v>15</v>
      </c>
      <c r="N29" s="49" t="s">
        <v>16</v>
      </c>
      <c r="O29" s="18" t="s">
        <v>17</v>
      </c>
      <c r="P29" s="21" t="s">
        <v>18</v>
      </c>
      <c r="Q29" s="18" t="s">
        <v>19</v>
      </c>
      <c r="R29" s="17" t="s">
        <v>20</v>
      </c>
      <c r="S29" s="22" t="s">
        <v>21</v>
      </c>
      <c r="T29" s="22" t="s">
        <v>21</v>
      </c>
      <c r="U29" s="70"/>
      <c r="V29" s="22" t="str">
        <f>+V16</f>
        <v>Questions</v>
      </c>
      <c r="W29" s="37"/>
      <c r="X29" s="37"/>
    </row>
    <row r="30" spans="1:24" s="47" customFormat="1" x14ac:dyDescent="0.2">
      <c r="A30" s="43" t="s">
        <v>143</v>
      </c>
      <c r="B30" s="84" t="s">
        <v>65</v>
      </c>
      <c r="C30" s="84" t="s">
        <v>291</v>
      </c>
      <c r="D30" s="85">
        <v>36464</v>
      </c>
      <c r="E30" s="85">
        <v>36860</v>
      </c>
      <c r="F30" s="104" t="s">
        <v>288</v>
      </c>
      <c r="G30" s="104" t="s">
        <v>289</v>
      </c>
      <c r="H30" s="84"/>
      <c r="I30" s="54">
        <f t="shared" ref="I30:I35" si="2">6.53/I$1</f>
        <v>0.2106451612903226</v>
      </c>
      <c r="J30" s="86">
        <v>1.32E-2</v>
      </c>
      <c r="K30" s="86">
        <v>2.2000000000000001E-3</v>
      </c>
      <c r="L30" s="86">
        <v>7.4999999999999997E-3</v>
      </c>
      <c r="M30" s="86">
        <v>0</v>
      </c>
      <c r="N30" s="87">
        <v>2.1160000000000002E-2</v>
      </c>
      <c r="O30" s="86">
        <f t="shared" ref="O30:O36" si="3">SUM(I30:M30)</f>
        <v>0.2335451612903226</v>
      </c>
      <c r="P30" s="88">
        <v>65071</v>
      </c>
      <c r="Q30" s="84">
        <v>5429</v>
      </c>
      <c r="R30" s="95" t="s">
        <v>290</v>
      </c>
      <c r="S30" s="89">
        <f t="shared" ref="S30:S35" si="4">I30*I$1*Q30</f>
        <v>35451.370000000003</v>
      </c>
      <c r="T30" s="89"/>
      <c r="U30" s="83">
        <v>144867</v>
      </c>
      <c r="V30" s="43"/>
      <c r="W30" s="90"/>
      <c r="X30" s="90"/>
    </row>
    <row r="31" spans="1:24" s="47" customFormat="1" x14ac:dyDescent="0.2">
      <c r="A31" s="43" t="s">
        <v>143</v>
      </c>
      <c r="B31" s="84" t="s">
        <v>65</v>
      </c>
      <c r="C31" s="84" t="s">
        <v>291</v>
      </c>
      <c r="D31" s="85">
        <v>36464</v>
      </c>
      <c r="E31" s="85">
        <v>36860</v>
      </c>
      <c r="F31" s="104" t="s">
        <v>288</v>
      </c>
      <c r="G31" s="104" t="s">
        <v>292</v>
      </c>
      <c r="H31" s="84"/>
      <c r="I31" s="54">
        <f t="shared" si="2"/>
        <v>0.2106451612903226</v>
      </c>
      <c r="J31" s="86">
        <v>1.32E-2</v>
      </c>
      <c r="K31" s="86">
        <v>2.2000000000000001E-3</v>
      </c>
      <c r="L31" s="86">
        <v>7.4999999999999997E-3</v>
      </c>
      <c r="M31" s="86">
        <v>0</v>
      </c>
      <c r="N31" s="87">
        <v>2.1160000000000002E-2</v>
      </c>
      <c r="O31" s="86">
        <f t="shared" si="3"/>
        <v>0.2335451612903226</v>
      </c>
      <c r="P31" s="88">
        <v>65071</v>
      </c>
      <c r="Q31" s="84">
        <v>1000</v>
      </c>
      <c r="R31" s="95" t="s">
        <v>290</v>
      </c>
      <c r="S31" s="89">
        <f t="shared" si="4"/>
        <v>6530</v>
      </c>
      <c r="T31" s="89"/>
      <c r="U31" s="83">
        <v>144867</v>
      </c>
      <c r="V31" s="43"/>
      <c r="W31" s="90"/>
      <c r="X31" s="90"/>
    </row>
    <row r="32" spans="1:24" s="47" customFormat="1" x14ac:dyDescent="0.2">
      <c r="A32" s="43" t="s">
        <v>143</v>
      </c>
      <c r="B32" s="84" t="s">
        <v>65</v>
      </c>
      <c r="C32" s="84" t="s">
        <v>291</v>
      </c>
      <c r="D32" s="85">
        <v>36464</v>
      </c>
      <c r="E32" s="85">
        <v>36860</v>
      </c>
      <c r="F32" s="104" t="s">
        <v>288</v>
      </c>
      <c r="G32" s="104" t="s">
        <v>293</v>
      </c>
      <c r="H32" s="84"/>
      <c r="I32" s="54">
        <f t="shared" si="2"/>
        <v>0.2106451612903226</v>
      </c>
      <c r="J32" s="86">
        <v>1.32E-2</v>
      </c>
      <c r="K32" s="86">
        <v>2.2000000000000001E-3</v>
      </c>
      <c r="L32" s="86">
        <v>7.4999999999999997E-3</v>
      </c>
      <c r="M32" s="86">
        <v>0</v>
      </c>
      <c r="N32" s="87">
        <v>2.1160000000000002E-2</v>
      </c>
      <c r="O32" s="86">
        <f t="shared" si="3"/>
        <v>0.2335451612903226</v>
      </c>
      <c r="P32" s="88">
        <v>65071</v>
      </c>
      <c r="Q32" s="84">
        <v>1000</v>
      </c>
      <c r="R32" s="95" t="s">
        <v>290</v>
      </c>
      <c r="S32" s="89">
        <f t="shared" si="4"/>
        <v>6530</v>
      </c>
      <c r="T32" s="89"/>
      <c r="U32" s="83">
        <v>144867</v>
      </c>
      <c r="V32" s="43"/>
      <c r="W32" s="90"/>
      <c r="X32" s="90"/>
    </row>
    <row r="33" spans="1:24" s="47" customFormat="1" x14ac:dyDescent="0.2">
      <c r="A33" s="43" t="s">
        <v>143</v>
      </c>
      <c r="B33" s="84" t="s">
        <v>65</v>
      </c>
      <c r="C33" s="84" t="s">
        <v>294</v>
      </c>
      <c r="D33" s="85">
        <v>36526</v>
      </c>
      <c r="E33" s="85">
        <v>36556</v>
      </c>
      <c r="F33" s="104" t="s">
        <v>288</v>
      </c>
      <c r="G33" s="104" t="s">
        <v>293</v>
      </c>
      <c r="H33" s="84"/>
      <c r="I33" s="54">
        <f t="shared" si="2"/>
        <v>0.2106451612903226</v>
      </c>
      <c r="J33" s="86">
        <v>1.32E-2</v>
      </c>
      <c r="K33" s="86">
        <v>2.2000000000000001E-3</v>
      </c>
      <c r="L33" s="86">
        <v>7.4999999999999997E-3</v>
      </c>
      <c r="M33" s="86">
        <v>0</v>
      </c>
      <c r="N33" s="87">
        <v>2.1160000000000002E-2</v>
      </c>
      <c r="O33" s="86">
        <f t="shared" si="3"/>
        <v>0.2335451612903226</v>
      </c>
      <c r="P33" s="88">
        <v>65071</v>
      </c>
      <c r="Q33" s="84">
        <v>-100</v>
      </c>
      <c r="R33" s="43" t="s">
        <v>295</v>
      </c>
      <c r="S33" s="89">
        <f t="shared" si="4"/>
        <v>-653</v>
      </c>
      <c r="T33" s="89"/>
      <c r="U33" s="83">
        <v>145052</v>
      </c>
      <c r="V33" s="43"/>
      <c r="W33" s="90"/>
      <c r="X33" s="90"/>
    </row>
    <row r="34" spans="1:24" s="47" customFormat="1" x14ac:dyDescent="0.2">
      <c r="A34" s="43" t="s">
        <v>143</v>
      </c>
      <c r="B34" s="84" t="s">
        <v>65</v>
      </c>
      <c r="C34" s="43" t="s">
        <v>296</v>
      </c>
      <c r="D34" s="85">
        <v>36526</v>
      </c>
      <c r="E34" s="85">
        <v>36556</v>
      </c>
      <c r="F34" s="104" t="s">
        <v>288</v>
      </c>
      <c r="G34" s="104" t="s">
        <v>289</v>
      </c>
      <c r="H34" s="84"/>
      <c r="I34" s="54">
        <f t="shared" si="2"/>
        <v>0.2106451612903226</v>
      </c>
      <c r="J34" s="86">
        <v>1.32E-2</v>
      </c>
      <c r="K34" s="86">
        <v>2.2000000000000001E-3</v>
      </c>
      <c r="L34" s="86">
        <v>7.4999999999999997E-3</v>
      </c>
      <c r="M34" s="86">
        <v>0</v>
      </c>
      <c r="N34" s="87">
        <v>2.1160000000000002E-2</v>
      </c>
      <c r="O34" s="86">
        <f t="shared" si="3"/>
        <v>0.2335451612903226</v>
      </c>
      <c r="P34" s="88">
        <v>65071</v>
      </c>
      <c r="Q34" s="84">
        <v>-100</v>
      </c>
      <c r="R34" s="43" t="s">
        <v>298</v>
      </c>
      <c r="S34" s="89">
        <f t="shared" si="4"/>
        <v>-653</v>
      </c>
      <c r="T34" s="89"/>
      <c r="U34" s="83">
        <v>145052</v>
      </c>
      <c r="V34" s="43"/>
      <c r="W34" s="90"/>
      <c r="X34" s="90"/>
    </row>
    <row r="35" spans="1:24" s="47" customFormat="1" x14ac:dyDescent="0.2">
      <c r="A35" s="43" t="s">
        <v>143</v>
      </c>
      <c r="B35" s="84" t="s">
        <v>65</v>
      </c>
      <c r="C35" s="43" t="s">
        <v>297</v>
      </c>
      <c r="D35" s="85">
        <v>36526</v>
      </c>
      <c r="E35" s="85">
        <v>36556</v>
      </c>
      <c r="F35" s="104" t="s">
        <v>288</v>
      </c>
      <c r="G35" s="104" t="s">
        <v>292</v>
      </c>
      <c r="H35" s="84"/>
      <c r="I35" s="54">
        <f t="shared" si="2"/>
        <v>0.2106451612903226</v>
      </c>
      <c r="J35" s="86">
        <v>1.32E-2</v>
      </c>
      <c r="K35" s="86">
        <v>2.2000000000000001E-3</v>
      </c>
      <c r="L35" s="86">
        <v>7.4999999999999997E-3</v>
      </c>
      <c r="M35" s="86">
        <v>0</v>
      </c>
      <c r="N35" s="87">
        <v>2.1160000000000002E-2</v>
      </c>
      <c r="O35" s="86">
        <f t="shared" si="3"/>
        <v>0.2335451612903226</v>
      </c>
      <c r="P35" s="88">
        <v>65071</v>
      </c>
      <c r="Q35" s="84">
        <v>-223</v>
      </c>
      <c r="R35" s="43" t="s">
        <v>299</v>
      </c>
      <c r="S35" s="89">
        <f t="shared" si="4"/>
        <v>-1456.19</v>
      </c>
      <c r="T35" s="89"/>
      <c r="U35" s="83">
        <v>145052</v>
      </c>
      <c r="V35" s="43"/>
      <c r="W35" s="90"/>
      <c r="X35" s="90"/>
    </row>
    <row r="36" spans="1:24" s="60" customFormat="1" x14ac:dyDescent="0.2">
      <c r="A36" s="43" t="s">
        <v>143</v>
      </c>
      <c r="B36" s="46" t="s">
        <v>65</v>
      </c>
      <c r="C36" s="46" t="s">
        <v>78</v>
      </c>
      <c r="D36" s="53">
        <v>36434</v>
      </c>
      <c r="E36" s="53">
        <v>36714</v>
      </c>
      <c r="F36" s="45" t="s">
        <v>72</v>
      </c>
      <c r="G36" s="45" t="s">
        <v>79</v>
      </c>
      <c r="H36" s="46"/>
      <c r="I36" s="54">
        <v>8.5000000000000006E-2</v>
      </c>
      <c r="J36" s="55">
        <v>1.32E-2</v>
      </c>
      <c r="K36" s="55">
        <v>2.2000000000000001E-3</v>
      </c>
      <c r="L36" s="55">
        <v>7.4999999999999997E-3</v>
      </c>
      <c r="M36" s="55">
        <v>0</v>
      </c>
      <c r="N36" s="56">
        <v>2.1160000000000002E-2</v>
      </c>
      <c r="O36" s="55">
        <f t="shared" si="3"/>
        <v>0.1079</v>
      </c>
      <c r="P36" s="59"/>
      <c r="Q36" s="46">
        <v>40000</v>
      </c>
      <c r="R36" s="45" t="s">
        <v>77</v>
      </c>
      <c r="S36" s="57">
        <f>I36*I$1*Q36</f>
        <v>105400.00000000001</v>
      </c>
      <c r="T36" s="57"/>
      <c r="U36" s="71"/>
      <c r="V36" s="57"/>
      <c r="W36" s="58"/>
      <c r="X36" s="58"/>
    </row>
    <row r="37" spans="1:24" x14ac:dyDescent="0.2">
      <c r="A37" s="10" t="s">
        <v>3</v>
      </c>
      <c r="B37" s="11" t="s">
        <v>3</v>
      </c>
      <c r="C37" s="11" t="s">
        <v>3</v>
      </c>
      <c r="D37" s="13" t="s">
        <v>3</v>
      </c>
      <c r="E37" s="13" t="s">
        <v>3</v>
      </c>
      <c r="F37" s="10" t="s">
        <v>3</v>
      </c>
      <c r="G37" s="31" t="s">
        <v>3</v>
      </c>
      <c r="H37" s="11" t="s">
        <v>3</v>
      </c>
      <c r="I37" s="14"/>
      <c r="J37" s="15"/>
      <c r="K37" s="15"/>
      <c r="L37" s="15"/>
      <c r="M37" s="15"/>
      <c r="N37" s="50"/>
      <c r="O37" s="15"/>
      <c r="P37" s="27" t="s">
        <v>3</v>
      </c>
      <c r="Q37" s="11">
        <f>SUM(Q30:Q36)</f>
        <v>47006</v>
      </c>
      <c r="R37" s="10" t="s">
        <v>3</v>
      </c>
      <c r="S37" s="23">
        <f>SUM(S30:S36)</f>
        <v>151149.18000000002</v>
      </c>
      <c r="T37" s="23">
        <f>SUM(T30:T36)</f>
        <v>0</v>
      </c>
      <c r="U37" s="72"/>
      <c r="V37" s="23"/>
      <c r="W37" s="37"/>
      <c r="X37" s="37"/>
    </row>
    <row r="38" spans="1:24" x14ac:dyDescent="0.2">
      <c r="A38" s="17" t="s">
        <v>4</v>
      </c>
      <c r="B38" s="18" t="s">
        <v>5</v>
      </c>
      <c r="C38" s="18" t="s">
        <v>6</v>
      </c>
      <c r="D38" s="19" t="s">
        <v>7</v>
      </c>
      <c r="E38" s="19"/>
      <c r="F38" s="17" t="s">
        <v>8</v>
      </c>
      <c r="G38" s="17" t="s">
        <v>9</v>
      </c>
      <c r="H38" s="18" t="s">
        <v>86</v>
      </c>
      <c r="I38" s="20" t="s">
        <v>11</v>
      </c>
      <c r="J38" s="18" t="s">
        <v>12</v>
      </c>
      <c r="K38" s="18" t="s">
        <v>13</v>
      </c>
      <c r="L38" s="18" t="s">
        <v>14</v>
      </c>
      <c r="M38" s="18" t="s">
        <v>15</v>
      </c>
      <c r="N38" s="49" t="s">
        <v>16</v>
      </c>
      <c r="O38" s="18" t="s">
        <v>17</v>
      </c>
      <c r="P38" s="21" t="s">
        <v>18</v>
      </c>
      <c r="Q38" s="18" t="s">
        <v>19</v>
      </c>
      <c r="R38" s="17" t="s">
        <v>20</v>
      </c>
      <c r="S38" s="22" t="s">
        <v>81</v>
      </c>
      <c r="T38" s="22" t="s">
        <v>80</v>
      </c>
      <c r="U38" s="70" t="s">
        <v>37</v>
      </c>
      <c r="V38" s="99" t="str">
        <f>+V29</f>
        <v>Questions</v>
      </c>
      <c r="W38" s="37"/>
      <c r="X38" s="37"/>
    </row>
    <row r="39" spans="1:24" s="129" customFormat="1" x14ac:dyDescent="0.2">
      <c r="A39" s="119" t="s">
        <v>143</v>
      </c>
      <c r="B39" s="120" t="s">
        <v>329</v>
      </c>
      <c r="C39" s="120" t="s">
        <v>44</v>
      </c>
      <c r="D39" s="121">
        <v>35612</v>
      </c>
      <c r="E39" s="121">
        <v>37437</v>
      </c>
      <c r="F39" s="119" t="s">
        <v>330</v>
      </c>
      <c r="G39" s="119" t="s">
        <v>330</v>
      </c>
      <c r="H39" s="120" t="s">
        <v>90</v>
      </c>
      <c r="I39" s="122">
        <f>7.007/$I$1</f>
        <v>0.22603225806451613</v>
      </c>
      <c r="J39" s="123">
        <v>0</v>
      </c>
      <c r="K39" s="123">
        <v>2.2000000000000001E-3</v>
      </c>
      <c r="L39" s="123">
        <v>7.1999999999999998E-3</v>
      </c>
      <c r="M39" s="123">
        <v>1.3100000000000001E-2</v>
      </c>
      <c r="N39" s="124">
        <v>0</v>
      </c>
      <c r="O39" s="123">
        <f>SUM(I39:M39)</f>
        <v>0.24853225806451615</v>
      </c>
      <c r="P39" s="125">
        <v>270</v>
      </c>
      <c r="Q39" s="120">
        <v>1000</v>
      </c>
      <c r="R39" s="119" t="s">
        <v>331</v>
      </c>
      <c r="S39" s="126">
        <f>I39*I$1*Q39</f>
        <v>7007</v>
      </c>
      <c r="T39" s="126"/>
      <c r="U39" s="127">
        <v>149901</v>
      </c>
      <c r="V39" s="119" t="s">
        <v>332</v>
      </c>
      <c r="W39" s="128"/>
      <c r="X39" s="128"/>
    </row>
    <row r="40" spans="1:24" s="109" customFormat="1" x14ac:dyDescent="0.2">
      <c r="A40" s="1"/>
      <c r="B40" s="3"/>
      <c r="C40" s="3"/>
      <c r="D40" s="4"/>
      <c r="E40" s="4"/>
      <c r="F40" s="1"/>
      <c r="G40" s="1"/>
      <c r="H40" s="3"/>
      <c r="I40" s="8"/>
      <c r="J40" s="5"/>
      <c r="K40" s="5"/>
      <c r="L40" s="5"/>
      <c r="M40" s="5"/>
      <c r="N40" s="48"/>
      <c r="O40" s="5"/>
      <c r="P40" s="117"/>
      <c r="Q40" s="3"/>
      <c r="R40" s="1"/>
      <c r="S40" s="9">
        <f>SUM(S39)</f>
        <v>7007</v>
      </c>
      <c r="T40" s="9"/>
      <c r="U40" s="118"/>
      <c r="V40" s="1"/>
      <c r="W40" s="37"/>
      <c r="X40" s="37"/>
    </row>
    <row r="41" spans="1:24" x14ac:dyDescent="0.2">
      <c r="A41" s="17" t="s">
        <v>4</v>
      </c>
      <c r="B41" s="18" t="s">
        <v>5</v>
      </c>
      <c r="C41" s="18" t="s">
        <v>6</v>
      </c>
      <c r="D41" s="19" t="s">
        <v>7</v>
      </c>
      <c r="E41" s="19"/>
      <c r="F41" s="17" t="s">
        <v>8</v>
      </c>
      <c r="G41" s="17" t="s">
        <v>9</v>
      </c>
      <c r="H41" s="18" t="s">
        <v>86</v>
      </c>
      <c r="I41" s="20" t="s">
        <v>11</v>
      </c>
      <c r="J41" s="18" t="s">
        <v>12</v>
      </c>
      <c r="K41" s="18" t="s">
        <v>13</v>
      </c>
      <c r="L41" s="18" t="s">
        <v>14</v>
      </c>
      <c r="M41" s="18" t="s">
        <v>15</v>
      </c>
      <c r="N41" s="49" t="s">
        <v>16</v>
      </c>
      <c r="O41" s="18" t="s">
        <v>17</v>
      </c>
      <c r="P41" s="21" t="s">
        <v>18</v>
      </c>
      <c r="Q41" s="18" t="s">
        <v>19</v>
      </c>
      <c r="R41" s="17" t="s">
        <v>20</v>
      </c>
      <c r="S41" s="22" t="s">
        <v>81</v>
      </c>
      <c r="T41" s="22" t="s">
        <v>80</v>
      </c>
      <c r="U41" s="70" t="s">
        <v>37</v>
      </c>
      <c r="V41" s="99" t="str">
        <f>+V38</f>
        <v>Questions</v>
      </c>
      <c r="W41" s="37"/>
      <c r="X41" s="37"/>
    </row>
    <row r="42" spans="1:24" s="47" customFormat="1" x14ac:dyDescent="0.2">
      <c r="A42" s="43" t="s">
        <v>143</v>
      </c>
      <c r="B42" s="84" t="s">
        <v>302</v>
      </c>
      <c r="C42" s="84" t="s">
        <v>291</v>
      </c>
      <c r="D42" s="85">
        <v>36465</v>
      </c>
      <c r="E42" s="85">
        <v>36830</v>
      </c>
      <c r="F42" s="43" t="s">
        <v>24</v>
      </c>
      <c r="G42" s="43" t="s">
        <v>27</v>
      </c>
      <c r="H42" s="84" t="s">
        <v>25</v>
      </c>
      <c r="I42" s="67">
        <f>23/$I$1</f>
        <v>0.74193548387096775</v>
      </c>
      <c r="J42" s="86">
        <v>0</v>
      </c>
      <c r="K42" s="86">
        <v>2.2000000000000001E-3</v>
      </c>
      <c r="L42" s="86">
        <v>7.1999999999999998E-3</v>
      </c>
      <c r="M42" s="86">
        <v>1.3100000000000001E-2</v>
      </c>
      <c r="N42" s="87">
        <v>0</v>
      </c>
      <c r="O42" s="86">
        <f>SUM(I42:M42)</f>
        <v>0.76443548387096771</v>
      </c>
      <c r="P42" s="102">
        <v>891865</v>
      </c>
      <c r="Q42" s="84">
        <v>16136</v>
      </c>
      <c r="R42" s="43"/>
      <c r="S42" s="89">
        <f>I42*I$1*Q42</f>
        <v>371128</v>
      </c>
      <c r="T42" s="89"/>
      <c r="U42" s="103">
        <v>145274</v>
      </c>
      <c r="V42" s="43"/>
      <c r="W42" s="90"/>
      <c r="X42" s="90"/>
    </row>
    <row r="43" spans="1:24" s="47" customFormat="1" x14ac:dyDescent="0.2">
      <c r="A43" s="43" t="s">
        <v>143</v>
      </c>
      <c r="B43" s="84" t="s">
        <v>302</v>
      </c>
      <c r="C43" s="84" t="s">
        <v>291</v>
      </c>
      <c r="D43" s="85">
        <v>36465</v>
      </c>
      <c r="E43" s="85">
        <v>36830</v>
      </c>
      <c r="F43" s="43" t="s">
        <v>24</v>
      </c>
      <c r="G43" s="43" t="s">
        <v>27</v>
      </c>
      <c r="H43" s="84" t="s">
        <v>25</v>
      </c>
      <c r="I43" s="67">
        <f>23/$I$1</f>
        <v>0.74193548387096775</v>
      </c>
      <c r="J43" s="86">
        <v>0</v>
      </c>
      <c r="K43" s="86">
        <v>2.2000000000000001E-3</v>
      </c>
      <c r="L43" s="86">
        <v>7.1999999999999998E-3</v>
      </c>
      <c r="M43" s="86">
        <v>1.3100000000000001E-2</v>
      </c>
      <c r="N43" s="87">
        <v>0</v>
      </c>
      <c r="O43" s="86">
        <f>SUM(I43:M43)</f>
        <v>0.76443548387096771</v>
      </c>
      <c r="P43" s="102">
        <v>891865</v>
      </c>
      <c r="Q43" s="84">
        <v>-575</v>
      </c>
      <c r="R43" s="43"/>
      <c r="S43" s="89">
        <f>I43*I$1*Q43</f>
        <v>-13225</v>
      </c>
      <c r="T43" s="89"/>
      <c r="U43" s="103">
        <v>146470</v>
      </c>
      <c r="V43" s="43"/>
      <c r="W43" s="90"/>
      <c r="X43" s="90"/>
    </row>
    <row r="44" spans="1:24" s="47" customFormat="1" x14ac:dyDescent="0.2">
      <c r="A44" s="43" t="s">
        <v>143</v>
      </c>
      <c r="B44" s="84" t="s">
        <v>302</v>
      </c>
      <c r="C44" s="84" t="s">
        <v>291</v>
      </c>
      <c r="D44" s="85">
        <v>36465</v>
      </c>
      <c r="E44" s="85">
        <v>36830</v>
      </c>
      <c r="F44" s="43" t="s">
        <v>24</v>
      </c>
      <c r="G44" s="43" t="s">
        <v>27</v>
      </c>
      <c r="H44" s="84" t="s">
        <v>25</v>
      </c>
      <c r="I44" s="67">
        <f>23/$I$1</f>
        <v>0.74193548387096775</v>
      </c>
      <c r="J44" s="86">
        <v>0</v>
      </c>
      <c r="K44" s="86">
        <v>2.2000000000000001E-3</v>
      </c>
      <c r="L44" s="86">
        <v>7.1999999999999998E-3</v>
      </c>
      <c r="M44" s="86">
        <v>1.3100000000000001E-2</v>
      </c>
      <c r="N44" s="87">
        <v>0</v>
      </c>
      <c r="O44" s="86">
        <f>SUM(I44:M44)</f>
        <v>0.76443548387096771</v>
      </c>
      <c r="P44" s="102">
        <v>891830</v>
      </c>
      <c r="Q44" s="84">
        <v>8068</v>
      </c>
      <c r="R44" s="43"/>
      <c r="S44" s="89">
        <f>I44*I$1*Q44</f>
        <v>185564</v>
      </c>
      <c r="T44" s="89"/>
      <c r="U44" s="103">
        <v>145275</v>
      </c>
      <c r="V44" s="43"/>
      <c r="W44" s="90"/>
      <c r="X44" s="90"/>
    </row>
    <row r="45" spans="1:24" x14ac:dyDescent="0.2">
      <c r="A45" s="1"/>
      <c r="B45" s="3"/>
      <c r="C45" s="3"/>
      <c r="D45" s="4"/>
      <c r="E45" s="4"/>
      <c r="F45" s="1"/>
      <c r="G45" s="1"/>
      <c r="H45" s="3"/>
      <c r="I45" s="8"/>
      <c r="J45" s="5"/>
      <c r="K45" s="24"/>
      <c r="L45" s="5"/>
      <c r="M45" s="5"/>
      <c r="N45" s="48"/>
      <c r="O45" s="5"/>
      <c r="P45" s="25"/>
      <c r="Q45" s="2"/>
      <c r="R45" s="3"/>
      <c r="S45" s="9">
        <f>SUM(S42:S44)</f>
        <v>543467</v>
      </c>
      <c r="T45" s="9"/>
      <c r="U45" s="73"/>
      <c r="V45" s="9"/>
      <c r="W45" s="37"/>
      <c r="X45" s="37"/>
    </row>
    <row r="46" spans="1:24" x14ac:dyDescent="0.2">
      <c r="A46" s="17" t="s">
        <v>4</v>
      </c>
      <c r="B46" s="18" t="s">
        <v>5</v>
      </c>
      <c r="C46" s="18" t="s">
        <v>6</v>
      </c>
      <c r="D46" s="19" t="s">
        <v>7</v>
      </c>
      <c r="E46" s="19"/>
      <c r="F46" s="17" t="s">
        <v>8</v>
      </c>
      <c r="G46" s="17" t="s">
        <v>9</v>
      </c>
      <c r="H46" s="18" t="s">
        <v>86</v>
      </c>
      <c r="I46" s="20" t="s">
        <v>11</v>
      </c>
      <c r="J46" s="18" t="s">
        <v>12</v>
      </c>
      <c r="K46" s="18" t="s">
        <v>13</v>
      </c>
      <c r="L46" s="18" t="s">
        <v>14</v>
      </c>
      <c r="M46" s="18" t="s">
        <v>15</v>
      </c>
      <c r="N46" s="49" t="s">
        <v>16</v>
      </c>
      <c r="O46" s="18" t="s">
        <v>17</v>
      </c>
      <c r="P46" s="21" t="s">
        <v>18</v>
      </c>
      <c r="Q46" s="18" t="s">
        <v>19</v>
      </c>
      <c r="R46" s="17" t="s">
        <v>20</v>
      </c>
      <c r="S46" s="22" t="s">
        <v>81</v>
      </c>
      <c r="T46" s="22" t="s">
        <v>80</v>
      </c>
      <c r="U46" s="70" t="s">
        <v>37</v>
      </c>
      <c r="V46" s="99" t="str">
        <f>+V41</f>
        <v>Questions</v>
      </c>
      <c r="W46" s="37"/>
      <c r="X46" s="37"/>
    </row>
    <row r="47" spans="1:24" s="47" customFormat="1" x14ac:dyDescent="0.2">
      <c r="A47" s="43" t="s">
        <v>161</v>
      </c>
      <c r="B47" s="84" t="s">
        <v>1</v>
      </c>
      <c r="C47" s="84" t="s">
        <v>236</v>
      </c>
      <c r="D47" s="85">
        <v>36526</v>
      </c>
      <c r="E47" s="85">
        <v>36556</v>
      </c>
      <c r="F47" s="43" t="s">
        <v>237</v>
      </c>
      <c r="G47" s="95" t="s">
        <v>238</v>
      </c>
      <c r="H47" s="84" t="s">
        <v>220</v>
      </c>
      <c r="I47" s="67">
        <f>8.061/$I$1</f>
        <v>0.26003225806451613</v>
      </c>
      <c r="J47" s="86">
        <v>0</v>
      </c>
      <c r="K47" s="86">
        <v>2.2000000000000001E-3</v>
      </c>
      <c r="L47" s="86">
        <v>7.1999999999999998E-3</v>
      </c>
      <c r="M47" s="86">
        <v>1.3100000000000001E-2</v>
      </c>
      <c r="N47" s="87">
        <v>0</v>
      </c>
      <c r="O47" s="86">
        <f>SUM(I47:M47)</f>
        <v>0.2825322580645161</v>
      </c>
      <c r="P47" s="102" t="s">
        <v>244</v>
      </c>
      <c r="Q47" s="84">
        <v>10000</v>
      </c>
      <c r="R47" s="43" t="s">
        <v>239</v>
      </c>
      <c r="S47" s="89">
        <f>I47*I$1*Q47</f>
        <v>80610</v>
      </c>
      <c r="T47" s="89"/>
      <c r="U47" s="103" t="s">
        <v>279</v>
      </c>
      <c r="V47" s="43"/>
      <c r="W47" s="90"/>
      <c r="X47" s="90"/>
    </row>
    <row r="48" spans="1:24" s="47" customFormat="1" x14ac:dyDescent="0.2">
      <c r="A48" s="43" t="s">
        <v>143</v>
      </c>
      <c r="B48" s="84" t="s">
        <v>1</v>
      </c>
      <c r="C48" s="84" t="s">
        <v>1</v>
      </c>
      <c r="D48" s="85" t="s">
        <v>304</v>
      </c>
      <c r="E48" s="85" t="s">
        <v>304</v>
      </c>
      <c r="F48" s="43" t="s">
        <v>305</v>
      </c>
      <c r="G48" s="43" t="s">
        <v>305</v>
      </c>
      <c r="H48" s="84" t="s">
        <v>306</v>
      </c>
      <c r="I48" s="67">
        <v>0</v>
      </c>
      <c r="J48" s="86">
        <v>0</v>
      </c>
      <c r="K48" s="86">
        <v>2.2000000000000001E-3</v>
      </c>
      <c r="L48" s="86">
        <v>7.1999999999999998E-3</v>
      </c>
      <c r="M48" s="86">
        <v>1.3100000000000001E-2</v>
      </c>
      <c r="N48" s="87">
        <v>0</v>
      </c>
      <c r="O48" s="86">
        <f>SUM(I48:M48)</f>
        <v>2.2499999999999999E-2</v>
      </c>
      <c r="P48" s="102" t="s">
        <v>308</v>
      </c>
      <c r="Q48" s="84">
        <v>0</v>
      </c>
      <c r="R48" s="43" t="s">
        <v>307</v>
      </c>
      <c r="S48" s="89">
        <f>I48*I$1*Q48</f>
        <v>0</v>
      </c>
      <c r="T48" s="89"/>
      <c r="U48" s="103">
        <v>145336</v>
      </c>
      <c r="V48" s="43"/>
      <c r="W48" s="90"/>
      <c r="X48" s="90"/>
    </row>
    <row r="49" spans="1:24" x14ac:dyDescent="0.2">
      <c r="A49" s="1"/>
      <c r="B49" s="3"/>
      <c r="C49" s="3"/>
      <c r="D49" s="4"/>
      <c r="E49" s="4"/>
      <c r="F49" s="1"/>
      <c r="G49" s="1"/>
      <c r="H49" s="3"/>
      <c r="I49" s="8"/>
      <c r="J49" s="5"/>
      <c r="K49" s="24"/>
      <c r="L49" s="5"/>
      <c r="M49" s="5"/>
      <c r="N49" s="48"/>
      <c r="O49" s="5"/>
      <c r="P49" s="25"/>
      <c r="Q49" s="2"/>
      <c r="R49" s="3"/>
      <c r="S49" s="9">
        <f>SUM(S47:S48)</f>
        <v>80610</v>
      </c>
      <c r="T49" s="9"/>
      <c r="U49" s="73"/>
      <c r="V49" s="9"/>
      <c r="W49" s="37"/>
      <c r="X49" s="37"/>
    </row>
    <row r="50" spans="1:24" x14ac:dyDescent="0.2">
      <c r="A50" s="1"/>
      <c r="B50" s="3"/>
      <c r="C50" s="3"/>
      <c r="D50" s="4"/>
      <c r="E50" s="4"/>
      <c r="F50" s="1"/>
      <c r="G50" s="1"/>
      <c r="H50" s="3"/>
      <c r="I50" s="8"/>
      <c r="J50" s="5"/>
      <c r="K50" s="24"/>
      <c r="L50" s="5"/>
      <c r="M50" s="5"/>
      <c r="N50" s="48"/>
      <c r="O50" s="5"/>
      <c r="P50" s="25"/>
      <c r="Q50" s="2"/>
      <c r="R50" s="3"/>
      <c r="S50" s="92"/>
      <c r="T50" s="9"/>
      <c r="U50" s="73"/>
      <c r="V50" s="9"/>
      <c r="W50" s="37"/>
      <c r="X50" s="37"/>
    </row>
    <row r="51" spans="1:24" x14ac:dyDescent="0.2">
      <c r="A51" s="1"/>
      <c r="B51" s="3"/>
      <c r="C51" s="3"/>
      <c r="D51" s="4"/>
      <c r="E51" s="4"/>
      <c r="F51" s="1"/>
      <c r="G51" s="1"/>
      <c r="H51" s="3"/>
      <c r="I51" s="8"/>
      <c r="J51" s="5"/>
      <c r="K51" s="24"/>
      <c r="L51" s="5"/>
      <c r="M51" s="5"/>
      <c r="N51" s="51"/>
      <c r="O51" s="5"/>
      <c r="P51" s="25"/>
      <c r="Q51" s="3"/>
      <c r="R51" s="3"/>
      <c r="V51" s="30"/>
      <c r="W51" s="38"/>
      <c r="X51" s="38"/>
    </row>
    <row r="52" spans="1:24" x14ac:dyDescent="0.2">
      <c r="A52" s="1"/>
      <c r="B52" s="3"/>
      <c r="C52" s="3"/>
      <c r="D52" s="4" t="s">
        <v>3</v>
      </c>
      <c r="E52" s="4"/>
      <c r="F52" s="1"/>
      <c r="G52" s="1"/>
      <c r="H52" s="3"/>
      <c r="I52" s="8"/>
      <c r="J52" s="5"/>
      <c r="K52" s="24"/>
      <c r="L52" s="5"/>
      <c r="M52" s="5"/>
      <c r="N52" s="48"/>
      <c r="O52" s="5"/>
      <c r="P52" s="62"/>
      <c r="Q52" s="34"/>
      <c r="R52" s="110" t="s">
        <v>320</v>
      </c>
      <c r="S52" s="111">
        <f>SUM(S49,S45,S40,S37,S28,S15)</f>
        <v>1306177.5462000002</v>
      </c>
      <c r="T52" s="40"/>
      <c r="U52" s="74"/>
      <c r="V52" s="40"/>
      <c r="W52" s="36"/>
      <c r="X52" s="36"/>
    </row>
    <row r="53" spans="1:24" x14ac:dyDescent="0.2">
      <c r="A53" s="28"/>
      <c r="B53" s="3"/>
      <c r="C53" s="3"/>
      <c r="D53" s="4"/>
      <c r="E53" s="4"/>
      <c r="F53" s="1"/>
      <c r="G53" s="1"/>
      <c r="H53" s="3"/>
      <c r="I53" s="8"/>
      <c r="J53" s="5"/>
      <c r="K53" s="5"/>
      <c r="L53" s="5"/>
      <c r="M53" s="5"/>
      <c r="N53" s="48"/>
      <c r="O53" s="5"/>
      <c r="P53" s="62"/>
      <c r="Q53" s="63"/>
      <c r="R53" s="29" t="s">
        <v>322</v>
      </c>
      <c r="S53" s="113">
        <f>SUM(S42:S44,S30:S35,S24:S27)</f>
        <v>611778.40999999992</v>
      </c>
      <c r="T53" s="29"/>
      <c r="U53" s="68"/>
      <c r="V53" s="29"/>
      <c r="W53" s="36"/>
      <c r="X53" s="36"/>
    </row>
    <row r="54" spans="1:24" ht="13.5" thickBot="1" x14ac:dyDescent="0.25">
      <c r="A54" s="28"/>
      <c r="B54" s="3"/>
      <c r="C54" s="3"/>
      <c r="D54" s="4"/>
      <c r="E54" s="4"/>
      <c r="F54" s="1"/>
      <c r="G54" s="1"/>
      <c r="H54" s="3"/>
      <c r="I54" s="5"/>
      <c r="J54" s="5"/>
      <c r="K54" s="5"/>
      <c r="L54" s="5"/>
      <c r="M54" s="5"/>
      <c r="N54" s="48"/>
      <c r="O54" s="5"/>
      <c r="P54" s="62"/>
      <c r="Q54" s="63"/>
      <c r="R54" s="29" t="s">
        <v>321</v>
      </c>
      <c r="S54" s="112">
        <f>+S52-S53</f>
        <v>694399.1362000003</v>
      </c>
      <c r="T54" s="29"/>
      <c r="U54" s="68"/>
      <c r="V54" s="29"/>
      <c r="W54" s="36"/>
      <c r="X54" s="36"/>
    </row>
    <row r="55" spans="1:24" ht="13.5" thickTop="1" x14ac:dyDescent="0.2">
      <c r="A55" s="28"/>
      <c r="B55" s="3"/>
      <c r="C55" s="3"/>
      <c r="D55" s="4"/>
      <c r="E55" s="4"/>
      <c r="F55" s="1"/>
      <c r="G55" s="1"/>
      <c r="H55" s="3"/>
      <c r="I55" s="8"/>
      <c r="J55" s="5"/>
      <c r="K55" s="5"/>
      <c r="L55" s="5"/>
      <c r="M55" s="5"/>
      <c r="N55" s="48"/>
      <c r="O55" s="5"/>
      <c r="P55" s="62"/>
      <c r="Q55" s="63"/>
      <c r="R55" s="29"/>
      <c r="S55" s="29"/>
      <c r="T55" s="29"/>
      <c r="U55" s="68"/>
      <c r="V55" s="29"/>
      <c r="W55" s="36"/>
      <c r="X55" s="36"/>
    </row>
    <row r="56" spans="1:24" x14ac:dyDescent="0.2">
      <c r="A56" s="28"/>
      <c r="B56" s="3"/>
      <c r="C56" s="3"/>
      <c r="D56" s="4"/>
      <c r="E56" s="4"/>
      <c r="F56" s="1"/>
      <c r="G56" s="1"/>
      <c r="H56" s="3"/>
      <c r="I56" s="5"/>
      <c r="J56" s="5"/>
      <c r="K56" s="5"/>
      <c r="L56" s="5"/>
      <c r="M56" s="5"/>
      <c r="N56" s="48"/>
      <c r="O56" s="5"/>
      <c r="P56" s="62"/>
      <c r="Q56" s="63"/>
      <c r="R56" s="29"/>
      <c r="S56" s="29"/>
      <c r="T56" s="29"/>
      <c r="U56" s="68"/>
      <c r="V56" s="29"/>
      <c r="W56" s="36"/>
      <c r="X56" s="36"/>
    </row>
    <row r="57" spans="1:24" x14ac:dyDescent="0.2">
      <c r="A57" s="28"/>
      <c r="B57" s="3"/>
      <c r="C57" s="3"/>
      <c r="D57" s="4"/>
      <c r="E57" s="4"/>
      <c r="F57" s="1"/>
      <c r="G57" s="1"/>
      <c r="H57" s="3"/>
      <c r="I57" s="8"/>
      <c r="J57" s="5"/>
      <c r="K57" s="5"/>
      <c r="L57" s="5"/>
      <c r="M57" s="5"/>
      <c r="N57" s="48"/>
      <c r="O57" s="5"/>
      <c r="P57" s="62"/>
      <c r="Q57" s="63"/>
      <c r="R57" s="29"/>
      <c r="S57" s="29"/>
      <c r="T57" s="29"/>
      <c r="U57" s="68"/>
      <c r="V57" s="29"/>
      <c r="W57" s="36"/>
      <c r="X57" s="36"/>
    </row>
    <row r="58" spans="1:24" x14ac:dyDescent="0.2">
      <c r="A58" s="28"/>
      <c r="B58" s="3"/>
      <c r="C58" s="3"/>
      <c r="D58" s="4"/>
      <c r="E58" s="4"/>
      <c r="F58" s="1"/>
      <c r="G58" s="1"/>
      <c r="H58" s="3"/>
      <c r="I58" s="5"/>
      <c r="J58" s="5"/>
      <c r="K58" s="5"/>
      <c r="L58" s="5"/>
      <c r="M58" s="5"/>
      <c r="N58" s="48"/>
      <c r="O58" s="5"/>
      <c r="P58" s="62"/>
      <c r="Q58" s="63"/>
      <c r="R58" s="29"/>
      <c r="S58" s="29"/>
      <c r="T58" s="29"/>
      <c r="U58" s="68"/>
      <c r="V58" s="29"/>
      <c r="W58" s="36"/>
      <c r="X58" s="36"/>
    </row>
    <row r="59" spans="1:24" x14ac:dyDescent="0.2">
      <c r="A59" s="28"/>
      <c r="B59" s="3"/>
      <c r="C59" s="3"/>
      <c r="D59" s="4"/>
      <c r="E59" s="4"/>
      <c r="F59" s="1"/>
      <c r="G59" s="1"/>
      <c r="H59" s="3"/>
      <c r="I59" s="5"/>
      <c r="J59" s="5"/>
      <c r="K59" s="5"/>
      <c r="L59" s="5"/>
      <c r="M59" s="5"/>
      <c r="N59" s="48"/>
      <c r="O59" s="5"/>
      <c r="P59" s="62"/>
      <c r="Q59" s="63"/>
      <c r="R59" s="29"/>
      <c r="S59" s="29"/>
      <c r="T59" s="29"/>
      <c r="U59" s="68"/>
      <c r="V59" s="29"/>
      <c r="W59" s="41"/>
      <c r="X59" s="36"/>
    </row>
    <row r="60" spans="1:24" x14ac:dyDescent="0.2">
      <c r="A60" s="28"/>
      <c r="B60" s="3"/>
      <c r="C60" s="3"/>
      <c r="D60" s="4"/>
      <c r="E60" s="4"/>
      <c r="F60" s="1"/>
      <c r="G60" s="1"/>
      <c r="H60" s="3"/>
      <c r="I60" s="5"/>
      <c r="J60" s="5"/>
      <c r="K60" s="5"/>
      <c r="L60" s="5"/>
      <c r="M60" s="5"/>
      <c r="N60" s="48"/>
      <c r="O60" s="5"/>
      <c r="P60" s="62"/>
      <c r="Q60" s="63"/>
      <c r="R60" s="29"/>
      <c r="S60" s="29"/>
      <c r="T60" s="29"/>
      <c r="U60" s="68"/>
      <c r="V60" s="29"/>
      <c r="W60" s="36"/>
      <c r="X60" s="36"/>
    </row>
    <row r="61" spans="1:24" x14ac:dyDescent="0.2">
      <c r="A61" s="28"/>
      <c r="B61" s="3"/>
      <c r="C61" s="3"/>
      <c r="D61" s="4"/>
      <c r="E61" s="4"/>
      <c r="F61" s="1"/>
      <c r="G61" s="1"/>
      <c r="H61" s="3"/>
      <c r="I61" s="5"/>
      <c r="J61" s="5"/>
      <c r="K61" s="5"/>
      <c r="L61" s="5"/>
      <c r="M61" s="5"/>
      <c r="N61" s="48"/>
      <c r="O61" s="5"/>
      <c r="P61" s="62"/>
      <c r="Q61" s="63"/>
      <c r="R61" s="29"/>
      <c r="S61" s="29"/>
      <c r="T61" s="29"/>
      <c r="U61" s="68"/>
      <c r="V61" s="29"/>
      <c r="W61" s="36"/>
      <c r="X61" s="36"/>
    </row>
    <row r="62" spans="1:24" x14ac:dyDescent="0.2">
      <c r="A62" s="28"/>
      <c r="B62" s="3"/>
      <c r="C62" s="3"/>
      <c r="D62" s="4"/>
      <c r="E62" s="4"/>
      <c r="F62" s="1"/>
      <c r="G62" s="1"/>
      <c r="H62" s="3"/>
      <c r="I62" s="8"/>
      <c r="J62" s="5"/>
      <c r="K62" s="5"/>
      <c r="L62" s="5"/>
      <c r="M62" s="5"/>
      <c r="N62" s="48"/>
      <c r="O62" s="5"/>
      <c r="P62" s="62"/>
      <c r="Q62" s="63"/>
      <c r="R62" s="41"/>
      <c r="S62" s="29"/>
      <c r="T62" s="29"/>
      <c r="U62" s="68"/>
      <c r="V62" s="29"/>
      <c r="W62" s="36"/>
      <c r="X62" s="36"/>
    </row>
    <row r="63" spans="1:24" x14ac:dyDescent="0.2">
      <c r="A63" s="28"/>
      <c r="B63" s="3"/>
      <c r="C63" s="3"/>
      <c r="D63" s="4"/>
      <c r="E63" s="4"/>
      <c r="F63" s="1"/>
      <c r="G63" s="1"/>
      <c r="H63" s="3"/>
      <c r="I63" s="8"/>
      <c r="J63" s="5"/>
      <c r="K63" s="5"/>
      <c r="L63" s="5"/>
      <c r="M63" s="5"/>
      <c r="N63" s="48"/>
      <c r="O63" s="5"/>
      <c r="P63" s="62"/>
      <c r="Q63" s="63"/>
      <c r="R63" s="41"/>
      <c r="S63" s="29"/>
      <c r="T63" s="29"/>
      <c r="U63" s="68"/>
      <c r="V63" s="29"/>
      <c r="W63" s="36"/>
      <c r="X63" s="36"/>
    </row>
    <row r="64" spans="1:24" x14ac:dyDescent="0.2">
      <c r="P64" s="35"/>
      <c r="Q64" s="35"/>
      <c r="R64" s="35"/>
      <c r="S64" s="35"/>
      <c r="T64" s="35"/>
      <c r="U64" s="64"/>
      <c r="V64" s="35"/>
      <c r="W64" s="64"/>
    </row>
    <row r="65" spans="16:23" x14ac:dyDescent="0.2">
      <c r="P65" s="35"/>
      <c r="Q65" s="35"/>
      <c r="R65" s="35"/>
      <c r="S65" s="35"/>
      <c r="T65" s="35"/>
      <c r="U65" s="64"/>
      <c r="V65" s="35"/>
      <c r="W65" s="64"/>
    </row>
  </sheetData>
  <pageMargins left="0.75" right="0.75" top="1" bottom="1" header="0.5" footer="0.5"/>
  <pageSetup paperSize="5" scale="6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Ces Retail</vt:lpstr>
      <vt:lpstr>IT &amp; Pooling</vt:lpstr>
      <vt:lpstr>Ces Wholesale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2000-01-14T16:45:44Z</cp:lastPrinted>
  <dcterms:created xsi:type="dcterms:W3CDTF">1998-07-21T12:15:25Z</dcterms:created>
  <dcterms:modified xsi:type="dcterms:W3CDTF">2014-09-03T12:32:07Z</dcterms:modified>
</cp:coreProperties>
</file>