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8220" tabRatio="602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calcPr calcId="152511"/>
</workbook>
</file>

<file path=xl/calcChain.xml><?xml version="1.0" encoding="utf-8"?>
<calcChain xmlns="http://schemas.openxmlformats.org/spreadsheetml/2006/main">
  <c r="J12" i="19" l="1"/>
  <c r="P12" i="19"/>
  <c r="U12" i="19"/>
  <c r="J13" i="19"/>
  <c r="U13" i="19" s="1"/>
  <c r="P13" i="19"/>
  <c r="J14" i="19"/>
  <c r="P14" i="19"/>
  <c r="U14" i="19"/>
  <c r="J15" i="19"/>
  <c r="P15" i="19"/>
  <c r="U15" i="19"/>
  <c r="J16" i="19"/>
  <c r="J17" i="19"/>
  <c r="J18" i="19"/>
  <c r="P18" i="19"/>
  <c r="U18" i="19"/>
  <c r="J19" i="19"/>
  <c r="P19" i="19" s="1"/>
  <c r="U19" i="19"/>
  <c r="J20" i="19"/>
  <c r="P20" i="19"/>
  <c r="U20" i="19"/>
  <c r="J21" i="19"/>
  <c r="U21" i="19" s="1"/>
  <c r="P21" i="19"/>
  <c r="J22" i="19"/>
  <c r="P22" i="19"/>
  <c r="U22" i="19"/>
  <c r="J23" i="19"/>
  <c r="U23" i="19" s="1"/>
  <c r="P23" i="19"/>
  <c r="J24" i="19"/>
  <c r="J25" i="19"/>
  <c r="P25" i="19" s="1"/>
  <c r="J26" i="19"/>
  <c r="P26" i="19"/>
  <c r="U26" i="19"/>
  <c r="J27" i="19"/>
  <c r="P27" i="19" s="1"/>
  <c r="U27" i="19"/>
  <c r="A28" i="19"/>
  <c r="J28" i="19"/>
  <c r="P28" i="19" s="1"/>
  <c r="S29" i="19"/>
  <c r="V29" i="19"/>
  <c r="J31" i="19"/>
  <c r="J32" i="19"/>
  <c r="P32" i="19"/>
  <c r="U32" i="19"/>
  <c r="J33" i="19"/>
  <c r="P33" i="19" s="1"/>
  <c r="U33" i="19"/>
  <c r="J34" i="19"/>
  <c r="P34" i="19"/>
  <c r="U34" i="19"/>
  <c r="J35" i="19"/>
  <c r="U35" i="19" s="1"/>
  <c r="P35" i="19"/>
  <c r="J36" i="19"/>
  <c r="P36" i="19"/>
  <c r="U36" i="19"/>
  <c r="P37" i="19"/>
  <c r="U37" i="19"/>
  <c r="J38" i="19"/>
  <c r="U38" i="19" s="1"/>
  <c r="J39" i="19"/>
  <c r="P39" i="19"/>
  <c r="U39" i="19"/>
  <c r="U40" i="19"/>
  <c r="U41" i="19"/>
  <c r="S42" i="19"/>
  <c r="V42" i="19"/>
  <c r="X43" i="19"/>
  <c r="J44" i="19"/>
  <c r="P44" i="19" s="1"/>
  <c r="U44" i="19"/>
  <c r="P45" i="19"/>
  <c r="U45" i="19"/>
  <c r="P46" i="19"/>
  <c r="U46" i="19"/>
  <c r="J47" i="19"/>
  <c r="P47" i="19"/>
  <c r="U47" i="19"/>
  <c r="J48" i="19"/>
  <c r="P48" i="19"/>
  <c r="U48" i="19"/>
  <c r="J49" i="19"/>
  <c r="J50" i="19"/>
  <c r="P50" i="19" s="1"/>
  <c r="J51" i="19"/>
  <c r="P51" i="19" s="1"/>
  <c r="J52" i="19"/>
  <c r="P52" i="19"/>
  <c r="U52" i="19"/>
  <c r="J53" i="19"/>
  <c r="P53" i="19"/>
  <c r="U53" i="19"/>
  <c r="J54" i="19"/>
  <c r="U54" i="19" s="1"/>
  <c r="P54" i="19"/>
  <c r="J55" i="19"/>
  <c r="P55" i="19"/>
  <c r="U55" i="19"/>
  <c r="J56" i="19"/>
  <c r="P56" i="19" s="1"/>
  <c r="U56" i="19"/>
  <c r="J57" i="19"/>
  <c r="J58" i="19"/>
  <c r="P58" i="19" s="1"/>
  <c r="U58" i="19"/>
  <c r="J59" i="19"/>
  <c r="U59" i="19" s="1"/>
  <c r="J60" i="19"/>
  <c r="P60" i="19"/>
  <c r="U60" i="19"/>
  <c r="P61" i="19"/>
  <c r="U61" i="19"/>
  <c r="P62" i="19"/>
  <c r="U62" i="19"/>
  <c r="J63" i="19"/>
  <c r="J64" i="19"/>
  <c r="P64" i="19" s="1"/>
  <c r="U64" i="19"/>
  <c r="J65" i="19"/>
  <c r="P65" i="19"/>
  <c r="U65" i="19"/>
  <c r="J66" i="19"/>
  <c r="P66" i="19"/>
  <c r="U66" i="19"/>
  <c r="J67" i="19"/>
  <c r="P67" i="19"/>
  <c r="U67" i="19"/>
  <c r="J68" i="19"/>
  <c r="U68" i="19" s="1"/>
  <c r="P68" i="19"/>
  <c r="J69" i="19"/>
  <c r="P69" i="19"/>
  <c r="U69" i="19"/>
  <c r="J70" i="19"/>
  <c r="P70" i="19"/>
  <c r="U70" i="19"/>
  <c r="J71" i="19"/>
  <c r="J72" i="19"/>
  <c r="P72" i="19" s="1"/>
  <c r="U72" i="19"/>
  <c r="J73" i="19"/>
  <c r="J74" i="19"/>
  <c r="P74" i="19"/>
  <c r="U74" i="19"/>
  <c r="J75" i="19"/>
  <c r="P75" i="19"/>
  <c r="U75" i="19"/>
  <c r="J76" i="19"/>
  <c r="U76" i="19" s="1"/>
  <c r="J77" i="19"/>
  <c r="P77" i="19"/>
  <c r="U77" i="19"/>
  <c r="J78" i="19"/>
  <c r="P78" i="19"/>
  <c r="U78" i="19"/>
  <c r="J79" i="19"/>
  <c r="U79" i="19" s="1"/>
  <c r="J80" i="19"/>
  <c r="P80" i="19"/>
  <c r="U80" i="19"/>
  <c r="J81" i="19"/>
  <c r="P81" i="19"/>
  <c r="U81" i="19"/>
  <c r="J82" i="19"/>
  <c r="J83" i="19"/>
  <c r="U83" i="19" s="1"/>
  <c r="J84" i="19"/>
  <c r="P84" i="19"/>
  <c r="U84" i="19"/>
  <c r="J85" i="19"/>
  <c r="J86" i="19"/>
  <c r="P86" i="19" s="1"/>
  <c r="U86" i="19"/>
  <c r="J87" i="19"/>
  <c r="U87" i="19" s="1"/>
  <c r="J88" i="19"/>
  <c r="U88" i="19" s="1"/>
  <c r="J89" i="19"/>
  <c r="U89" i="19"/>
  <c r="U90" i="19"/>
  <c r="U91" i="19"/>
  <c r="U92" i="19"/>
  <c r="U93" i="19"/>
  <c r="U95" i="19"/>
  <c r="U96" i="19"/>
  <c r="U97" i="19"/>
  <c r="S98" i="19"/>
  <c r="V98" i="19"/>
  <c r="X99" i="19"/>
  <c r="J100" i="19"/>
  <c r="U100" i="19" s="1"/>
  <c r="P100" i="19"/>
  <c r="J101" i="19"/>
  <c r="P101" i="19"/>
  <c r="U101" i="19"/>
  <c r="J102" i="19"/>
  <c r="P102" i="19" s="1"/>
  <c r="U102" i="19"/>
  <c r="J103" i="19"/>
  <c r="J104" i="19"/>
  <c r="J105" i="19"/>
  <c r="P105" i="19"/>
  <c r="U105" i="19"/>
  <c r="J106" i="19"/>
  <c r="P106" i="19"/>
  <c r="U106" i="19"/>
  <c r="J107" i="19"/>
  <c r="P107" i="19"/>
  <c r="U107" i="19"/>
  <c r="J108" i="19"/>
  <c r="U108" i="19" s="1"/>
  <c r="J109" i="19"/>
  <c r="P109" i="19"/>
  <c r="U109" i="19"/>
  <c r="J110" i="19"/>
  <c r="J111" i="19"/>
  <c r="J112" i="19"/>
  <c r="P112" i="19" s="1"/>
  <c r="J113" i="19"/>
  <c r="P113" i="19"/>
  <c r="U113" i="19"/>
  <c r="J114" i="19"/>
  <c r="P114" i="19"/>
  <c r="U114" i="19"/>
  <c r="J115" i="19"/>
  <c r="P115" i="19"/>
  <c r="U115" i="19"/>
  <c r="J116" i="19"/>
  <c r="U116" i="19" s="1"/>
  <c r="J117" i="19"/>
  <c r="P117" i="19"/>
  <c r="U117" i="19"/>
  <c r="J118" i="19"/>
  <c r="P118" i="19" s="1"/>
  <c r="U118" i="19"/>
  <c r="J119" i="19"/>
  <c r="U119" i="19" s="1"/>
  <c r="J120" i="19"/>
  <c r="U120" i="19"/>
  <c r="U121" i="19"/>
  <c r="S125" i="19"/>
  <c r="X126" i="19"/>
  <c r="J127" i="19"/>
  <c r="X129" i="19"/>
  <c r="P130" i="19"/>
  <c r="U130" i="19"/>
  <c r="J131" i="19"/>
  <c r="P131" i="19"/>
  <c r="U131" i="19"/>
  <c r="J132" i="19"/>
  <c r="U132" i="19"/>
  <c r="J133" i="19"/>
  <c r="S133" i="19"/>
  <c r="U135" i="19"/>
  <c r="X137" i="19"/>
  <c r="J138" i="19"/>
  <c r="P138" i="19"/>
  <c r="U138" i="19"/>
  <c r="J139" i="19"/>
  <c r="J140" i="19"/>
  <c r="U140" i="19" s="1"/>
  <c r="P141" i="19"/>
  <c r="U141" i="19"/>
  <c r="J142" i="19"/>
  <c r="U142" i="19" s="1"/>
  <c r="J143" i="19"/>
  <c r="U143" i="19" s="1"/>
  <c r="P143" i="19"/>
  <c r="P144" i="19"/>
  <c r="U144" i="19"/>
  <c r="U146" i="19"/>
  <c r="U147" i="19"/>
  <c r="X151" i="19"/>
  <c r="P152" i="19"/>
  <c r="U152" i="19"/>
  <c r="P153" i="19"/>
  <c r="U153" i="19"/>
  <c r="P154" i="19"/>
  <c r="U154" i="19"/>
  <c r="U166" i="19" s="1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P162" i="19"/>
  <c r="U162" i="19"/>
  <c r="P163" i="19"/>
  <c r="U163" i="19"/>
  <c r="J164" i="19"/>
  <c r="U164" i="19" s="1"/>
  <c r="J165" i="19"/>
  <c r="U165" i="19"/>
  <c r="S166" i="19"/>
  <c r="X167" i="19"/>
  <c r="P168" i="19"/>
  <c r="U168" i="19"/>
  <c r="P169" i="19"/>
  <c r="U169" i="19"/>
  <c r="P170" i="19"/>
  <c r="U170" i="19"/>
  <c r="P171" i="19"/>
  <c r="U171" i="19"/>
  <c r="P172" i="19"/>
  <c r="U172" i="19"/>
  <c r="P173" i="19"/>
  <c r="U173" i="19"/>
  <c r="P174" i="19"/>
  <c r="U174" i="19"/>
  <c r="S175" i="19"/>
  <c r="U175" i="19"/>
  <c r="X176" i="19"/>
  <c r="P177" i="19"/>
  <c r="U177" i="19"/>
  <c r="P178" i="19"/>
  <c r="U178" i="19"/>
  <c r="P179" i="19"/>
  <c r="U179" i="19"/>
  <c r="J180" i="19"/>
  <c r="U180" i="19" s="1"/>
  <c r="P180" i="19"/>
  <c r="J181" i="19"/>
  <c r="J182" i="19"/>
  <c r="P182" i="19" s="1"/>
  <c r="S182" i="19"/>
  <c r="J183" i="19"/>
  <c r="U183" i="19" s="1"/>
  <c r="J184" i="19"/>
  <c r="P184" i="19"/>
  <c r="U184" i="19"/>
  <c r="J185" i="19"/>
  <c r="P185" i="19"/>
  <c r="S185" i="19"/>
  <c r="U185" i="19"/>
  <c r="J186" i="19"/>
  <c r="P186" i="19"/>
  <c r="U186" i="19"/>
  <c r="J187" i="19"/>
  <c r="U187" i="19" s="1"/>
  <c r="P188" i="19"/>
  <c r="U188" i="19"/>
  <c r="P189" i="19"/>
  <c r="U189" i="19"/>
  <c r="P190" i="19"/>
  <c r="U190" i="19"/>
  <c r="P191" i="19"/>
  <c r="U191" i="19"/>
  <c r="J192" i="19"/>
  <c r="P192" i="19"/>
  <c r="U192" i="19"/>
  <c r="J193" i="19"/>
  <c r="P193" i="19"/>
  <c r="U193" i="19"/>
  <c r="J194" i="19"/>
  <c r="P194" i="19" s="1"/>
  <c r="P195" i="19"/>
  <c r="U196" i="19"/>
  <c r="U197" i="19"/>
  <c r="F6" i="22"/>
  <c r="I6" i="22"/>
  <c r="K6" i="22" s="1"/>
  <c r="O6" i="22"/>
  <c r="Q6" i="22"/>
  <c r="A7" i="22"/>
  <c r="D7" i="22"/>
  <c r="I7" i="22"/>
  <c r="P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8" i="22"/>
  <c r="P8" i="22"/>
  <c r="I9" i="22"/>
  <c r="P9" i="22"/>
  <c r="I10" i="22"/>
  <c r="P10" i="22"/>
  <c r="P11" i="22" s="1"/>
  <c r="F11" i="22"/>
  <c r="K11" i="22" s="1"/>
  <c r="I11" i="22"/>
  <c r="B12" i="22"/>
  <c r="C12" i="22"/>
  <c r="D12" i="22"/>
  <c r="H12" i="22"/>
  <c r="I12" i="22"/>
  <c r="P12" i="22"/>
  <c r="P13" i="22" s="1"/>
  <c r="D13" i="22"/>
  <c r="D14" i="22" s="1"/>
  <c r="H13" i="22"/>
  <c r="I13" i="22"/>
  <c r="H14" i="22"/>
  <c r="I14" i="22"/>
  <c r="D15" i="22"/>
  <c r="D16" i="22" s="1"/>
  <c r="D17" i="22" s="1"/>
  <c r="D18" i="22" s="1"/>
  <c r="D19" i="22" s="1"/>
  <c r="D20" i="22" s="1"/>
  <c r="D21" i="22" s="1"/>
  <c r="D22" i="22" s="1"/>
  <c r="D23" i="22" s="1"/>
  <c r="D24" i="22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Z30" i="22"/>
  <c r="Z31" i="22"/>
  <c r="Z32" i="22"/>
  <c r="Z33" i="22"/>
  <c r="Z34" i="22"/>
  <c r="Z35" i="22"/>
  <c r="Z36" i="22"/>
  <c r="M38" i="22"/>
  <c r="X38" i="22"/>
  <c r="Z38" i="22"/>
  <c r="C5" i="21"/>
  <c r="C7" i="21" s="1"/>
  <c r="C8" i="21" s="1"/>
  <c r="C14" i="21"/>
  <c r="C16" i="21" s="1"/>
  <c r="C17" i="21" s="1"/>
  <c r="E14" i="21"/>
  <c r="E16" i="21"/>
  <c r="E17" i="21"/>
  <c r="C29" i="21"/>
  <c r="E29" i="21"/>
  <c r="C31" i="21"/>
  <c r="C32" i="21" s="1"/>
  <c r="E31" i="21"/>
  <c r="E32" i="21"/>
  <c r="C47" i="21"/>
  <c r="C49" i="21" s="1"/>
  <c r="C51" i="21" s="1"/>
  <c r="E47" i="21"/>
  <c r="G47" i="21"/>
  <c r="E49" i="21"/>
  <c r="E51" i="21" s="1"/>
  <c r="G49" i="21"/>
  <c r="G51" i="21"/>
  <c r="C52" i="21"/>
  <c r="E52" i="21" s="1"/>
  <c r="C69" i="21"/>
  <c r="E69" i="21"/>
  <c r="C71" i="21"/>
  <c r="C72" i="21"/>
  <c r="E66" i="21" s="1"/>
  <c r="E71" i="21" s="1"/>
  <c r="E72" i="21" s="1"/>
  <c r="E80" i="21"/>
  <c r="C81" i="21"/>
  <c r="E81" i="21"/>
  <c r="C83" i="21"/>
  <c r="C84" i="21" s="1"/>
  <c r="E83" i="21"/>
  <c r="E84" i="21"/>
  <c r="C93" i="21"/>
  <c r="C95" i="21" s="1"/>
  <c r="C96" i="21" s="1"/>
  <c r="C103" i="21"/>
  <c r="C105" i="21" s="1"/>
  <c r="C106" i="21"/>
  <c r="C122" i="21"/>
  <c r="C124" i="21" s="1"/>
  <c r="C125" i="21"/>
  <c r="C133" i="21"/>
  <c r="C135" i="21"/>
  <c r="C136" i="21" s="1"/>
  <c r="C144" i="21"/>
  <c r="K144" i="21"/>
  <c r="K146" i="21" s="1"/>
  <c r="K147" i="21" s="1"/>
  <c r="C146" i="21"/>
  <c r="C147" i="21"/>
  <c r="C153" i="21"/>
  <c r="C155" i="21"/>
  <c r="C157" i="21" s="1"/>
  <c r="G18" i="24"/>
  <c r="F26" i="24"/>
  <c r="C28" i="24"/>
  <c r="D28" i="24"/>
  <c r="F28" i="24"/>
  <c r="G28" i="24"/>
  <c r="C30" i="24"/>
  <c r="D30" i="24"/>
  <c r="F30" i="24"/>
  <c r="G30" i="24"/>
  <c r="C32" i="24"/>
  <c r="D32" i="24"/>
  <c r="F32" i="24"/>
  <c r="G32" i="24"/>
  <c r="C34" i="24"/>
  <c r="D34" i="24"/>
  <c r="F34" i="24"/>
  <c r="G34" i="24"/>
  <c r="G5" i="23"/>
  <c r="I5" i="23" s="1"/>
  <c r="K5" i="23"/>
  <c r="M5" i="23"/>
  <c r="O5" i="23"/>
  <c r="Q5" i="23" s="1"/>
  <c r="A6" i="23"/>
  <c r="D6" i="23"/>
  <c r="D7" i="23" s="1"/>
  <c r="D8" i="23" s="1"/>
  <c r="D9" i="23" s="1"/>
  <c r="D10" i="23" s="1"/>
  <c r="K10" i="23" s="1"/>
  <c r="M10" i="23" s="1"/>
  <c r="E6" i="23"/>
  <c r="E7" i="23" s="1"/>
  <c r="E8" i="23" s="1"/>
  <c r="G6" i="23"/>
  <c r="I6" i="23" s="1"/>
  <c r="K6" i="23"/>
  <c r="M6" i="23" s="1"/>
  <c r="O6" i="23"/>
  <c r="P6" i="23"/>
  <c r="Q6" i="23" s="1"/>
  <c r="A7" i="23"/>
  <c r="A8" i="23" s="1"/>
  <c r="G7" i="23"/>
  <c r="I7" i="23"/>
  <c r="K7" i="23"/>
  <c r="M7" i="23"/>
  <c r="G8" i="23"/>
  <c r="I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G9" i="23"/>
  <c r="I9" i="23"/>
  <c r="K9" i="23"/>
  <c r="M9" i="23" s="1"/>
  <c r="P9" i="23"/>
  <c r="G10" i="23"/>
  <c r="I10" i="23"/>
  <c r="P10" i="23"/>
  <c r="D11" i="23"/>
  <c r="K11" i="23" s="1"/>
  <c r="M11" i="23" s="1"/>
  <c r="G11" i="23"/>
  <c r="I11" i="23" s="1"/>
  <c r="G12" i="23"/>
  <c r="I12" i="23" s="1"/>
  <c r="G13" i="23"/>
  <c r="I13" i="23"/>
  <c r="P13" i="23"/>
  <c r="P14" i="23" s="1"/>
  <c r="G14" i="23"/>
  <c r="I14" i="23" s="1"/>
  <c r="G15" i="23"/>
  <c r="I15" i="23"/>
  <c r="G16" i="23"/>
  <c r="I16" i="23" s="1"/>
  <c r="G17" i="23"/>
  <c r="I17" i="23" s="1"/>
  <c r="G18" i="23"/>
  <c r="I18" i="23" s="1"/>
  <c r="G19" i="23"/>
  <c r="I19" i="23"/>
  <c r="P19" i="23"/>
  <c r="P20" i="23" s="1"/>
  <c r="G20" i="23"/>
  <c r="I20" i="23" s="1"/>
  <c r="G21" i="23"/>
  <c r="I21" i="23" s="1"/>
  <c r="P21" i="23"/>
  <c r="G22" i="23"/>
  <c r="I22" i="23" s="1"/>
  <c r="G23" i="23"/>
  <c r="I23" i="23" s="1"/>
  <c r="G24" i="23"/>
  <c r="I24" i="23"/>
  <c r="G25" i="23"/>
  <c r="I25" i="23" s="1"/>
  <c r="G26" i="23"/>
  <c r="I26" i="23" s="1"/>
  <c r="P26" i="23"/>
  <c r="G27" i="23"/>
  <c r="I27" i="23" s="1"/>
  <c r="P27" i="23"/>
  <c r="G28" i="23"/>
  <c r="I28" i="23" s="1"/>
  <c r="G29" i="23"/>
  <c r="I29" i="23"/>
  <c r="G30" i="23"/>
  <c r="I30" i="23"/>
  <c r="G31" i="23"/>
  <c r="I31" i="23"/>
  <c r="G32" i="23"/>
  <c r="I32" i="23" s="1"/>
  <c r="G33" i="23"/>
  <c r="I33" i="23"/>
  <c r="G34" i="23"/>
  <c r="I34" i="23"/>
  <c r="G35" i="23"/>
  <c r="I35" i="23"/>
  <c r="H37" i="23"/>
  <c r="L37" i="23"/>
  <c r="I37" i="23" l="1"/>
  <c r="P28" i="23"/>
  <c r="P31" i="19"/>
  <c r="U31" i="19"/>
  <c r="U42" i="19" s="1"/>
  <c r="C13" i="22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P142" i="19"/>
  <c r="P17" i="19"/>
  <c r="U17" i="19"/>
  <c r="P73" i="19"/>
  <c r="U73" i="19"/>
  <c r="B13" i="22"/>
  <c r="F12" i="22"/>
  <c r="K12" i="22" s="1"/>
  <c r="P116" i="19"/>
  <c r="F7" i="22"/>
  <c r="D8" i="22"/>
  <c r="P16" i="19"/>
  <c r="U16" i="19"/>
  <c r="E9" i="23"/>
  <c r="O8" i="23"/>
  <c r="Q8" i="23" s="1"/>
  <c r="P14" i="22"/>
  <c r="U133" i="19"/>
  <c r="U136" i="19" s="1"/>
  <c r="P104" i="19"/>
  <c r="U104" i="19"/>
  <c r="U125" i="19"/>
  <c r="P139" i="19"/>
  <c r="U139" i="19"/>
  <c r="U150" i="19" s="1"/>
  <c r="P103" i="19"/>
  <c r="U103" i="19"/>
  <c r="P82" i="19"/>
  <c r="U82" i="19"/>
  <c r="P49" i="19"/>
  <c r="U49" i="19"/>
  <c r="D12" i="23"/>
  <c r="K8" i="23"/>
  <c r="M8" i="23" s="1"/>
  <c r="H15" i="22"/>
  <c r="P183" i="19"/>
  <c r="P110" i="19"/>
  <c r="U110" i="19"/>
  <c r="P59" i="19"/>
  <c r="P111" i="19"/>
  <c r="U111" i="19"/>
  <c r="P7" i="23"/>
  <c r="P181" i="19"/>
  <c r="U181" i="19"/>
  <c r="U198" i="19" s="1"/>
  <c r="P76" i="19"/>
  <c r="U50" i="19"/>
  <c r="P38" i="19"/>
  <c r="P24" i="19"/>
  <c r="U24" i="19"/>
  <c r="O7" i="23"/>
  <c r="P63" i="19"/>
  <c r="U63" i="19"/>
  <c r="U182" i="19"/>
  <c r="P127" i="19"/>
  <c r="U127" i="19"/>
  <c r="S6" i="22"/>
  <c r="U194" i="19"/>
  <c r="U112" i="19"/>
  <c r="P85" i="19"/>
  <c r="U85" i="19"/>
  <c r="P71" i="19"/>
  <c r="U71" i="19"/>
  <c r="U51" i="19"/>
  <c r="U98" i="19"/>
  <c r="U28" i="19"/>
  <c r="O7" i="22"/>
  <c r="P140" i="19"/>
  <c r="P108" i="19"/>
  <c r="P57" i="19"/>
  <c r="U57" i="19"/>
  <c r="U25" i="19"/>
  <c r="U29" i="19" s="1"/>
  <c r="U201" i="19" l="1"/>
  <c r="Q7" i="22"/>
  <c r="O8" i="22"/>
  <c r="P15" i="22"/>
  <c r="K12" i="23"/>
  <c r="M12" i="23" s="1"/>
  <c r="D13" i="23"/>
  <c r="D9" i="22"/>
  <c r="F8" i="22"/>
  <c r="K8" i="22" s="1"/>
  <c r="P29" i="23"/>
  <c r="O9" i="23"/>
  <c r="Q9" i="23" s="1"/>
  <c r="E10" i="23"/>
  <c r="K7" i="22"/>
  <c r="Q7" i="23"/>
  <c r="I15" i="22"/>
  <c r="H16" i="22"/>
  <c r="C38" i="22"/>
  <c r="F13" i="22"/>
  <c r="K13" i="22" s="1"/>
  <c r="B14" i="22"/>
  <c r="V6" i="22"/>
  <c r="F14" i="22" l="1"/>
  <c r="K14" i="22" s="1"/>
  <c r="B15" i="22"/>
  <c r="O10" i="23"/>
  <c r="Q10" i="23" s="1"/>
  <c r="E11" i="23"/>
  <c r="P16" i="22"/>
  <c r="K13" i="23"/>
  <c r="M13" i="23" s="1"/>
  <c r="D14" i="23"/>
  <c r="H17" i="22"/>
  <c r="I16" i="22"/>
  <c r="P30" i="23"/>
  <c r="S7" i="22"/>
  <c r="O9" i="22"/>
  <c r="Q8" i="22"/>
  <c r="S8" i="22"/>
  <c r="V8" i="22" s="1"/>
  <c r="F9" i="22"/>
  <c r="K9" i="22" s="1"/>
  <c r="D10" i="22"/>
  <c r="F10" i="22" s="1"/>
  <c r="K10" i="22" s="1"/>
  <c r="D38" i="22"/>
  <c r="P31" i="23" l="1"/>
  <c r="O11" i="23"/>
  <c r="Q11" i="23" s="1"/>
  <c r="E12" i="23"/>
  <c r="P17" i="22"/>
  <c r="I17" i="22"/>
  <c r="H18" i="22"/>
  <c r="O10" i="22"/>
  <c r="Q9" i="22"/>
  <c r="S9" i="22"/>
  <c r="V9" i="22" s="1"/>
  <c r="D15" i="23"/>
  <c r="K14" i="23"/>
  <c r="M14" i="23" s="1"/>
  <c r="B16" i="22"/>
  <c r="F15" i="22"/>
  <c r="K15" i="22" s="1"/>
  <c r="V7" i="22"/>
  <c r="S10" i="22" l="1"/>
  <c r="V10" i="22" s="1"/>
  <c r="Q10" i="22"/>
  <c r="O11" i="22"/>
  <c r="P18" i="22"/>
  <c r="D16" i="23"/>
  <c r="K15" i="23"/>
  <c r="M15" i="23" s="1"/>
  <c r="O12" i="23"/>
  <c r="Q12" i="23" s="1"/>
  <c r="E13" i="23"/>
  <c r="P32" i="23"/>
  <c r="F16" i="22"/>
  <c r="B17" i="22"/>
  <c r="I18" i="22"/>
  <c r="H19" i="22"/>
  <c r="K16" i="23" l="1"/>
  <c r="M16" i="23" s="1"/>
  <c r="D17" i="23"/>
  <c r="H20" i="22"/>
  <c r="I19" i="22"/>
  <c r="O13" i="23"/>
  <c r="Q13" i="23" s="1"/>
  <c r="E14" i="23"/>
  <c r="P19" i="22"/>
  <c r="F17" i="22"/>
  <c r="K17" i="22" s="1"/>
  <c r="B18" i="22"/>
  <c r="K16" i="22"/>
  <c r="S11" i="22"/>
  <c r="V11" i="22" s="1"/>
  <c r="O12" i="22"/>
  <c r="Q11" i="22"/>
  <c r="P33" i="23"/>
  <c r="K17" i="23" l="1"/>
  <c r="M17" i="23" s="1"/>
  <c r="D18" i="23"/>
  <c r="P34" i="23"/>
  <c r="P20" i="22"/>
  <c r="O13" i="22"/>
  <c r="S12" i="22"/>
  <c r="V12" i="22" s="1"/>
  <c r="Q12" i="22"/>
  <c r="E15" i="23"/>
  <c r="O14" i="23"/>
  <c r="Q14" i="23" s="1"/>
  <c r="I20" i="22"/>
  <c r="H21" i="22"/>
  <c r="F18" i="22"/>
  <c r="B19" i="22"/>
  <c r="S13" i="22" l="1"/>
  <c r="V13" i="22" s="1"/>
  <c r="O14" i="22"/>
  <c r="Q13" i="22"/>
  <c r="K18" i="23"/>
  <c r="M18" i="23" s="1"/>
  <c r="D19" i="23"/>
  <c r="I21" i="22"/>
  <c r="H22" i="22"/>
  <c r="P21" i="22"/>
  <c r="K18" i="22"/>
  <c r="P35" i="23"/>
  <c r="O15" i="23"/>
  <c r="Q15" i="23" s="1"/>
  <c r="E16" i="23"/>
  <c r="F19" i="22"/>
  <c r="K19" i="22" s="1"/>
  <c r="B20" i="22"/>
  <c r="S14" i="22" l="1"/>
  <c r="V14" i="22" s="1"/>
  <c r="O15" i="22"/>
  <c r="Q14" i="22"/>
  <c r="P22" i="22"/>
  <c r="B21" i="22"/>
  <c r="F20" i="22"/>
  <c r="K20" i="22" s="1"/>
  <c r="O16" i="23"/>
  <c r="Q16" i="23" s="1"/>
  <c r="E17" i="23"/>
  <c r="I22" i="22"/>
  <c r="H23" i="22"/>
  <c r="P37" i="23"/>
  <c r="P40" i="23" s="1"/>
  <c r="K19" i="23"/>
  <c r="M19" i="23" s="1"/>
  <c r="D20" i="23"/>
  <c r="O17" i="23" l="1"/>
  <c r="Q17" i="23" s="1"/>
  <c r="E18" i="23"/>
  <c r="F21" i="22"/>
  <c r="K21" i="22" s="1"/>
  <c r="B22" i="22"/>
  <c r="D21" i="23"/>
  <c r="K20" i="23"/>
  <c r="M20" i="23" s="1"/>
  <c r="P23" i="22"/>
  <c r="I23" i="22"/>
  <c r="H24" i="22"/>
  <c r="S15" i="22"/>
  <c r="V15" i="22" s="1"/>
  <c r="O16" i="22"/>
  <c r="Q15" i="22"/>
  <c r="P24" i="22" l="1"/>
  <c r="H25" i="22"/>
  <c r="I24" i="22"/>
  <c r="O18" i="23"/>
  <c r="Q18" i="23" s="1"/>
  <c r="E19" i="23"/>
  <c r="K21" i="23"/>
  <c r="M21" i="23" s="1"/>
  <c r="D22" i="23"/>
  <c r="O17" i="22"/>
  <c r="S16" i="22"/>
  <c r="V16" i="22" s="1"/>
  <c r="Q16" i="22"/>
  <c r="F22" i="22"/>
  <c r="K22" i="22" s="1"/>
  <c r="B23" i="22"/>
  <c r="K22" i="23" l="1"/>
  <c r="M22" i="23" s="1"/>
  <c r="D23" i="23"/>
  <c r="O18" i="22"/>
  <c r="S17" i="22"/>
  <c r="V17" i="22" s="1"/>
  <c r="Q17" i="22"/>
  <c r="O19" i="23"/>
  <c r="Q19" i="23" s="1"/>
  <c r="E20" i="23"/>
  <c r="P25" i="22"/>
  <c r="B24" i="22"/>
  <c r="F23" i="22"/>
  <c r="K23" i="22" s="1"/>
  <c r="H26" i="22"/>
  <c r="I25" i="22"/>
  <c r="P26" i="22" l="1"/>
  <c r="E21" i="23"/>
  <c r="O20" i="23"/>
  <c r="Q20" i="23" s="1"/>
  <c r="S18" i="22"/>
  <c r="V18" i="22" s="1"/>
  <c r="O19" i="22"/>
  <c r="Q18" i="22"/>
  <c r="I26" i="22"/>
  <c r="H27" i="22"/>
  <c r="B25" i="22"/>
  <c r="F24" i="22"/>
  <c r="K24" i="22" s="1"/>
  <c r="D24" i="23"/>
  <c r="K23" i="23"/>
  <c r="M23" i="23" s="1"/>
  <c r="S19" i="22" l="1"/>
  <c r="V19" i="22" s="1"/>
  <c r="O20" i="22"/>
  <c r="Q19" i="22"/>
  <c r="D25" i="23"/>
  <c r="K24" i="23"/>
  <c r="M24" i="23" s="1"/>
  <c r="O21" i="23"/>
  <c r="Q21" i="23" s="1"/>
  <c r="E22" i="23"/>
  <c r="F25" i="22"/>
  <c r="K25" i="22" s="1"/>
  <c r="B26" i="22"/>
  <c r="P27" i="22"/>
  <c r="H28" i="22"/>
  <c r="I27" i="22"/>
  <c r="F26" i="22" l="1"/>
  <c r="K26" i="22" s="1"/>
  <c r="B27" i="22"/>
  <c r="O22" i="23"/>
  <c r="Q22" i="23" s="1"/>
  <c r="E23" i="23"/>
  <c r="I28" i="22"/>
  <c r="H29" i="22"/>
  <c r="K25" i="23"/>
  <c r="M25" i="23" s="1"/>
  <c r="D26" i="23"/>
  <c r="P28" i="22"/>
  <c r="O21" i="22"/>
  <c r="S20" i="22"/>
  <c r="V20" i="22" s="1"/>
  <c r="Q20" i="22"/>
  <c r="D27" i="23" l="1"/>
  <c r="K26" i="23"/>
  <c r="M26" i="23" s="1"/>
  <c r="I29" i="22"/>
  <c r="H30" i="22"/>
  <c r="O23" i="23"/>
  <c r="Q23" i="23" s="1"/>
  <c r="E24" i="23"/>
  <c r="O22" i="22"/>
  <c r="S21" i="22"/>
  <c r="V21" i="22" s="1"/>
  <c r="Q21" i="22"/>
  <c r="P29" i="22"/>
  <c r="F27" i="22"/>
  <c r="K27" i="22" s="1"/>
  <c r="B28" i="22"/>
  <c r="D28" i="23" l="1"/>
  <c r="K27" i="23"/>
  <c r="M27" i="23" s="1"/>
  <c r="S22" i="22"/>
  <c r="V22" i="22" s="1"/>
  <c r="O23" i="22"/>
  <c r="Q22" i="22"/>
  <c r="B29" i="22"/>
  <c r="F28" i="22"/>
  <c r="K28" i="22" s="1"/>
  <c r="E25" i="23"/>
  <c r="O24" i="23"/>
  <c r="Q24" i="23" s="1"/>
  <c r="H31" i="22"/>
  <c r="I30" i="22"/>
  <c r="P30" i="22"/>
  <c r="P31" i="22" l="1"/>
  <c r="K28" i="23"/>
  <c r="M28" i="23" s="1"/>
  <c r="D29" i="23"/>
  <c r="O25" i="23"/>
  <c r="Q25" i="23" s="1"/>
  <c r="E26" i="23"/>
  <c r="F29" i="22"/>
  <c r="K29" i="22" s="1"/>
  <c r="B30" i="22"/>
  <c r="S23" i="22"/>
  <c r="V23" i="22" s="1"/>
  <c r="O24" i="22"/>
  <c r="Q23" i="22"/>
  <c r="I31" i="22"/>
  <c r="H32" i="22"/>
  <c r="D30" i="23" l="1"/>
  <c r="K29" i="23"/>
  <c r="M29" i="23" s="1"/>
  <c r="S24" i="22"/>
  <c r="V24" i="22" s="1"/>
  <c r="O25" i="22"/>
  <c r="Q24" i="22"/>
  <c r="P32" i="22"/>
  <c r="F30" i="22"/>
  <c r="K30" i="22" s="1"/>
  <c r="B31" i="22"/>
  <c r="E27" i="23"/>
  <c r="O26" i="23"/>
  <c r="Q26" i="23" s="1"/>
  <c r="H33" i="22"/>
  <c r="I32" i="22"/>
  <c r="D31" i="23" l="1"/>
  <c r="K30" i="23"/>
  <c r="M30" i="23" s="1"/>
  <c r="F31" i="22"/>
  <c r="K31" i="22" s="1"/>
  <c r="B32" i="22"/>
  <c r="P33" i="22"/>
  <c r="I33" i="22"/>
  <c r="H34" i="22"/>
  <c r="O26" i="22"/>
  <c r="S25" i="22"/>
  <c r="V25" i="22" s="1"/>
  <c r="Q25" i="22"/>
  <c r="O27" i="23"/>
  <c r="Q27" i="23" s="1"/>
  <c r="E28" i="23"/>
  <c r="P34" i="22" l="1"/>
  <c r="S26" i="22"/>
  <c r="V26" i="22" s="1"/>
  <c r="O27" i="22"/>
  <c r="Q26" i="22"/>
  <c r="K31" i="23"/>
  <c r="M31" i="23" s="1"/>
  <c r="D32" i="23"/>
  <c r="H35" i="22"/>
  <c r="I34" i="22"/>
  <c r="E29" i="23"/>
  <c r="O28" i="23"/>
  <c r="Q28" i="23" s="1"/>
  <c r="B33" i="22"/>
  <c r="F32" i="22"/>
  <c r="K32" i="22" s="1"/>
  <c r="K32" i="23" l="1"/>
  <c r="M32" i="23" s="1"/>
  <c r="D33" i="23"/>
  <c r="P35" i="22"/>
  <c r="I35" i="22"/>
  <c r="H36" i="22"/>
  <c r="F33" i="22"/>
  <c r="K33" i="22" s="1"/>
  <c r="B34" i="22"/>
  <c r="S27" i="22"/>
  <c r="V27" i="22" s="1"/>
  <c r="O28" i="22"/>
  <c r="Q27" i="22"/>
  <c r="E30" i="23"/>
  <c r="O29" i="23"/>
  <c r="Q29" i="23" s="1"/>
  <c r="B35" i="22" l="1"/>
  <c r="F34" i="22"/>
  <c r="K34" i="22" s="1"/>
  <c r="I36" i="22"/>
  <c r="I38" i="22" s="1"/>
  <c r="H38" i="22"/>
  <c r="E31" i="23"/>
  <c r="O30" i="23"/>
  <c r="Q30" i="23" s="1"/>
  <c r="P36" i="22"/>
  <c r="O29" i="22"/>
  <c r="S28" i="22"/>
  <c r="V28" i="22" s="1"/>
  <c r="Q28" i="22"/>
  <c r="D34" i="23"/>
  <c r="K33" i="23"/>
  <c r="M33" i="23" s="1"/>
  <c r="S29" i="22" l="1"/>
  <c r="V29" i="22" s="1"/>
  <c r="O30" i="22"/>
  <c r="Q29" i="22"/>
  <c r="P38" i="22"/>
  <c r="D35" i="23"/>
  <c r="K35" i="23" s="1"/>
  <c r="M35" i="23" s="1"/>
  <c r="M37" i="23" s="1"/>
  <c r="K34" i="23"/>
  <c r="M34" i="23" s="1"/>
  <c r="O31" i="23"/>
  <c r="Q31" i="23" s="1"/>
  <c r="E32" i="23"/>
  <c r="F35" i="22"/>
  <c r="K35" i="22" s="1"/>
  <c r="B36" i="22"/>
  <c r="F36" i="22" l="1"/>
  <c r="B38" i="22"/>
  <c r="S30" i="22"/>
  <c r="V30" i="22" s="1"/>
  <c r="O31" i="22"/>
  <c r="Q30" i="22"/>
  <c r="E33" i="23"/>
  <c r="O32" i="23"/>
  <c r="Q32" i="23" s="1"/>
  <c r="K36" i="22" l="1"/>
  <c r="K38" i="22" s="1"/>
  <c r="F38" i="22"/>
  <c r="E34" i="23"/>
  <c r="O33" i="23"/>
  <c r="Q33" i="23" s="1"/>
  <c r="O32" i="22"/>
  <c r="S31" i="22"/>
  <c r="V31" i="22" s="1"/>
  <c r="Q31" i="22"/>
  <c r="S32" i="22" l="1"/>
  <c r="V32" i="22" s="1"/>
  <c r="O33" i="22"/>
  <c r="Q32" i="22"/>
  <c r="E35" i="23"/>
  <c r="O35" i="23" s="1"/>
  <c r="Q35" i="23" s="1"/>
  <c r="Q37" i="23" s="1"/>
  <c r="O34" i="23"/>
  <c r="Q34" i="23" s="1"/>
  <c r="O34" i="22" l="1"/>
  <c r="S33" i="22"/>
  <c r="V33" i="22" s="1"/>
  <c r="Q33" i="22"/>
  <c r="S34" i="22" l="1"/>
  <c r="V34" i="22" s="1"/>
  <c r="V38" i="22" s="1"/>
  <c r="X41" i="22" s="1"/>
  <c r="O35" i="22"/>
  <c r="Q34" i="22"/>
  <c r="O36" i="22" l="1"/>
  <c r="S35" i="22"/>
  <c r="V35" i="22" s="1"/>
  <c r="Q35" i="22"/>
  <c r="S36" i="22" l="1"/>
  <c r="O38" i="22"/>
  <c r="Q36" i="22"/>
  <c r="Q38" i="22" s="1"/>
  <c r="V36" i="22" l="1"/>
  <c r="S38" i="22"/>
</calcChain>
</file>

<file path=xl/sharedStrings.xml><?xml version="1.0" encoding="utf-8"?>
<sst xmlns="http://schemas.openxmlformats.org/spreadsheetml/2006/main" count="1697" uniqueCount="509">
  <si>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</si>
  <si>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</si>
  <si>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</si>
  <si>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</si>
  <si>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</si>
  <si>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</si>
  <si>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</si>
  <si>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</si>
  <si>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</si>
  <si>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</si>
  <si>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</si>
  <si>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</si>
  <si>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</si>
  <si>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</si>
  <si>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</si>
  <si>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</si>
  <si>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</si>
  <si>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</si>
  <si>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</si>
  <si>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</si>
  <si>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</si>
  <si>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</si>
  <si>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</si>
  <si>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</si>
  <si>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</si>
  <si>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</si>
  <si>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</si>
  <si>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</si>
  <si>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</si>
  <si>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</si>
  <si>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</si>
  <si>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</si>
  <si>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</si>
  <si>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</si>
  <si>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</si>
  <si>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</si>
  <si>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</si>
  <si>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</si>
  <si>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</si>
  <si>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</si>
  <si>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</si>
  <si>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</si>
  <si>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</si>
  <si>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</si>
  <si>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</si>
  <si>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</si>
  <si>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</si>
  <si>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</si>
  <si>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</si>
  <si>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</si>
  <si>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</si>
  <si>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</si>
  <si>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</si>
  <si>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</si>
  <si>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</si>
  <si>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</si>
  <si>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</si>
  <si>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</si>
  <si>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</si>
  <si>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</si>
  <si>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</si>
  <si>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</si>
  <si>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</si>
  <si>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</si>
  <si>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</si>
  <si>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</si>
  <si>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</si>
  <si>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</si>
  <si>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</si>
  <si>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</si>
  <si>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</si>
  <si>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</si>
  <si>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</si>
  <si>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</si>
  <si>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</si>
  <si>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</si>
  <si>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</si>
  <si>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</si>
  <si>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</si>
  <si>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</si>
  <si>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</si>
  <si>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</si>
  <si>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</si>
  <si>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</si>
  <si>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</si>
  <si>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</si>
  <si>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</si>
  <si>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</si>
  <si>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</si>
  <si>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</si>
  <si>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</si>
  <si>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</si>
  <si>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</si>
  <si>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</si>
  <si>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</si>
  <si>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</si>
  <si>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</si>
  <si>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</si>
  <si>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</si>
  <si>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</si>
  <si>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</si>
  <si>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</si>
  <si>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</si>
  <si>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</si>
  <si>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</si>
  <si>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</si>
  <si>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</si>
  <si>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</si>
  <si>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</si>
  <si>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</si>
  <si>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</si>
  <si>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</si>
  <si>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</si>
  <si>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</si>
  <si>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</si>
  <si>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</si>
  <si>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</si>
  <si>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</si>
  <si>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</si>
  <si>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</si>
  <si>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</si>
  <si>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</si>
  <si>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</si>
  <si>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</si>
  <si>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</si>
  <si>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</si>
  <si>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</si>
  <si>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</si>
  <si>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</si>
  <si>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</si>
  <si>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</si>
  <si>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</si>
  <si>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</si>
  <si>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</si>
  <si>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</si>
  <si>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</si>
  <si>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</si>
  <si>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</si>
  <si>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</si>
  <si>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</si>
  <si>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</si>
  <si>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</si>
  <si>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</si>
  <si>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</si>
  <si>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</si>
  <si>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</si>
  <si>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</si>
  <si>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</si>
  <si>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</si>
  <si>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</si>
  <si>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</si>
  <si>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</si>
  <si>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</si>
  <si>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</si>
  <si>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</si>
  <si>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</si>
  <si>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</si>
  <si>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</si>
  <si>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</si>
  <si>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</si>
  <si>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</si>
  <si>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</si>
  <si>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</si>
  <si>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</si>
  <si>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</si>
  <si>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</si>
  <si>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</si>
  <si>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</si>
  <si>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</si>
  <si>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</si>
  <si>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</si>
  <si>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</si>
  <si>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</si>
  <si>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</si>
  <si>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</si>
  <si>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</si>
  <si>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</si>
  <si>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</si>
  <si>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</si>
  <si>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</si>
  <si>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</si>
  <si>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</si>
  <si>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</si>
  <si>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</si>
  <si>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</si>
  <si>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</si>
  <si>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</si>
  <si>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</si>
  <si>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</si>
  <si>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</si>
  <si>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</si>
  <si>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</si>
  <si>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</si>
  <si>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</si>
  <si>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</si>
  <si>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</si>
  <si>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</si>
  <si>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</si>
  <si>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</si>
  <si>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</si>
  <si>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</si>
  <si>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</si>
  <si>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</si>
  <si>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</si>
  <si>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</si>
  <si>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</si>
  <si>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</si>
  <si>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</si>
  <si>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</si>
  <si>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</si>
  <si>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</si>
  <si>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</si>
  <si>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</si>
  <si>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</si>
  <si>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</si>
  <si>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</si>
  <si>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</si>
  <si>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</si>
  <si>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</si>
  <si>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</si>
  <si>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</si>
  <si>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</si>
  <si>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</si>
  <si>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</si>
  <si>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</si>
  <si>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</si>
  <si>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</si>
  <si>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</si>
  <si>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</si>
  <si>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</si>
  <si>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</si>
  <si>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</si>
  <si>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</si>
  <si>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</si>
  <si>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</si>
  <si>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ENA</t>
  </si>
  <si>
    <t>6128 Holmesville</t>
  </si>
  <si>
    <t>Pending Release</t>
  </si>
  <si>
    <t>5A2276</t>
  </si>
  <si>
    <t>5A2275</t>
  </si>
  <si>
    <t>#12954</t>
  </si>
  <si>
    <t>#012962</t>
  </si>
  <si>
    <t>20500 NIMO-E</t>
  </si>
  <si>
    <t>20500 NIMO-W</t>
  </si>
  <si>
    <t>5A2292</t>
  </si>
  <si>
    <t>5A2291</t>
  </si>
  <si>
    <t>CEM Base 5A2289</t>
  </si>
  <si>
    <t>CEM Base 5A2288</t>
  </si>
  <si>
    <t>801-Leach</t>
  </si>
  <si>
    <t>19-26</t>
  </si>
  <si>
    <t>19-27</t>
  </si>
  <si>
    <t>#27772</t>
  </si>
  <si>
    <t>Is this date correct?</t>
  </si>
  <si>
    <t>#13011</t>
  </si>
  <si>
    <t>5A2308</t>
  </si>
  <si>
    <t>#13014</t>
  </si>
  <si>
    <t>RECALLED</t>
  </si>
  <si>
    <t>ACTIVE #200001000039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</si>
  <si>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</si>
  <si>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</si>
  <si>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</si>
  <si>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</si>
  <si>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</si>
  <si>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</si>
  <si>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</si>
  <si>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</si>
  <si>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</si>
  <si>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</si>
  <si>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</si>
  <si>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</si>
  <si>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</si>
  <si>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</si>
  <si>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</si>
  <si>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</si>
  <si>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</si>
  <si>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</si>
  <si>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</si>
  <si>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</si>
  <si>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</si>
  <si>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</si>
  <si>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</si>
  <si>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</si>
  <si>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</si>
  <si>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</si>
  <si>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</si>
  <si>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</si>
  <si>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</si>
  <si>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</si>
  <si>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</si>
  <si>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</si>
  <si>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</si>
  <si>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</si>
  <si>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#18509</t>
  </si>
  <si>
    <t>#18510</t>
  </si>
  <si>
    <t>3.3702/2.7055</t>
  </si>
  <si>
    <t>3.3703/.7537</t>
  </si>
  <si>
    <t>#200002000047</t>
  </si>
  <si>
    <t>T016026</t>
  </si>
  <si>
    <t>#15963</t>
  </si>
  <si>
    <t>???</t>
  </si>
  <si>
    <t>Recalled</t>
  </si>
  <si>
    <t>n/a</t>
  </si>
  <si>
    <t>#3550; BGC k#9B100, seasional volumes  104 peak, 69 fall &amp; spring, 0 summer</t>
  </si>
  <si>
    <t>#3540; BGC k#93302C, static MDQ</t>
  </si>
  <si>
    <t>3.3677 /1.1703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</si>
  <si>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</si>
  <si>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</si>
  <si>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</si>
  <si>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</si>
  <si>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</si>
  <si>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</si>
  <si>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</si>
  <si>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</si>
  <si>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#28093</t>
  </si>
  <si>
    <t>From CES #66615</t>
  </si>
  <si>
    <t>#015940</t>
  </si>
  <si>
    <t>M1</t>
  </si>
  <si>
    <t>LLFT</t>
  </si>
  <si>
    <t>#15941</t>
  </si>
  <si>
    <t>Rel 394 and 398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</si>
  <si>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</si>
  <si>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</si>
  <si>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</si>
  <si>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</si>
  <si>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</si>
  <si>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</si>
  <si>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</si>
  <si>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</si>
  <si>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</si>
  <si>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</si>
  <si>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</si>
  <si>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</si>
  <si>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</si>
  <si>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</si>
  <si>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</si>
  <si>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</si>
  <si>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</si>
  <si>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</si>
  <si>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</si>
  <si>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</si>
  <si>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</si>
  <si>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</si>
  <si>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</si>
  <si>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</si>
  <si>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</si>
  <si>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</si>
  <si>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</si>
  <si>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</si>
  <si>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</si>
  <si>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</si>
  <si>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</si>
  <si>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</si>
  <si>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</si>
  <si>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</si>
  <si>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</si>
  <si>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</si>
  <si>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</si>
  <si>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</si>
  <si>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</si>
  <si>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</si>
  <si>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</si>
  <si>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</si>
  <si>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</si>
  <si>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</si>
  <si>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</si>
  <si>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</si>
  <si>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</si>
  <si>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</si>
  <si>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</si>
  <si>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</si>
  <si>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</si>
  <si>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</si>
  <si>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</si>
  <si>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</si>
  <si>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</si>
  <si>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</si>
  <si>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</si>
  <si>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Deal 158580</t>
  </si>
  <si>
    <t>ITS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</si>
  <si>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</si>
  <si>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</si>
  <si>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</si>
  <si>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</si>
  <si>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</si>
  <si>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</si>
  <si>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</si>
  <si>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</si>
  <si>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</si>
  <si>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</si>
  <si>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</si>
  <si>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</si>
  <si>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</si>
  <si>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</si>
  <si>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Deal 157258  CES has 1,000 dth of FTS, price 1,000 day at the FTS rate, balance at the IT rate.</t>
  </si>
  <si>
    <t>Tenn Z1 - Z5</t>
  </si>
  <si>
    <t>Deal 155892</t>
  </si>
  <si>
    <t>Texas Eastern M3</t>
  </si>
  <si>
    <t>Ela</t>
  </si>
  <si>
    <t>Deal 157273 ENA will bill CES 838 dth/day at Ela + $.01 + transport</t>
  </si>
  <si>
    <t>The balance of the volumes on this deal will be billed Tetco M3 IF + $.025</t>
  </si>
  <si>
    <t>CES has 838 dt of Access to M3 space.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</si>
  <si>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</si>
  <si>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</si>
  <si>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</si>
  <si>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</si>
  <si>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</si>
  <si>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</si>
  <si>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</si>
  <si>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</si>
  <si>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</si>
  <si>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</si>
  <si>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</si>
  <si>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</si>
  <si>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</si>
  <si>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</si>
  <si>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CES has 844 dth of Algonquin capacity.  69 dth is priced under deal 204694.</t>
  </si>
  <si>
    <t>775 dth on deal 204701 will be priced at $3.3374,  all volume greater than 775 dth/day</t>
  </si>
  <si>
    <t>will be priced at $3.2060.</t>
  </si>
  <si>
    <t>Deal 204701</t>
  </si>
  <si>
    <t>Comment:  CES has 1,167 dt/day of South to North Space.</t>
  </si>
  <si>
    <t>Ignore the following CES deals</t>
  </si>
  <si>
    <t>Deal</t>
  </si>
  <si>
    <t>Comment</t>
  </si>
  <si>
    <t>GDD</t>
  </si>
  <si>
    <t>IF North</t>
  </si>
  <si>
    <t>IF South</t>
  </si>
  <si>
    <t>N Diff</t>
  </si>
  <si>
    <t>S Diff</t>
  </si>
  <si>
    <t>Trans</t>
  </si>
  <si>
    <t>Tran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</si>
  <si>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</si>
  <si>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</si>
  <si>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</si>
  <si>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</si>
  <si>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</si>
  <si>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</si>
  <si>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</si>
  <si>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</si>
  <si>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</si>
  <si>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19-26,27,32,19E</t>
  </si>
  <si>
    <t>#28332</t>
  </si>
  <si>
    <t>CES East Desk Transportation Capacity for April, 2000</t>
  </si>
  <si>
    <t>TCO</t>
  </si>
  <si>
    <t>evergreen</t>
  </si>
  <si>
    <t>AS Pooling Agreement</t>
  </si>
  <si>
    <t>AS</t>
  </si>
  <si>
    <t>CMd</t>
  </si>
  <si>
    <t>#28335</t>
  </si>
  <si>
    <t>AO-6 - mcclelland</t>
  </si>
  <si>
    <t>#28331</t>
  </si>
  <si>
    <t>#13303</t>
  </si>
  <si>
    <t>FSNG101</t>
  </si>
  <si>
    <t>REL 574</t>
  </si>
  <si>
    <t>#18924</t>
  </si>
  <si>
    <t>3.4189/.7537</t>
  </si>
  <si>
    <t>#18927</t>
  </si>
  <si>
    <t>3.4187/.7537</t>
  </si>
  <si>
    <t>3.4188/2.7055</t>
  </si>
  <si>
    <t>#18926</t>
  </si>
  <si>
    <t>3.4069/1.1703</t>
  </si>
  <si>
    <t>#18834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</si>
  <si>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</si>
  <si>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</si>
  <si>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</si>
  <si>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</si>
  <si>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</si>
  <si>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</si>
  <si>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</si>
  <si>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</si>
  <si>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GD CNG South Point + .04 plus variable</t>
  </si>
  <si>
    <t>Texas Gas Z4</t>
  </si>
  <si>
    <t>GD Algo Citygate + .02</t>
  </si>
  <si>
    <t>GD TGT Zone Gas SL plus variable</t>
  </si>
  <si>
    <t>GD CGAS App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</si>
  <si>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</si>
  <si>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</si>
  <si>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</si>
  <si>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</si>
  <si>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</si>
  <si>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</si>
  <si>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</si>
  <si>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GD Tetco M3 + .05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</si>
  <si>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</si>
  <si>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</si>
  <si>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</si>
  <si>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</si>
  <si>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</si>
  <si>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</si>
  <si>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</si>
  <si>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GD CGAS App + .06 plus variable</t>
  </si>
  <si>
    <t>Atlanta Gas Light Program</t>
  </si>
  <si>
    <t>Sonat</t>
  </si>
  <si>
    <t>E Tenn</t>
  </si>
  <si>
    <t>GD Posting</t>
  </si>
  <si>
    <t>Price</t>
  </si>
  <si>
    <t>GD Algon Others</t>
  </si>
  <si>
    <t>Some of the pricing for the swing volumes is shown below.  I am using the Gas Daily prices for March 30th as example prices.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</si>
  <si>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</si>
  <si>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</si>
  <si>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</si>
  <si>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</si>
  <si>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</si>
  <si>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</si>
  <si>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ENA will give CES the right to swing +/- 25% from their FOM volumes for the month of April, 2000.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</si>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</sst>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38" fontId="0" fillId="0" borderId="0" xfId="0" applyNumberFormat="1" applyFill="1"/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191" fontId="8" fillId="0" borderId="0" xfId="3" applyNumberFormat="1" applyFont="1" applyFill="1"/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9" fontId="8" fillId="0" borderId="0" xfId="3" applyFont="1" applyFill="1"/>
    <xf numFmtId="7" fontId="8" fillId="0" borderId="0" xfId="0" applyNumberFormat="1" applyFont="1" applyFill="1"/>
    <xf numFmtId="0" fontId="11" fillId="0" borderId="0" xfId="0" applyFont="1" applyFill="1" applyAlignment="1">
      <alignment horizontal="right"/>
    </xf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165" fontId="8" fillId="0" borderId="5" xfId="0" applyNumberFormat="1" applyFont="1" applyFill="1" applyBorder="1"/>
    <xf numFmtId="0" fontId="0" fillId="7" borderId="0" xfId="0" applyFill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0" borderId="0" xfId="0" quotePrefix="1" applyNumberFormat="1" applyFont="1" applyFill="1" applyAlignment="1">
      <alignment horizontal="center"/>
    </xf>
    <xf numFmtId="40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165" fontId="8" fillId="0" borderId="11" xfId="0" applyNumberFormat="1" applyFont="1" applyFill="1" applyBorder="1"/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workbookViewId="0">
      <selection activeCell="I6" sqref="I6"/>
    </sheetView>
  </sheetViews>
  <sheetFormatPr defaultRowHeight="12.75" x14ac:dyDescent="0.2"/>
  <cols>
    <col min="1" max="1" width="17.5703125" customWidth="1"/>
    <col min="2" max="2" width="14.140625" customWidth="1"/>
    <col min="3" max="3" width="11.7109375" style="155" customWidth="1"/>
    <col min="4" max="4" width="10.42578125" style="155" customWidth="1"/>
    <col min="5" max="5" width="38.5703125" customWidth="1"/>
    <col min="6" max="7" width="11.42578125" style="155" customWidth="1"/>
  </cols>
  <sheetData>
    <row r="1" spans="1:8" x14ac:dyDescent="0.2">
      <c r="A1" s="156" t="s">
        <v>461</v>
      </c>
      <c r="C1" s="155" t="s">
        <v>503</v>
      </c>
    </row>
    <row r="2" spans="1:8" x14ac:dyDescent="0.2">
      <c r="C2" s="155" t="s">
        <v>496</v>
      </c>
    </row>
    <row r="3" spans="1:8" x14ac:dyDescent="0.2">
      <c r="C3" s="155" t="s">
        <v>504</v>
      </c>
    </row>
    <row r="4" spans="1:8" x14ac:dyDescent="0.2">
      <c r="C4" s="155" t="s">
        <v>500</v>
      </c>
    </row>
    <row r="5" spans="1:8" x14ac:dyDescent="0.2">
      <c r="C5" s="155" t="s">
        <v>501</v>
      </c>
    </row>
    <row r="7" spans="1:8" x14ac:dyDescent="0.2">
      <c r="B7" t="s">
        <v>497</v>
      </c>
      <c r="C7" s="155" t="s">
        <v>498</v>
      </c>
    </row>
    <row r="8" spans="1:8" x14ac:dyDescent="0.2">
      <c r="C8" s="155" t="s">
        <v>499</v>
      </c>
    </row>
    <row r="9" spans="1:8" x14ac:dyDescent="0.2">
      <c r="C9" s="155" t="s">
        <v>502</v>
      </c>
    </row>
    <row r="10" spans="1:8" x14ac:dyDescent="0.2">
      <c r="C10" s="155" t="s">
        <v>505</v>
      </c>
    </row>
    <row r="11" spans="1:8" x14ac:dyDescent="0.2">
      <c r="D11" s="155" t="s">
        <v>506</v>
      </c>
    </row>
    <row r="12" spans="1:8" x14ac:dyDescent="0.2">
      <c r="C12" s="155" t="s">
        <v>507</v>
      </c>
    </row>
    <row r="13" spans="1:8" x14ac:dyDescent="0.2">
      <c r="D13" s="155" t="s">
        <v>508</v>
      </c>
    </row>
    <row r="16" spans="1:8" x14ac:dyDescent="0.2">
      <c r="A16" s="156" t="s">
        <v>462</v>
      </c>
      <c r="C16" s="157" t="s">
        <v>493</v>
      </c>
      <c r="D16" s="157" t="s">
        <v>494</v>
      </c>
      <c r="E16" s="156" t="s">
        <v>463</v>
      </c>
      <c r="F16" s="157" t="s">
        <v>493</v>
      </c>
      <c r="G16" s="157" t="s">
        <v>494</v>
      </c>
      <c r="H16" s="156" t="s">
        <v>464</v>
      </c>
    </row>
    <row r="18" spans="1:8" x14ac:dyDescent="0.2">
      <c r="A18" t="s">
        <v>32</v>
      </c>
      <c r="C18" s="155">
        <v>3.1</v>
      </c>
      <c r="D18" s="155">
        <v>3.1</v>
      </c>
      <c r="E18" t="s">
        <v>495</v>
      </c>
      <c r="F18" s="155">
        <v>3.1549999999999998</v>
      </c>
      <c r="G18" s="155">
        <f>3.155+0.02</f>
        <v>3.1749999999999998</v>
      </c>
      <c r="H18" t="s">
        <v>471</v>
      </c>
    </row>
    <row r="20" spans="1:8" x14ac:dyDescent="0.2">
      <c r="A20" t="s">
        <v>465</v>
      </c>
      <c r="C20" s="155">
        <v>3.14</v>
      </c>
      <c r="E20" t="s">
        <v>467</v>
      </c>
      <c r="F20" s="155">
        <v>3.14</v>
      </c>
      <c r="H20" t="s">
        <v>469</v>
      </c>
    </row>
    <row r="22" spans="1:8" x14ac:dyDescent="0.2">
      <c r="A22" t="s">
        <v>466</v>
      </c>
      <c r="C22" s="155">
        <v>3.14</v>
      </c>
      <c r="E22" t="s">
        <v>467</v>
      </c>
      <c r="F22" s="155">
        <v>3.14</v>
      </c>
      <c r="H22" t="s">
        <v>468</v>
      </c>
    </row>
    <row r="24" spans="1:8" x14ac:dyDescent="0.2">
      <c r="A24" t="s">
        <v>231</v>
      </c>
      <c r="C24" s="155">
        <v>3.0350000000000001</v>
      </c>
      <c r="E24" t="s">
        <v>488</v>
      </c>
      <c r="F24" s="155">
        <v>3.0350000000000001</v>
      </c>
      <c r="H24" t="s">
        <v>489</v>
      </c>
    </row>
    <row r="26" spans="1:8" x14ac:dyDescent="0.2">
      <c r="A26" t="s">
        <v>470</v>
      </c>
      <c r="E26" t="s">
        <v>472</v>
      </c>
      <c r="F26" s="155">
        <f>3.035+0.02</f>
        <v>3.0550000000000002</v>
      </c>
      <c r="H26" t="s">
        <v>473</v>
      </c>
    </row>
    <row r="28" spans="1:8" x14ac:dyDescent="0.2">
      <c r="A28" t="s">
        <v>396</v>
      </c>
      <c r="C28" s="155">
        <f>3.18</f>
        <v>3.18</v>
      </c>
      <c r="D28" s="155">
        <f>3.18-0.01</f>
        <v>3.1700000000000004</v>
      </c>
      <c r="E28" t="s">
        <v>474</v>
      </c>
      <c r="F28" s="155">
        <f>3.18</f>
        <v>3.18</v>
      </c>
      <c r="G28" s="155">
        <f>3.18+0.01</f>
        <v>3.19</v>
      </c>
      <c r="H28" t="s">
        <v>475</v>
      </c>
    </row>
    <row r="30" spans="1:8" x14ac:dyDescent="0.2">
      <c r="A30" t="s">
        <v>476</v>
      </c>
      <c r="C30" s="155">
        <f>2.83</f>
        <v>2.83</v>
      </c>
      <c r="D30" s="155">
        <f>2.83-0.01</f>
        <v>2.8200000000000003</v>
      </c>
      <c r="E30" t="s">
        <v>477</v>
      </c>
      <c r="F30" s="155">
        <f>2.83</f>
        <v>2.83</v>
      </c>
      <c r="G30" s="155">
        <f>2.83+0.01</f>
        <v>2.84</v>
      </c>
      <c r="H30" t="s">
        <v>478</v>
      </c>
    </row>
    <row r="32" spans="1:8" x14ac:dyDescent="0.2">
      <c r="A32" t="s">
        <v>480</v>
      </c>
      <c r="C32" s="155">
        <f>3.18</f>
        <v>3.18</v>
      </c>
      <c r="D32" s="155">
        <f>3.18-0.02</f>
        <v>3.16</v>
      </c>
      <c r="E32" t="s">
        <v>495</v>
      </c>
      <c r="F32" s="155">
        <f>3.18</f>
        <v>3.18</v>
      </c>
      <c r="G32" s="155">
        <f>3.18+0.05</f>
        <v>3.23</v>
      </c>
      <c r="H32" t="s">
        <v>481</v>
      </c>
    </row>
    <row r="34" spans="1:8" x14ac:dyDescent="0.2">
      <c r="A34" t="s">
        <v>484</v>
      </c>
      <c r="C34" s="155">
        <f>3.135</f>
        <v>3.1349999999999998</v>
      </c>
      <c r="D34" s="155">
        <f>3.135-0.02</f>
        <v>3.1149999999999998</v>
      </c>
      <c r="E34" t="s">
        <v>485</v>
      </c>
      <c r="F34" s="155">
        <f>3.135</f>
        <v>3.1349999999999998</v>
      </c>
      <c r="G34" s="155">
        <f>3.135+0.02</f>
        <v>3.1549999999999998</v>
      </c>
      <c r="H34" t="s">
        <v>486</v>
      </c>
    </row>
    <row r="38" spans="1:8" x14ac:dyDescent="0.2">
      <c r="A38" t="s">
        <v>487</v>
      </c>
      <c r="E38" t="s">
        <v>479</v>
      </c>
      <c r="H38" t="s">
        <v>479</v>
      </c>
    </row>
    <row r="40" spans="1:8" x14ac:dyDescent="0.2">
      <c r="A40" t="s">
        <v>482</v>
      </c>
      <c r="E40" t="s">
        <v>479</v>
      </c>
      <c r="H40" t="s">
        <v>479</v>
      </c>
    </row>
    <row r="41" spans="1:8" x14ac:dyDescent="0.2">
      <c r="B41" t="s">
        <v>483</v>
      </c>
    </row>
    <row r="43" spans="1:8" x14ac:dyDescent="0.2">
      <c r="A43" t="s">
        <v>391</v>
      </c>
      <c r="E43" t="s">
        <v>479</v>
      </c>
      <c r="H43" t="s">
        <v>479</v>
      </c>
    </row>
    <row r="45" spans="1:8" x14ac:dyDescent="0.2">
      <c r="A45" s="156" t="s">
        <v>490</v>
      </c>
    </row>
    <row r="46" spans="1:8" x14ac:dyDescent="0.2">
      <c r="A46" t="s">
        <v>1</v>
      </c>
      <c r="E46" t="s">
        <v>479</v>
      </c>
      <c r="H46" t="s">
        <v>479</v>
      </c>
    </row>
    <row r="47" spans="1:8" x14ac:dyDescent="0.2">
      <c r="A47" t="s">
        <v>491</v>
      </c>
      <c r="E47" t="s">
        <v>479</v>
      </c>
      <c r="H47" t="s">
        <v>479</v>
      </c>
    </row>
    <row r="48" spans="1:8" x14ac:dyDescent="0.2">
      <c r="A48" t="s">
        <v>492</v>
      </c>
      <c r="E48" t="s">
        <v>479</v>
      </c>
      <c r="H48" t="s">
        <v>479</v>
      </c>
    </row>
  </sheetData>
  <pageMargins left="0.75" right="0.75" top="1" bottom="1" header="0.5" footer="0.5"/>
  <pageSetup scale="74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2.75" x14ac:dyDescent="0.2"/>
  <cols>
    <col min="6" max="6" width="2.28515625" customWidth="1"/>
    <col min="7" max="9" width="10.140625" customWidth="1"/>
    <col min="10" max="10" width="2.28515625" customWidth="1"/>
  </cols>
  <sheetData>
    <row r="4" spans="1:17" x14ac:dyDescent="0.2">
      <c r="B4" t="s">
        <v>423</v>
      </c>
      <c r="C4" t="s">
        <v>428</v>
      </c>
      <c r="D4" t="s">
        <v>424</v>
      </c>
      <c r="E4" t="s">
        <v>425</v>
      </c>
      <c r="G4" t="s">
        <v>429</v>
      </c>
      <c r="K4" t="s">
        <v>426</v>
      </c>
      <c r="O4" t="s">
        <v>427</v>
      </c>
    </row>
    <row r="5" spans="1:17" x14ac:dyDescent="0.2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">
      <c r="A22">
        <f t="shared" si="6"/>
        <v>18</v>
      </c>
      <c r="B22" s="136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">
      <c r="A23">
        <f t="shared" si="6"/>
        <v>19</v>
      </c>
      <c r="B23" s="136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">
      <c r="A24">
        <f t="shared" si="6"/>
        <v>20</v>
      </c>
      <c r="B24" s="136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">
      <c r="A25">
        <f t="shared" si="6"/>
        <v>21</v>
      </c>
      <c r="B25" s="136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">
      <c r="A26">
        <f t="shared" si="6"/>
        <v>22</v>
      </c>
      <c r="B26" s="136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">
      <c r="A27">
        <f t="shared" si="6"/>
        <v>23</v>
      </c>
      <c r="B27" s="136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">
      <c r="A28">
        <f t="shared" si="6"/>
        <v>24</v>
      </c>
      <c r="B28" s="136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">
      <c r="A29">
        <f t="shared" si="6"/>
        <v>25</v>
      </c>
      <c r="B29" s="136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">
      <c r="A30">
        <f t="shared" si="6"/>
        <v>26</v>
      </c>
      <c r="B30" s="136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">
      <c r="A31">
        <f t="shared" si="6"/>
        <v>27</v>
      </c>
      <c r="B31" s="136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">
      <c r="A32">
        <f t="shared" si="6"/>
        <v>28</v>
      </c>
      <c r="B32" s="136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">
      <c r="A33">
        <f t="shared" si="6"/>
        <v>29</v>
      </c>
      <c r="B33" s="136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">
      <c r="A34">
        <f t="shared" si="6"/>
        <v>30</v>
      </c>
      <c r="B34" s="136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">
      <c r="A35">
        <f t="shared" si="6"/>
        <v>31</v>
      </c>
      <c r="B35" s="136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topLeftCell="I1" workbookViewId="0">
      <selection activeCell="S6" sqref="S6"/>
    </sheetView>
  </sheetViews>
  <sheetFormatPr defaultRowHeight="12.75" x14ac:dyDescent="0.2"/>
  <cols>
    <col min="1" max="1" width="5.7109375" style="100" customWidth="1"/>
    <col min="2" max="2" width="11" style="100" customWidth="1"/>
    <col min="3" max="4" width="11.28515625" style="100" customWidth="1"/>
    <col min="5" max="5" width="3.28515625" style="100" customWidth="1"/>
    <col min="6" max="6" width="12.85546875" style="100" customWidth="1"/>
    <col min="7" max="7" width="4.7109375" style="100" customWidth="1"/>
    <col min="8" max="8" width="12.85546875" style="100" customWidth="1"/>
    <col min="9" max="9" width="10.42578125" style="100" customWidth="1"/>
    <col min="10" max="10" width="3.28515625" style="100" customWidth="1"/>
    <col min="11" max="11" width="12.85546875" style="100" customWidth="1"/>
    <col min="12" max="12" width="9.140625" style="100"/>
    <col min="13" max="13" width="10.5703125" style="100" customWidth="1"/>
    <col min="14" max="14" width="9.140625" style="100"/>
    <col min="15" max="15" width="11.28515625" style="100" customWidth="1"/>
    <col min="16" max="16" width="10.28515625" style="100" customWidth="1"/>
    <col min="17" max="17" width="11.140625" style="100" customWidth="1"/>
    <col min="18" max="18" width="3.5703125" style="100" customWidth="1"/>
    <col min="19" max="19" width="13" style="100" customWidth="1"/>
    <col min="20" max="20" width="4.140625" style="100" customWidth="1"/>
    <col min="21" max="21" width="12.28515625" style="100" customWidth="1"/>
    <col min="22" max="22" width="13.85546875" style="100" customWidth="1"/>
    <col min="23" max="25" width="9.140625" style="100"/>
    <col min="26" max="26" width="13.85546875" style="100" customWidth="1"/>
    <col min="27" max="16384" width="9.140625" style="100"/>
  </cols>
  <sheetData>
    <row r="2" spans="1:25" s="99" customFormat="1" x14ac:dyDescent="0.2">
      <c r="B2" s="99" t="s">
        <v>324</v>
      </c>
      <c r="C2" s="99" t="s">
        <v>325</v>
      </c>
      <c r="D2" s="99" t="s">
        <v>326</v>
      </c>
      <c r="E2" s="99" t="s">
        <v>327</v>
      </c>
      <c r="F2" s="99" t="s">
        <v>328</v>
      </c>
      <c r="G2" s="99" t="s">
        <v>329</v>
      </c>
      <c r="H2" s="99" t="s">
        <v>330</v>
      </c>
      <c r="I2" s="99" t="s">
        <v>331</v>
      </c>
      <c r="J2" s="99" t="s">
        <v>332</v>
      </c>
      <c r="K2" s="99" t="s">
        <v>333</v>
      </c>
      <c r="L2" s="99" t="s">
        <v>334</v>
      </c>
      <c r="M2" s="99" t="s">
        <v>335</v>
      </c>
      <c r="N2" s="99" t="s">
        <v>336</v>
      </c>
      <c r="O2" s="99" t="s">
        <v>337</v>
      </c>
      <c r="P2" s="99" t="s">
        <v>338</v>
      </c>
      <c r="Q2" s="99" t="s">
        <v>339</v>
      </c>
      <c r="R2" s="99" t="s">
        <v>340</v>
      </c>
      <c r="S2" s="99" t="s">
        <v>341</v>
      </c>
      <c r="T2" s="99" t="s">
        <v>342</v>
      </c>
      <c r="U2" s="99" t="s">
        <v>343</v>
      </c>
      <c r="V2" s="99" t="s">
        <v>344</v>
      </c>
      <c r="W2" s="99" t="s">
        <v>345</v>
      </c>
      <c r="X2" s="99" t="s">
        <v>346</v>
      </c>
      <c r="Y2" s="99" t="s">
        <v>347</v>
      </c>
    </row>
    <row r="3" spans="1:25" x14ac:dyDescent="0.2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5" x14ac:dyDescent="0.2">
      <c r="A4" s="99"/>
      <c r="B4" s="99"/>
      <c r="C4" s="99"/>
      <c r="D4" s="99"/>
      <c r="E4" s="99"/>
      <c r="F4" s="99" t="s">
        <v>348</v>
      </c>
      <c r="G4" s="99"/>
      <c r="H4" s="101" t="s">
        <v>349</v>
      </c>
      <c r="I4" s="102" t="s">
        <v>349</v>
      </c>
      <c r="J4" s="103"/>
      <c r="K4" s="99" t="s">
        <v>361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5" x14ac:dyDescent="0.2">
      <c r="A5" s="99"/>
      <c r="B5" s="99" t="s">
        <v>350</v>
      </c>
      <c r="C5" s="99" t="s">
        <v>351</v>
      </c>
      <c r="D5" s="99" t="s">
        <v>259</v>
      </c>
      <c r="E5" s="99"/>
      <c r="F5" s="99" t="s">
        <v>352</v>
      </c>
      <c r="G5" s="99"/>
      <c r="H5" s="110" t="s">
        <v>359</v>
      </c>
      <c r="I5" s="104" t="s">
        <v>360</v>
      </c>
      <c r="J5" s="103"/>
      <c r="K5" s="99"/>
      <c r="L5" s="99"/>
      <c r="M5" s="99" t="s">
        <v>353</v>
      </c>
      <c r="N5" s="99"/>
      <c r="O5" s="101" t="s">
        <v>354</v>
      </c>
      <c r="P5" s="105" t="s">
        <v>355</v>
      </c>
      <c r="Q5" s="102" t="s">
        <v>356</v>
      </c>
      <c r="R5" s="99"/>
      <c r="S5" s="99" t="s">
        <v>362</v>
      </c>
      <c r="T5" s="99"/>
      <c r="U5" s="99" t="s">
        <v>357</v>
      </c>
      <c r="V5" s="99"/>
    </row>
    <row r="6" spans="1:25" x14ac:dyDescent="0.2">
      <c r="A6" s="99">
        <v>1</v>
      </c>
      <c r="B6" s="99">
        <v>135955</v>
      </c>
      <c r="C6" s="99">
        <v>11185</v>
      </c>
      <c r="D6" s="99">
        <v>13262</v>
      </c>
      <c r="E6" s="99"/>
      <c r="F6" s="99">
        <f>SUM(B6:D6)</f>
        <v>160402</v>
      </c>
      <c r="G6" s="99"/>
      <c r="H6" s="99">
        <v>33135</v>
      </c>
      <c r="I6" s="99">
        <f>ROUND(+H6*(1-0.02116),0)</f>
        <v>32434</v>
      </c>
      <c r="J6" s="99"/>
      <c r="K6" s="99">
        <f>+F6-I6</f>
        <v>127968</v>
      </c>
      <c r="L6" s="99"/>
      <c r="M6" s="99" t="s">
        <v>301</v>
      </c>
      <c r="N6" s="99"/>
      <c r="O6" s="106">
        <f>188693-36124</f>
        <v>152569</v>
      </c>
      <c r="P6" s="103">
        <v>36124</v>
      </c>
      <c r="Q6" s="107">
        <f>+P6+O6</f>
        <v>188693</v>
      </c>
      <c r="R6" s="99"/>
      <c r="S6" s="99">
        <f>+O6-K6</f>
        <v>24601</v>
      </c>
      <c r="T6" s="99"/>
      <c r="U6" s="108">
        <v>2.77</v>
      </c>
      <c r="V6" s="109">
        <f>+U6*S6</f>
        <v>68144.77</v>
      </c>
    </row>
    <row r="7" spans="1:25" x14ac:dyDescent="0.2">
      <c r="A7" s="99">
        <f>+A6+1</f>
        <v>2</v>
      </c>
      <c r="B7" s="99">
        <v>172800</v>
      </c>
      <c r="C7" s="99">
        <v>11168</v>
      </c>
      <c r="D7" s="99">
        <f>+D6</f>
        <v>13262</v>
      </c>
      <c r="E7" s="99"/>
      <c r="F7" s="99">
        <f t="shared" ref="F7:F34" si="0">SUM(B7:D7)</f>
        <v>197230</v>
      </c>
      <c r="G7" s="99"/>
      <c r="H7" s="99">
        <v>44907</v>
      </c>
      <c r="I7" s="99">
        <f t="shared" ref="I7:I36" si="1">ROUND(+H7*(1-0.02116),0)</f>
        <v>43957</v>
      </c>
      <c r="J7" s="99"/>
      <c r="K7" s="99">
        <f t="shared" ref="K7:K36" si="2">+F7-I7</f>
        <v>153273</v>
      </c>
      <c r="L7" s="99"/>
      <c r="M7" s="99" t="s">
        <v>301</v>
      </c>
      <c r="N7" s="99"/>
      <c r="O7" s="106">
        <f>+O6</f>
        <v>152569</v>
      </c>
      <c r="P7" s="103">
        <f>+P6</f>
        <v>36124</v>
      </c>
      <c r="Q7" s="107">
        <f t="shared" ref="Q7:Q32" si="3">+P7+O7</f>
        <v>188693</v>
      </c>
      <c r="R7" s="99"/>
      <c r="S7" s="99">
        <f t="shared" ref="S7:S34" si="4">+O7-K7</f>
        <v>-704</v>
      </c>
      <c r="T7" s="99"/>
      <c r="U7" s="108">
        <v>2.9</v>
      </c>
      <c r="V7" s="109">
        <f t="shared" ref="V7:V34" si="5">+U7*S7</f>
        <v>-2041.6</v>
      </c>
    </row>
    <row r="8" spans="1:25" x14ac:dyDescent="0.2">
      <c r="A8" s="99">
        <f t="shared" ref="A8:A34" si="6">+A7+1</f>
        <v>3</v>
      </c>
      <c r="B8" s="99">
        <v>158218</v>
      </c>
      <c r="C8" s="99">
        <v>10419</v>
      </c>
      <c r="D8" s="99">
        <f t="shared" ref="D8:D36" si="7">+D7</f>
        <v>13262</v>
      </c>
      <c r="E8" s="99"/>
      <c r="F8" s="99">
        <f t="shared" si="0"/>
        <v>181899</v>
      </c>
      <c r="G8" s="99"/>
      <c r="H8" s="99">
        <v>40994</v>
      </c>
      <c r="I8" s="99">
        <f t="shared" si="1"/>
        <v>40127</v>
      </c>
      <c r="J8" s="99"/>
      <c r="K8" s="99">
        <f t="shared" si="2"/>
        <v>141772</v>
      </c>
      <c r="L8" s="99"/>
      <c r="M8" s="99" t="s">
        <v>301</v>
      </c>
      <c r="N8" s="99"/>
      <c r="O8" s="106">
        <f t="shared" ref="O8:O32" si="8">+O7</f>
        <v>152569</v>
      </c>
      <c r="P8" s="103">
        <f t="shared" ref="P8:P32" si="9">+P7</f>
        <v>36124</v>
      </c>
      <c r="Q8" s="107">
        <f t="shared" si="3"/>
        <v>188693</v>
      </c>
      <c r="R8" s="99"/>
      <c r="S8" s="99">
        <f t="shared" si="4"/>
        <v>10797</v>
      </c>
      <c r="T8" s="99"/>
      <c r="U8" s="108">
        <v>2.9849999999999999</v>
      </c>
      <c r="V8" s="109">
        <f t="shared" si="5"/>
        <v>32229.044999999998</v>
      </c>
    </row>
    <row r="9" spans="1:25" x14ac:dyDescent="0.2">
      <c r="A9" s="99">
        <f t="shared" si="6"/>
        <v>4</v>
      </c>
      <c r="B9" s="99">
        <v>135473</v>
      </c>
      <c r="C9" s="99">
        <v>10363</v>
      </c>
      <c r="D9" s="99">
        <f t="shared" si="7"/>
        <v>13262</v>
      </c>
      <c r="E9" s="99"/>
      <c r="F9" s="99">
        <f t="shared" si="0"/>
        <v>159098</v>
      </c>
      <c r="G9" s="99"/>
      <c r="H9" s="99">
        <v>30645</v>
      </c>
      <c r="I9" s="99">
        <f t="shared" si="1"/>
        <v>29997</v>
      </c>
      <c r="J9" s="99"/>
      <c r="K9" s="99">
        <f t="shared" si="2"/>
        <v>129101</v>
      </c>
      <c r="L9" s="99"/>
      <c r="M9" s="99" t="s">
        <v>301</v>
      </c>
      <c r="N9" s="99"/>
      <c r="O9" s="106">
        <f t="shared" si="8"/>
        <v>152569</v>
      </c>
      <c r="P9" s="103">
        <f t="shared" si="9"/>
        <v>36124</v>
      </c>
      <c r="Q9" s="107">
        <f t="shared" si="3"/>
        <v>188693</v>
      </c>
      <c r="R9" s="99"/>
      <c r="S9" s="99">
        <f t="shared" si="4"/>
        <v>23468</v>
      </c>
      <c r="T9" s="99"/>
      <c r="U9" s="108">
        <v>2.92</v>
      </c>
      <c r="V9" s="109">
        <f t="shared" si="5"/>
        <v>68526.559999999998</v>
      </c>
    </row>
    <row r="10" spans="1:25" x14ac:dyDescent="0.2">
      <c r="A10" s="99">
        <f t="shared" si="6"/>
        <v>5</v>
      </c>
      <c r="B10" s="99">
        <v>130408</v>
      </c>
      <c r="C10" s="99">
        <v>10383</v>
      </c>
      <c r="D10" s="99">
        <f t="shared" si="7"/>
        <v>13262</v>
      </c>
      <c r="E10" s="99"/>
      <c r="F10" s="99">
        <f t="shared" si="0"/>
        <v>154053</v>
      </c>
      <c r="G10" s="99"/>
      <c r="H10" s="99">
        <v>36820</v>
      </c>
      <c r="I10" s="99">
        <f t="shared" si="1"/>
        <v>36041</v>
      </c>
      <c r="J10" s="99"/>
      <c r="K10" s="99">
        <f t="shared" si="2"/>
        <v>118012</v>
      </c>
      <c r="L10" s="99"/>
      <c r="M10" s="99" t="s">
        <v>301</v>
      </c>
      <c r="N10" s="99"/>
      <c r="O10" s="106">
        <f t="shared" si="8"/>
        <v>152569</v>
      </c>
      <c r="P10" s="103">
        <f t="shared" si="9"/>
        <v>36124</v>
      </c>
      <c r="Q10" s="107">
        <f t="shared" si="3"/>
        <v>188693</v>
      </c>
      <c r="R10" s="99"/>
      <c r="S10" s="99">
        <f t="shared" si="4"/>
        <v>34557</v>
      </c>
      <c r="T10" s="99"/>
      <c r="U10" s="108">
        <v>2.895</v>
      </c>
      <c r="V10" s="109">
        <f t="shared" si="5"/>
        <v>100042.515</v>
      </c>
    </row>
    <row r="11" spans="1:25" x14ac:dyDescent="0.2">
      <c r="A11" s="99">
        <f t="shared" si="6"/>
        <v>6</v>
      </c>
      <c r="B11" s="99">
        <v>0</v>
      </c>
      <c r="C11" s="99">
        <v>0</v>
      </c>
      <c r="D11" s="99">
        <v>0</v>
      </c>
      <c r="E11" s="99"/>
      <c r="F11" s="99">
        <f t="shared" si="0"/>
        <v>0</v>
      </c>
      <c r="G11" s="99"/>
      <c r="H11" s="99">
        <v>0</v>
      </c>
      <c r="I11" s="99">
        <f t="shared" si="1"/>
        <v>0</v>
      </c>
      <c r="J11" s="99"/>
      <c r="K11" s="99">
        <f t="shared" si="2"/>
        <v>0</v>
      </c>
      <c r="L11" s="99"/>
      <c r="M11" s="99" t="s">
        <v>301</v>
      </c>
      <c r="N11" s="99"/>
      <c r="O11" s="106">
        <f t="shared" si="8"/>
        <v>152569</v>
      </c>
      <c r="P11" s="103">
        <f t="shared" si="9"/>
        <v>36124</v>
      </c>
      <c r="Q11" s="107">
        <f t="shared" si="3"/>
        <v>188693</v>
      </c>
      <c r="R11" s="99"/>
      <c r="S11" s="99">
        <f t="shared" si="4"/>
        <v>152569</v>
      </c>
      <c r="T11" s="99"/>
      <c r="U11" s="108">
        <v>2.895</v>
      </c>
      <c r="V11" s="109">
        <f t="shared" si="5"/>
        <v>441687.255</v>
      </c>
    </row>
    <row r="12" spans="1:25" x14ac:dyDescent="0.2">
      <c r="A12" s="99">
        <f t="shared" si="6"/>
        <v>7</v>
      </c>
      <c r="B12" s="99">
        <f t="shared" ref="B12:B36" si="10">+B11</f>
        <v>0</v>
      </c>
      <c r="C12" s="99">
        <f t="shared" ref="C12:C36" si="11">+C11</f>
        <v>0</v>
      </c>
      <c r="D12" s="99">
        <f t="shared" si="7"/>
        <v>0</v>
      </c>
      <c r="E12" s="99"/>
      <c r="F12" s="99">
        <f t="shared" si="0"/>
        <v>0</v>
      </c>
      <c r="G12" s="99"/>
      <c r="H12" s="99">
        <f t="shared" ref="H12:H36" si="12">+H11</f>
        <v>0</v>
      </c>
      <c r="I12" s="99">
        <f t="shared" si="1"/>
        <v>0</v>
      </c>
      <c r="J12" s="99"/>
      <c r="K12" s="99">
        <f t="shared" si="2"/>
        <v>0</v>
      </c>
      <c r="L12" s="99"/>
      <c r="M12" s="99" t="s">
        <v>301</v>
      </c>
      <c r="N12" s="99"/>
      <c r="O12" s="106">
        <f t="shared" si="8"/>
        <v>152569</v>
      </c>
      <c r="P12" s="103">
        <f t="shared" si="9"/>
        <v>36124</v>
      </c>
      <c r="Q12" s="107">
        <f t="shared" si="3"/>
        <v>188693</v>
      </c>
      <c r="R12" s="99"/>
      <c r="S12" s="99">
        <f t="shared" si="4"/>
        <v>152569</v>
      </c>
      <c r="T12" s="99"/>
      <c r="U12" s="108">
        <v>2.895</v>
      </c>
      <c r="V12" s="109">
        <f t="shared" si="5"/>
        <v>441687.255</v>
      </c>
    </row>
    <row r="13" spans="1:25" x14ac:dyDescent="0.2">
      <c r="A13" s="99">
        <f t="shared" si="6"/>
        <v>8</v>
      </c>
      <c r="B13" s="99">
        <f t="shared" si="10"/>
        <v>0</v>
      </c>
      <c r="C13" s="99">
        <f t="shared" si="11"/>
        <v>0</v>
      </c>
      <c r="D13" s="99">
        <f t="shared" si="7"/>
        <v>0</v>
      </c>
      <c r="E13" s="99"/>
      <c r="F13" s="99">
        <f t="shared" si="0"/>
        <v>0</v>
      </c>
      <c r="G13" s="99"/>
      <c r="H13" s="99">
        <f t="shared" si="12"/>
        <v>0</v>
      </c>
      <c r="I13" s="99">
        <f t="shared" si="1"/>
        <v>0</v>
      </c>
      <c r="J13" s="99"/>
      <c r="K13" s="99">
        <f t="shared" si="2"/>
        <v>0</v>
      </c>
      <c r="L13" s="99"/>
      <c r="M13" s="99" t="s">
        <v>301</v>
      </c>
      <c r="N13" s="99"/>
      <c r="O13" s="106">
        <f t="shared" si="8"/>
        <v>152569</v>
      </c>
      <c r="P13" s="103">
        <f t="shared" si="9"/>
        <v>36124</v>
      </c>
      <c r="Q13" s="107">
        <f t="shared" si="3"/>
        <v>188693</v>
      </c>
      <c r="R13" s="99"/>
      <c r="S13" s="99">
        <f t="shared" si="4"/>
        <v>152569</v>
      </c>
      <c r="T13" s="99"/>
      <c r="U13" s="108">
        <v>2.93</v>
      </c>
      <c r="V13" s="109">
        <f t="shared" si="5"/>
        <v>447027.17000000004</v>
      </c>
    </row>
    <row r="14" spans="1:25" x14ac:dyDescent="0.2">
      <c r="A14" s="99">
        <f t="shared" si="6"/>
        <v>9</v>
      </c>
      <c r="B14" s="99">
        <f t="shared" si="10"/>
        <v>0</v>
      </c>
      <c r="C14" s="99">
        <f t="shared" si="11"/>
        <v>0</v>
      </c>
      <c r="D14" s="99">
        <f t="shared" si="7"/>
        <v>0</v>
      </c>
      <c r="E14" s="99"/>
      <c r="F14" s="99">
        <f t="shared" si="0"/>
        <v>0</v>
      </c>
      <c r="G14" s="99"/>
      <c r="H14" s="99">
        <f t="shared" si="12"/>
        <v>0</v>
      </c>
      <c r="I14" s="99">
        <f t="shared" si="1"/>
        <v>0</v>
      </c>
      <c r="J14" s="99"/>
      <c r="K14" s="99">
        <f t="shared" si="2"/>
        <v>0</v>
      </c>
      <c r="L14" s="99"/>
      <c r="M14" s="99" t="s">
        <v>301</v>
      </c>
      <c r="N14" s="99"/>
      <c r="O14" s="106">
        <f t="shared" si="8"/>
        <v>152569</v>
      </c>
      <c r="P14" s="103">
        <f t="shared" si="9"/>
        <v>36124</v>
      </c>
      <c r="Q14" s="107">
        <f t="shared" si="3"/>
        <v>188693</v>
      </c>
      <c r="R14" s="99"/>
      <c r="S14" s="99">
        <f t="shared" si="4"/>
        <v>152569</v>
      </c>
      <c r="T14" s="99"/>
      <c r="U14" s="108">
        <v>2.99</v>
      </c>
      <c r="V14" s="109">
        <f t="shared" si="5"/>
        <v>456181.31000000006</v>
      </c>
    </row>
    <row r="15" spans="1:25" x14ac:dyDescent="0.2">
      <c r="A15" s="99">
        <f t="shared" si="6"/>
        <v>10</v>
      </c>
      <c r="B15" s="99">
        <f t="shared" si="10"/>
        <v>0</v>
      </c>
      <c r="C15" s="99">
        <f t="shared" si="11"/>
        <v>0</v>
      </c>
      <c r="D15" s="99">
        <f t="shared" si="7"/>
        <v>0</v>
      </c>
      <c r="E15" s="99"/>
      <c r="F15" s="99">
        <f t="shared" si="0"/>
        <v>0</v>
      </c>
      <c r="G15" s="99"/>
      <c r="H15" s="99">
        <f t="shared" si="12"/>
        <v>0</v>
      </c>
      <c r="I15" s="99">
        <f t="shared" si="1"/>
        <v>0</v>
      </c>
      <c r="J15" s="99"/>
      <c r="K15" s="99">
        <f t="shared" si="2"/>
        <v>0</v>
      </c>
      <c r="L15" s="99"/>
      <c r="M15" s="99" t="s">
        <v>301</v>
      </c>
      <c r="N15" s="99"/>
      <c r="O15" s="106">
        <f t="shared" si="8"/>
        <v>152569</v>
      </c>
      <c r="P15" s="103">
        <f t="shared" si="9"/>
        <v>36124</v>
      </c>
      <c r="Q15" s="107">
        <f t="shared" si="3"/>
        <v>188693</v>
      </c>
      <c r="R15" s="99"/>
      <c r="S15" s="99">
        <f t="shared" si="4"/>
        <v>152569</v>
      </c>
      <c r="T15" s="99"/>
      <c r="U15" s="108">
        <v>2.76</v>
      </c>
      <c r="V15" s="109">
        <f t="shared" si="5"/>
        <v>421090.43999999994</v>
      </c>
    </row>
    <row r="16" spans="1:25" x14ac:dyDescent="0.2">
      <c r="A16" s="99">
        <f t="shared" si="6"/>
        <v>11</v>
      </c>
      <c r="B16" s="99">
        <f t="shared" si="10"/>
        <v>0</v>
      </c>
      <c r="C16" s="99">
        <f t="shared" si="11"/>
        <v>0</v>
      </c>
      <c r="D16" s="99">
        <f t="shared" si="7"/>
        <v>0</v>
      </c>
      <c r="E16" s="99"/>
      <c r="F16" s="99">
        <f t="shared" si="0"/>
        <v>0</v>
      </c>
      <c r="G16" s="99"/>
      <c r="H16" s="99">
        <f t="shared" si="12"/>
        <v>0</v>
      </c>
      <c r="I16" s="99">
        <f t="shared" si="1"/>
        <v>0</v>
      </c>
      <c r="J16" s="99"/>
      <c r="K16" s="99">
        <f t="shared" si="2"/>
        <v>0</v>
      </c>
      <c r="L16" s="99"/>
      <c r="M16" s="99" t="s">
        <v>301</v>
      </c>
      <c r="N16" s="99"/>
      <c r="O16" s="106">
        <f t="shared" si="8"/>
        <v>152569</v>
      </c>
      <c r="P16" s="103">
        <f t="shared" si="9"/>
        <v>36124</v>
      </c>
      <c r="Q16" s="107">
        <f t="shared" si="3"/>
        <v>188693</v>
      </c>
      <c r="R16" s="99"/>
      <c r="S16" s="99">
        <f t="shared" si="4"/>
        <v>152569</v>
      </c>
      <c r="T16" s="99"/>
      <c r="U16" s="108">
        <v>2.77</v>
      </c>
      <c r="V16" s="109">
        <f t="shared" si="5"/>
        <v>422616.13</v>
      </c>
    </row>
    <row r="17" spans="1:26" x14ac:dyDescent="0.2">
      <c r="A17" s="99">
        <f t="shared" si="6"/>
        <v>12</v>
      </c>
      <c r="B17" s="99">
        <f t="shared" si="10"/>
        <v>0</v>
      </c>
      <c r="C17" s="99">
        <f t="shared" si="11"/>
        <v>0</v>
      </c>
      <c r="D17" s="99">
        <f t="shared" si="7"/>
        <v>0</v>
      </c>
      <c r="E17" s="99"/>
      <c r="F17" s="99">
        <f t="shared" si="0"/>
        <v>0</v>
      </c>
      <c r="G17" s="99"/>
      <c r="H17" s="99">
        <f t="shared" si="12"/>
        <v>0</v>
      </c>
      <c r="I17" s="99">
        <f t="shared" si="1"/>
        <v>0</v>
      </c>
      <c r="J17" s="99"/>
      <c r="K17" s="99">
        <f t="shared" si="2"/>
        <v>0</v>
      </c>
      <c r="L17" s="99"/>
      <c r="M17" s="99" t="s">
        <v>301</v>
      </c>
      <c r="N17" s="99"/>
      <c r="O17" s="106">
        <f t="shared" si="8"/>
        <v>152569</v>
      </c>
      <c r="P17" s="103">
        <f t="shared" si="9"/>
        <v>36124</v>
      </c>
      <c r="Q17" s="107">
        <f t="shared" si="3"/>
        <v>188693</v>
      </c>
      <c r="R17" s="99"/>
      <c r="S17" s="99">
        <f t="shared" si="4"/>
        <v>152569</v>
      </c>
      <c r="T17" s="99"/>
      <c r="U17" s="108">
        <v>2.7749999999999999</v>
      </c>
      <c r="V17" s="109">
        <f t="shared" si="5"/>
        <v>423378.97499999998</v>
      </c>
    </row>
    <row r="18" spans="1:26" x14ac:dyDescent="0.2">
      <c r="A18" s="99">
        <f t="shared" si="6"/>
        <v>13</v>
      </c>
      <c r="B18" s="99">
        <f t="shared" si="10"/>
        <v>0</v>
      </c>
      <c r="C18" s="99">
        <f t="shared" si="11"/>
        <v>0</v>
      </c>
      <c r="D18" s="99">
        <f t="shared" si="7"/>
        <v>0</v>
      </c>
      <c r="E18" s="99"/>
      <c r="F18" s="99">
        <f t="shared" si="0"/>
        <v>0</v>
      </c>
      <c r="G18" s="99"/>
      <c r="H18" s="99">
        <f t="shared" si="12"/>
        <v>0</v>
      </c>
      <c r="I18" s="99">
        <f t="shared" si="1"/>
        <v>0</v>
      </c>
      <c r="J18" s="99"/>
      <c r="K18" s="99">
        <f t="shared" si="2"/>
        <v>0</v>
      </c>
      <c r="L18" s="99"/>
      <c r="M18" s="99" t="s">
        <v>301</v>
      </c>
      <c r="N18" s="99"/>
      <c r="O18" s="106">
        <f t="shared" si="8"/>
        <v>152569</v>
      </c>
      <c r="P18" s="103">
        <f t="shared" si="9"/>
        <v>36124</v>
      </c>
      <c r="Q18" s="107">
        <f t="shared" si="3"/>
        <v>188693</v>
      </c>
      <c r="R18" s="99"/>
      <c r="S18" s="99">
        <f t="shared" si="4"/>
        <v>152569</v>
      </c>
      <c r="T18" s="99"/>
      <c r="U18" s="108">
        <v>2.7749999999999999</v>
      </c>
      <c r="V18" s="109">
        <f t="shared" si="5"/>
        <v>423378.97499999998</v>
      </c>
    </row>
    <row r="19" spans="1:26" x14ac:dyDescent="0.2">
      <c r="A19" s="99">
        <f t="shared" si="6"/>
        <v>14</v>
      </c>
      <c r="B19" s="99">
        <f t="shared" si="10"/>
        <v>0</v>
      </c>
      <c r="C19" s="99">
        <f t="shared" si="11"/>
        <v>0</v>
      </c>
      <c r="D19" s="99">
        <f t="shared" si="7"/>
        <v>0</v>
      </c>
      <c r="E19" s="99"/>
      <c r="F19" s="99">
        <f t="shared" si="0"/>
        <v>0</v>
      </c>
      <c r="G19" s="99"/>
      <c r="H19" s="99">
        <f t="shared" si="12"/>
        <v>0</v>
      </c>
      <c r="I19" s="99">
        <f t="shared" si="1"/>
        <v>0</v>
      </c>
      <c r="J19" s="99"/>
      <c r="K19" s="99">
        <f t="shared" si="2"/>
        <v>0</v>
      </c>
      <c r="L19" s="99"/>
      <c r="M19" s="99" t="s">
        <v>301</v>
      </c>
      <c r="N19" s="99"/>
      <c r="O19" s="106">
        <f t="shared" si="8"/>
        <v>152569</v>
      </c>
      <c r="P19" s="103">
        <f t="shared" si="9"/>
        <v>36124</v>
      </c>
      <c r="Q19" s="107">
        <f t="shared" si="3"/>
        <v>188693</v>
      </c>
      <c r="R19" s="99"/>
      <c r="S19" s="99">
        <f t="shared" si="4"/>
        <v>152569</v>
      </c>
      <c r="T19" s="99"/>
      <c r="U19" s="108">
        <v>2.7749999999999999</v>
      </c>
      <c r="V19" s="109">
        <f t="shared" si="5"/>
        <v>423378.97499999998</v>
      </c>
    </row>
    <row r="20" spans="1:26" x14ac:dyDescent="0.2">
      <c r="A20" s="99">
        <f t="shared" si="6"/>
        <v>15</v>
      </c>
      <c r="B20" s="99">
        <f t="shared" si="10"/>
        <v>0</v>
      </c>
      <c r="C20" s="99">
        <f t="shared" si="11"/>
        <v>0</v>
      </c>
      <c r="D20" s="99">
        <f t="shared" si="7"/>
        <v>0</v>
      </c>
      <c r="E20" s="99"/>
      <c r="F20" s="99">
        <f t="shared" si="0"/>
        <v>0</v>
      </c>
      <c r="G20" s="99"/>
      <c r="H20" s="99">
        <f t="shared" si="12"/>
        <v>0</v>
      </c>
      <c r="I20" s="99">
        <f t="shared" si="1"/>
        <v>0</v>
      </c>
      <c r="J20" s="99"/>
      <c r="K20" s="99">
        <f t="shared" si="2"/>
        <v>0</v>
      </c>
      <c r="L20" s="99"/>
      <c r="M20" s="99" t="s">
        <v>301</v>
      </c>
      <c r="N20" s="99"/>
      <c r="O20" s="106">
        <f t="shared" si="8"/>
        <v>152569</v>
      </c>
      <c r="P20" s="103">
        <f t="shared" si="9"/>
        <v>36124</v>
      </c>
      <c r="Q20" s="107">
        <f t="shared" si="3"/>
        <v>188693</v>
      </c>
      <c r="R20" s="99"/>
      <c r="S20" s="99">
        <f t="shared" si="4"/>
        <v>152569</v>
      </c>
      <c r="T20" s="99"/>
      <c r="U20" s="108">
        <v>2.7450000000000001</v>
      </c>
      <c r="V20" s="109">
        <f t="shared" si="5"/>
        <v>418801.90500000003</v>
      </c>
    </row>
    <row r="21" spans="1:26" x14ac:dyDescent="0.2">
      <c r="A21" s="99">
        <f t="shared" si="6"/>
        <v>16</v>
      </c>
      <c r="B21" s="99">
        <f t="shared" si="10"/>
        <v>0</v>
      </c>
      <c r="C21" s="99">
        <f t="shared" si="11"/>
        <v>0</v>
      </c>
      <c r="D21" s="99">
        <f t="shared" si="7"/>
        <v>0</v>
      </c>
      <c r="E21" s="99"/>
      <c r="F21" s="99">
        <f t="shared" si="0"/>
        <v>0</v>
      </c>
      <c r="G21" s="99"/>
      <c r="H21" s="99">
        <f t="shared" si="12"/>
        <v>0</v>
      </c>
      <c r="I21" s="99">
        <f t="shared" si="1"/>
        <v>0</v>
      </c>
      <c r="J21" s="99"/>
      <c r="K21" s="99">
        <f t="shared" si="2"/>
        <v>0</v>
      </c>
      <c r="L21" s="99"/>
      <c r="M21" s="99" t="s">
        <v>301</v>
      </c>
      <c r="N21" s="99"/>
      <c r="O21" s="106">
        <f t="shared" si="8"/>
        <v>152569</v>
      </c>
      <c r="P21" s="103">
        <f t="shared" si="9"/>
        <v>36124</v>
      </c>
      <c r="Q21" s="107">
        <f t="shared" si="3"/>
        <v>188693</v>
      </c>
      <c r="R21" s="99"/>
      <c r="S21" s="99">
        <f t="shared" si="4"/>
        <v>152569</v>
      </c>
      <c r="T21" s="99"/>
      <c r="U21" s="108">
        <v>2.7549999999999999</v>
      </c>
      <c r="V21" s="109">
        <f t="shared" si="5"/>
        <v>420327.59499999997</v>
      </c>
    </row>
    <row r="22" spans="1:26" x14ac:dyDescent="0.2">
      <c r="A22" s="99">
        <f t="shared" si="6"/>
        <v>17</v>
      </c>
      <c r="B22" s="99">
        <f t="shared" si="10"/>
        <v>0</v>
      </c>
      <c r="C22" s="99">
        <f t="shared" si="11"/>
        <v>0</v>
      </c>
      <c r="D22" s="99">
        <f t="shared" si="7"/>
        <v>0</v>
      </c>
      <c r="E22" s="99"/>
      <c r="F22" s="99">
        <f t="shared" si="0"/>
        <v>0</v>
      </c>
      <c r="G22" s="99"/>
      <c r="H22" s="99">
        <f t="shared" si="12"/>
        <v>0</v>
      </c>
      <c r="I22" s="99">
        <f t="shared" si="1"/>
        <v>0</v>
      </c>
      <c r="J22" s="99"/>
      <c r="K22" s="99">
        <f t="shared" si="2"/>
        <v>0</v>
      </c>
      <c r="L22" s="99"/>
      <c r="M22" s="99" t="s">
        <v>301</v>
      </c>
      <c r="N22" s="99"/>
      <c r="O22" s="106">
        <f t="shared" si="8"/>
        <v>152569</v>
      </c>
      <c r="P22" s="103">
        <f t="shared" si="9"/>
        <v>36124</v>
      </c>
      <c r="Q22" s="107">
        <f t="shared" si="3"/>
        <v>188693</v>
      </c>
      <c r="R22" s="99"/>
      <c r="S22" s="99">
        <f t="shared" si="4"/>
        <v>152569</v>
      </c>
      <c r="T22" s="99"/>
      <c r="U22" s="108">
        <v>2.7850000000000001</v>
      </c>
      <c r="V22" s="109">
        <f t="shared" si="5"/>
        <v>424904.66500000004</v>
      </c>
    </row>
    <row r="23" spans="1:26" x14ac:dyDescent="0.2">
      <c r="A23" s="99">
        <f t="shared" si="6"/>
        <v>18</v>
      </c>
      <c r="B23" s="99">
        <f t="shared" si="10"/>
        <v>0</v>
      </c>
      <c r="C23" s="99">
        <f t="shared" si="11"/>
        <v>0</v>
      </c>
      <c r="D23" s="99">
        <f t="shared" si="7"/>
        <v>0</v>
      </c>
      <c r="E23" s="99"/>
      <c r="F23" s="99">
        <f t="shared" si="0"/>
        <v>0</v>
      </c>
      <c r="G23" s="99"/>
      <c r="H23" s="99">
        <f t="shared" si="12"/>
        <v>0</v>
      </c>
      <c r="I23" s="99">
        <f t="shared" si="1"/>
        <v>0</v>
      </c>
      <c r="J23" s="99"/>
      <c r="K23" s="99">
        <f t="shared" si="2"/>
        <v>0</v>
      </c>
      <c r="L23" s="99"/>
      <c r="M23" s="99" t="s">
        <v>301</v>
      </c>
      <c r="N23" s="99"/>
      <c r="O23" s="106">
        <f t="shared" si="8"/>
        <v>152569</v>
      </c>
      <c r="P23" s="103">
        <f t="shared" si="9"/>
        <v>36124</v>
      </c>
      <c r="Q23" s="107">
        <f t="shared" si="3"/>
        <v>188693</v>
      </c>
      <c r="R23" s="99"/>
      <c r="S23" s="99">
        <f t="shared" si="4"/>
        <v>152569</v>
      </c>
      <c r="T23" s="99"/>
      <c r="U23" s="108">
        <v>2.79</v>
      </c>
      <c r="V23" s="109">
        <f t="shared" si="5"/>
        <v>425667.51</v>
      </c>
    </row>
    <row r="24" spans="1:26" x14ac:dyDescent="0.2">
      <c r="A24" s="99">
        <f t="shared" si="6"/>
        <v>19</v>
      </c>
      <c r="B24" s="99">
        <f t="shared" si="10"/>
        <v>0</v>
      </c>
      <c r="C24" s="99">
        <f t="shared" si="11"/>
        <v>0</v>
      </c>
      <c r="D24" s="99">
        <f t="shared" si="7"/>
        <v>0</v>
      </c>
      <c r="E24" s="99"/>
      <c r="F24" s="99">
        <f t="shared" si="0"/>
        <v>0</v>
      </c>
      <c r="G24" s="99"/>
      <c r="H24" s="99">
        <f t="shared" si="12"/>
        <v>0</v>
      </c>
      <c r="I24" s="99">
        <f t="shared" si="1"/>
        <v>0</v>
      </c>
      <c r="J24" s="99"/>
      <c r="K24" s="99">
        <f t="shared" si="2"/>
        <v>0</v>
      </c>
      <c r="L24" s="99"/>
      <c r="M24" s="99" t="s">
        <v>301</v>
      </c>
      <c r="N24" s="99"/>
      <c r="O24" s="106">
        <f t="shared" si="8"/>
        <v>152569</v>
      </c>
      <c r="P24" s="103">
        <f t="shared" si="9"/>
        <v>36124</v>
      </c>
      <c r="Q24" s="107">
        <f t="shared" si="3"/>
        <v>188693</v>
      </c>
      <c r="R24" s="99"/>
      <c r="S24" s="99">
        <f t="shared" si="4"/>
        <v>152569</v>
      </c>
      <c r="T24" s="99"/>
      <c r="U24" s="108">
        <v>2.78</v>
      </c>
      <c r="V24" s="109">
        <f t="shared" si="5"/>
        <v>424141.81999999995</v>
      </c>
    </row>
    <row r="25" spans="1:26" x14ac:dyDescent="0.2">
      <c r="A25" s="99">
        <f t="shared" si="6"/>
        <v>20</v>
      </c>
      <c r="B25" s="99">
        <f t="shared" si="10"/>
        <v>0</v>
      </c>
      <c r="C25" s="99">
        <f t="shared" si="11"/>
        <v>0</v>
      </c>
      <c r="D25" s="99">
        <f t="shared" si="7"/>
        <v>0</v>
      </c>
      <c r="E25" s="99"/>
      <c r="F25" s="99">
        <f t="shared" si="0"/>
        <v>0</v>
      </c>
      <c r="G25" s="99"/>
      <c r="H25" s="99">
        <f t="shared" si="12"/>
        <v>0</v>
      </c>
      <c r="I25" s="99">
        <f t="shared" si="1"/>
        <v>0</v>
      </c>
      <c r="J25" s="99"/>
      <c r="K25" s="99">
        <f t="shared" si="2"/>
        <v>0</v>
      </c>
      <c r="L25" s="99"/>
      <c r="M25" s="99" t="s">
        <v>301</v>
      </c>
      <c r="N25" s="99"/>
      <c r="O25" s="106">
        <f t="shared" si="8"/>
        <v>152569</v>
      </c>
      <c r="P25" s="103">
        <f t="shared" si="9"/>
        <v>36124</v>
      </c>
      <c r="Q25" s="107">
        <f t="shared" si="3"/>
        <v>188693</v>
      </c>
      <c r="R25" s="99"/>
      <c r="S25" s="99">
        <f t="shared" si="4"/>
        <v>152569</v>
      </c>
      <c r="T25" s="99"/>
      <c r="U25" s="108">
        <v>2.78</v>
      </c>
      <c r="V25" s="109">
        <f t="shared" si="5"/>
        <v>424141.81999999995</v>
      </c>
    </row>
    <row r="26" spans="1:26" x14ac:dyDescent="0.2">
      <c r="A26" s="99">
        <f t="shared" si="6"/>
        <v>21</v>
      </c>
      <c r="B26" s="99">
        <f t="shared" si="10"/>
        <v>0</v>
      </c>
      <c r="C26" s="99">
        <f t="shared" si="11"/>
        <v>0</v>
      </c>
      <c r="D26" s="99">
        <f t="shared" si="7"/>
        <v>0</v>
      </c>
      <c r="E26" s="99"/>
      <c r="F26" s="99">
        <f t="shared" si="0"/>
        <v>0</v>
      </c>
      <c r="G26" s="99"/>
      <c r="H26" s="99">
        <f t="shared" si="12"/>
        <v>0</v>
      </c>
      <c r="I26" s="99">
        <f t="shared" si="1"/>
        <v>0</v>
      </c>
      <c r="J26" s="99"/>
      <c r="K26" s="99">
        <f t="shared" si="2"/>
        <v>0</v>
      </c>
      <c r="L26" s="99"/>
      <c r="M26" s="99" t="s">
        <v>301</v>
      </c>
      <c r="N26" s="99"/>
      <c r="O26" s="106">
        <f t="shared" si="8"/>
        <v>152569</v>
      </c>
      <c r="P26" s="103">
        <f t="shared" si="9"/>
        <v>36124</v>
      </c>
      <c r="Q26" s="107">
        <f t="shared" si="3"/>
        <v>188693</v>
      </c>
      <c r="R26" s="99"/>
      <c r="S26" s="99">
        <f t="shared" si="4"/>
        <v>152569</v>
      </c>
      <c r="T26" s="99"/>
      <c r="U26" s="108">
        <v>2.78</v>
      </c>
      <c r="V26" s="109">
        <f t="shared" si="5"/>
        <v>424141.81999999995</v>
      </c>
    </row>
    <row r="27" spans="1:26" x14ac:dyDescent="0.2">
      <c r="A27" s="99">
        <f t="shared" si="6"/>
        <v>22</v>
      </c>
      <c r="B27" s="99">
        <f t="shared" si="10"/>
        <v>0</v>
      </c>
      <c r="C27" s="99">
        <f t="shared" si="11"/>
        <v>0</v>
      </c>
      <c r="D27" s="99">
        <f t="shared" si="7"/>
        <v>0</v>
      </c>
      <c r="E27" s="99"/>
      <c r="F27" s="99">
        <f t="shared" si="0"/>
        <v>0</v>
      </c>
      <c r="G27" s="99"/>
      <c r="H27" s="99">
        <f t="shared" si="12"/>
        <v>0</v>
      </c>
      <c r="I27" s="99">
        <f t="shared" si="1"/>
        <v>0</v>
      </c>
      <c r="J27" s="99"/>
      <c r="K27" s="99">
        <f t="shared" si="2"/>
        <v>0</v>
      </c>
      <c r="L27" s="99"/>
      <c r="M27" s="99" t="s">
        <v>301</v>
      </c>
      <c r="N27" s="99"/>
      <c r="O27" s="106">
        <f t="shared" si="8"/>
        <v>152569</v>
      </c>
      <c r="P27" s="103">
        <f t="shared" si="9"/>
        <v>36124</v>
      </c>
      <c r="Q27" s="107">
        <f t="shared" si="3"/>
        <v>188693</v>
      </c>
      <c r="R27" s="99"/>
      <c r="S27" s="99">
        <f t="shared" si="4"/>
        <v>152569</v>
      </c>
      <c r="T27" s="99"/>
      <c r="U27" s="108">
        <v>2.78</v>
      </c>
      <c r="V27" s="109">
        <f t="shared" si="5"/>
        <v>424141.81999999995</v>
      </c>
    </row>
    <row r="28" spans="1:26" x14ac:dyDescent="0.2">
      <c r="A28" s="99">
        <f t="shared" si="6"/>
        <v>23</v>
      </c>
      <c r="B28" s="99">
        <f t="shared" si="10"/>
        <v>0</v>
      </c>
      <c r="C28" s="99">
        <f t="shared" si="11"/>
        <v>0</v>
      </c>
      <c r="D28" s="99">
        <f t="shared" si="7"/>
        <v>0</v>
      </c>
      <c r="E28" s="99"/>
      <c r="F28" s="99">
        <f t="shared" si="0"/>
        <v>0</v>
      </c>
      <c r="G28" s="99"/>
      <c r="H28" s="99">
        <f t="shared" si="12"/>
        <v>0</v>
      </c>
      <c r="I28" s="99">
        <f t="shared" si="1"/>
        <v>0</v>
      </c>
      <c r="J28" s="99"/>
      <c r="K28" s="99">
        <f t="shared" si="2"/>
        <v>0</v>
      </c>
      <c r="L28" s="99"/>
      <c r="M28" s="99" t="s">
        <v>301</v>
      </c>
      <c r="N28" s="99"/>
      <c r="O28" s="106">
        <f t="shared" si="8"/>
        <v>152569</v>
      </c>
      <c r="P28" s="103">
        <f t="shared" si="9"/>
        <v>36124</v>
      </c>
      <c r="Q28" s="107">
        <f t="shared" si="3"/>
        <v>188693</v>
      </c>
      <c r="R28" s="99"/>
      <c r="S28" s="99">
        <f t="shared" si="4"/>
        <v>152569</v>
      </c>
      <c r="T28" s="99"/>
      <c r="U28" s="108">
        <v>2.67</v>
      </c>
      <c r="V28" s="109">
        <f t="shared" si="5"/>
        <v>407359.23</v>
      </c>
    </row>
    <row r="29" spans="1:26" x14ac:dyDescent="0.2">
      <c r="A29" s="99">
        <f t="shared" si="6"/>
        <v>24</v>
      </c>
      <c r="B29" s="99">
        <f t="shared" si="10"/>
        <v>0</v>
      </c>
      <c r="C29" s="99">
        <f t="shared" si="11"/>
        <v>0</v>
      </c>
      <c r="D29" s="99">
        <f t="shared" si="7"/>
        <v>0</v>
      </c>
      <c r="E29" s="99"/>
      <c r="F29" s="99">
        <f t="shared" si="0"/>
        <v>0</v>
      </c>
      <c r="G29" s="99"/>
      <c r="H29" s="99">
        <f t="shared" si="12"/>
        <v>0</v>
      </c>
      <c r="I29" s="99">
        <f t="shared" si="1"/>
        <v>0</v>
      </c>
      <c r="J29" s="99"/>
      <c r="K29" s="99">
        <f t="shared" si="2"/>
        <v>0</v>
      </c>
      <c r="L29" s="99"/>
      <c r="M29" s="99" t="s">
        <v>301</v>
      </c>
      <c r="N29" s="99"/>
      <c r="O29" s="106">
        <f t="shared" si="8"/>
        <v>152569</v>
      </c>
      <c r="P29" s="103">
        <f t="shared" si="9"/>
        <v>36124</v>
      </c>
      <c r="Q29" s="107">
        <f t="shared" si="3"/>
        <v>188693</v>
      </c>
      <c r="R29" s="99"/>
      <c r="S29" s="99">
        <f t="shared" si="4"/>
        <v>152569</v>
      </c>
      <c r="T29" s="99"/>
      <c r="U29" s="108">
        <v>2.5950000000000002</v>
      </c>
      <c r="V29" s="109">
        <f t="shared" si="5"/>
        <v>395916.55500000005</v>
      </c>
    </row>
    <row r="30" spans="1:26" x14ac:dyDescent="0.2">
      <c r="A30" s="99">
        <f t="shared" si="6"/>
        <v>25</v>
      </c>
      <c r="B30" s="99">
        <f t="shared" si="10"/>
        <v>0</v>
      </c>
      <c r="C30" s="99">
        <f t="shared" si="11"/>
        <v>0</v>
      </c>
      <c r="D30" s="99">
        <f t="shared" si="7"/>
        <v>0</v>
      </c>
      <c r="E30" s="99"/>
      <c r="F30" s="99">
        <f t="shared" si="0"/>
        <v>0</v>
      </c>
      <c r="G30" s="99"/>
      <c r="H30" s="99">
        <f t="shared" si="12"/>
        <v>0</v>
      </c>
      <c r="I30" s="99">
        <f t="shared" si="1"/>
        <v>0</v>
      </c>
      <c r="J30" s="99"/>
      <c r="K30" s="99">
        <f t="shared" si="2"/>
        <v>0</v>
      </c>
      <c r="L30" s="99"/>
      <c r="M30" s="99" t="s">
        <v>301</v>
      </c>
      <c r="N30" s="99"/>
      <c r="O30" s="106">
        <f t="shared" si="8"/>
        <v>152569</v>
      </c>
      <c r="P30" s="103">
        <f t="shared" si="9"/>
        <v>36124</v>
      </c>
      <c r="Q30" s="107">
        <f t="shared" si="3"/>
        <v>188693</v>
      </c>
      <c r="R30" s="99"/>
      <c r="S30" s="99">
        <f t="shared" si="4"/>
        <v>152569</v>
      </c>
      <c r="T30" s="99"/>
      <c r="U30" s="108">
        <v>2.63</v>
      </c>
      <c r="V30" s="109">
        <f t="shared" si="5"/>
        <v>401256.47</v>
      </c>
      <c r="X30" s="100">
        <v>166288</v>
      </c>
      <c r="Y30" s="108">
        <v>2.63</v>
      </c>
      <c r="Z30" s="109">
        <f t="shared" ref="Z30:Z36" si="13">+Y30*X30</f>
        <v>437337.44</v>
      </c>
    </row>
    <row r="31" spans="1:26" x14ac:dyDescent="0.2">
      <c r="A31" s="99">
        <f t="shared" si="6"/>
        <v>26</v>
      </c>
      <c r="B31" s="99">
        <f t="shared" si="10"/>
        <v>0</v>
      </c>
      <c r="C31" s="99">
        <f t="shared" si="11"/>
        <v>0</v>
      </c>
      <c r="D31" s="99">
        <f t="shared" si="7"/>
        <v>0</v>
      </c>
      <c r="E31" s="99"/>
      <c r="F31" s="99">
        <f t="shared" si="0"/>
        <v>0</v>
      </c>
      <c r="G31" s="99"/>
      <c r="H31" s="99">
        <f t="shared" si="12"/>
        <v>0</v>
      </c>
      <c r="I31" s="99">
        <f t="shared" si="1"/>
        <v>0</v>
      </c>
      <c r="J31" s="99"/>
      <c r="K31" s="99">
        <f t="shared" si="2"/>
        <v>0</v>
      </c>
      <c r="L31" s="99"/>
      <c r="M31" s="99" t="s">
        <v>301</v>
      </c>
      <c r="N31" s="99"/>
      <c r="O31" s="106">
        <f t="shared" si="8"/>
        <v>152569</v>
      </c>
      <c r="P31" s="103">
        <f t="shared" si="9"/>
        <v>36124</v>
      </c>
      <c r="Q31" s="107">
        <f t="shared" si="3"/>
        <v>188693</v>
      </c>
      <c r="R31" s="99"/>
      <c r="S31" s="99">
        <f t="shared" si="4"/>
        <v>152569</v>
      </c>
      <c r="T31" s="99"/>
      <c r="U31" s="108">
        <v>2.63</v>
      </c>
      <c r="V31" s="109">
        <f t="shared" si="5"/>
        <v>401256.47</v>
      </c>
      <c r="X31" s="100">
        <v>166288</v>
      </c>
      <c r="Y31" s="108">
        <v>2.63</v>
      </c>
      <c r="Z31" s="109">
        <f t="shared" si="13"/>
        <v>437337.44</v>
      </c>
    </row>
    <row r="32" spans="1:26" x14ac:dyDescent="0.2">
      <c r="A32" s="99">
        <f t="shared" si="6"/>
        <v>27</v>
      </c>
      <c r="B32" s="99">
        <f t="shared" si="10"/>
        <v>0</v>
      </c>
      <c r="C32" s="99">
        <f t="shared" si="11"/>
        <v>0</v>
      </c>
      <c r="D32" s="99">
        <f t="shared" si="7"/>
        <v>0</v>
      </c>
      <c r="E32" s="99"/>
      <c r="F32" s="99">
        <f t="shared" si="0"/>
        <v>0</v>
      </c>
      <c r="G32" s="99"/>
      <c r="H32" s="99">
        <f t="shared" si="12"/>
        <v>0</v>
      </c>
      <c r="I32" s="99">
        <f t="shared" si="1"/>
        <v>0</v>
      </c>
      <c r="J32" s="99"/>
      <c r="K32" s="99">
        <f t="shared" si="2"/>
        <v>0</v>
      </c>
      <c r="L32" s="99"/>
      <c r="M32" s="99" t="s">
        <v>301</v>
      </c>
      <c r="N32" s="99"/>
      <c r="O32" s="106">
        <f t="shared" si="8"/>
        <v>152569</v>
      </c>
      <c r="P32" s="103">
        <f t="shared" si="9"/>
        <v>36124</v>
      </c>
      <c r="Q32" s="107">
        <f t="shared" si="3"/>
        <v>188693</v>
      </c>
      <c r="R32" s="99"/>
      <c r="S32" s="99">
        <f t="shared" si="4"/>
        <v>152569</v>
      </c>
      <c r="T32" s="99"/>
      <c r="U32" s="108">
        <v>2.63</v>
      </c>
      <c r="V32" s="109">
        <f t="shared" si="5"/>
        <v>401256.47</v>
      </c>
      <c r="X32" s="100">
        <v>166288</v>
      </c>
      <c r="Y32" s="108">
        <v>2.63</v>
      </c>
      <c r="Z32" s="109">
        <f t="shared" si="13"/>
        <v>437337.44</v>
      </c>
    </row>
    <row r="33" spans="1:26" x14ac:dyDescent="0.2">
      <c r="A33" s="99">
        <f t="shared" si="6"/>
        <v>28</v>
      </c>
      <c r="B33" s="99">
        <f t="shared" si="10"/>
        <v>0</v>
      </c>
      <c r="C33" s="99">
        <f t="shared" si="11"/>
        <v>0</v>
      </c>
      <c r="D33" s="99">
        <f t="shared" si="7"/>
        <v>0</v>
      </c>
      <c r="E33" s="99"/>
      <c r="F33" s="99">
        <f t="shared" si="0"/>
        <v>0</v>
      </c>
      <c r="G33" s="99"/>
      <c r="H33" s="99">
        <f t="shared" si="12"/>
        <v>0</v>
      </c>
      <c r="I33" s="99">
        <f t="shared" si="1"/>
        <v>0</v>
      </c>
      <c r="J33" s="99"/>
      <c r="K33" s="99">
        <f t="shared" si="2"/>
        <v>0</v>
      </c>
      <c r="L33" s="99"/>
      <c r="M33" s="99" t="s">
        <v>301</v>
      </c>
      <c r="N33" s="99"/>
      <c r="O33" s="106">
        <f t="shared" ref="O33:P36" si="14">+O32</f>
        <v>152569</v>
      </c>
      <c r="P33" s="103">
        <f t="shared" si="14"/>
        <v>36124</v>
      </c>
      <c r="Q33" s="107">
        <f>+P33+O33</f>
        <v>188693</v>
      </c>
      <c r="R33" s="99"/>
      <c r="S33" s="99">
        <f t="shared" si="4"/>
        <v>152569</v>
      </c>
      <c r="T33" s="99"/>
      <c r="U33" s="108">
        <v>2.63</v>
      </c>
      <c r="V33" s="109">
        <f t="shared" si="5"/>
        <v>401256.47</v>
      </c>
      <c r="X33" s="100">
        <v>166288</v>
      </c>
      <c r="Y33" s="108">
        <v>2.63</v>
      </c>
      <c r="Z33" s="109">
        <f t="shared" si="13"/>
        <v>437337.44</v>
      </c>
    </row>
    <row r="34" spans="1:26" x14ac:dyDescent="0.2">
      <c r="A34" s="99">
        <f t="shared" si="6"/>
        <v>29</v>
      </c>
      <c r="B34" s="99">
        <f t="shared" si="10"/>
        <v>0</v>
      </c>
      <c r="C34" s="99">
        <f t="shared" si="11"/>
        <v>0</v>
      </c>
      <c r="D34" s="99">
        <f t="shared" si="7"/>
        <v>0</v>
      </c>
      <c r="E34" s="99"/>
      <c r="F34" s="99">
        <f t="shared" si="0"/>
        <v>0</v>
      </c>
      <c r="G34" s="99"/>
      <c r="H34" s="99">
        <f t="shared" si="12"/>
        <v>0</v>
      </c>
      <c r="I34" s="99">
        <f t="shared" si="1"/>
        <v>0</v>
      </c>
      <c r="J34" s="99"/>
      <c r="K34" s="99">
        <f t="shared" si="2"/>
        <v>0</v>
      </c>
      <c r="L34" s="99"/>
      <c r="M34" s="99" t="s">
        <v>301</v>
      </c>
      <c r="N34" s="99"/>
      <c r="O34" s="106">
        <f t="shared" si="14"/>
        <v>152569</v>
      </c>
      <c r="P34" s="103">
        <f t="shared" si="14"/>
        <v>36124</v>
      </c>
      <c r="Q34" s="107">
        <f>+P34+O34</f>
        <v>188693</v>
      </c>
      <c r="R34" s="99"/>
      <c r="S34" s="99">
        <f t="shared" si="4"/>
        <v>152569</v>
      </c>
      <c r="T34" s="99"/>
      <c r="U34" s="108">
        <v>2.63</v>
      </c>
      <c r="V34" s="109">
        <f t="shared" si="5"/>
        <v>401256.47</v>
      </c>
      <c r="X34" s="100">
        <v>166288</v>
      </c>
      <c r="Y34" s="108">
        <v>2.63</v>
      </c>
      <c r="Z34" s="109">
        <f t="shared" si="13"/>
        <v>437337.44</v>
      </c>
    </row>
    <row r="35" spans="1:26" x14ac:dyDescent="0.2">
      <c r="A35" s="99">
        <f>+A34+1</f>
        <v>30</v>
      </c>
      <c r="B35" s="99">
        <f t="shared" si="10"/>
        <v>0</v>
      </c>
      <c r="C35" s="99">
        <f t="shared" si="11"/>
        <v>0</v>
      </c>
      <c r="D35" s="99">
        <f t="shared" si="7"/>
        <v>0</v>
      </c>
      <c r="E35" s="99"/>
      <c r="F35" s="99">
        <f>SUM(B35:D35)</f>
        <v>0</v>
      </c>
      <c r="G35" s="99"/>
      <c r="H35" s="99">
        <f t="shared" si="12"/>
        <v>0</v>
      </c>
      <c r="I35" s="99">
        <f t="shared" si="1"/>
        <v>0</v>
      </c>
      <c r="J35" s="99"/>
      <c r="K35" s="99">
        <f t="shared" si="2"/>
        <v>0</v>
      </c>
      <c r="L35" s="99"/>
      <c r="M35" s="99" t="s">
        <v>301</v>
      </c>
      <c r="N35" s="99"/>
      <c r="O35" s="106">
        <f t="shared" si="14"/>
        <v>152569</v>
      </c>
      <c r="P35" s="103">
        <f t="shared" si="14"/>
        <v>36124</v>
      </c>
      <c r="Q35" s="107">
        <f>+P35+O35</f>
        <v>188693</v>
      </c>
      <c r="R35" s="99"/>
      <c r="S35" s="99">
        <f>+O35-K35</f>
        <v>152569</v>
      </c>
      <c r="T35" s="99"/>
      <c r="U35" s="108">
        <v>2.63</v>
      </c>
      <c r="V35" s="109">
        <f>+U35*S35</f>
        <v>401256.47</v>
      </c>
      <c r="X35" s="100">
        <v>166288</v>
      </c>
      <c r="Y35" s="108">
        <v>2.63</v>
      </c>
      <c r="Z35" s="109">
        <f t="shared" si="13"/>
        <v>437337.44</v>
      </c>
    </row>
    <row r="36" spans="1:26" x14ac:dyDescent="0.2">
      <c r="A36" s="99">
        <f>+A35+1</f>
        <v>31</v>
      </c>
      <c r="B36" s="99">
        <f t="shared" si="10"/>
        <v>0</v>
      </c>
      <c r="C36" s="99">
        <f t="shared" si="11"/>
        <v>0</v>
      </c>
      <c r="D36" s="99">
        <f t="shared" si="7"/>
        <v>0</v>
      </c>
      <c r="E36" s="99"/>
      <c r="F36" s="99">
        <f>SUM(B36:D36)</f>
        <v>0</v>
      </c>
      <c r="G36" s="99"/>
      <c r="H36" s="99">
        <f t="shared" si="12"/>
        <v>0</v>
      </c>
      <c r="I36" s="99">
        <f t="shared" si="1"/>
        <v>0</v>
      </c>
      <c r="J36" s="99"/>
      <c r="K36" s="99">
        <f t="shared" si="2"/>
        <v>0</v>
      </c>
      <c r="L36" s="99"/>
      <c r="M36" s="99" t="s">
        <v>301</v>
      </c>
      <c r="N36" s="99"/>
      <c r="O36" s="106">
        <f t="shared" si="14"/>
        <v>152569</v>
      </c>
      <c r="P36" s="103">
        <f t="shared" si="14"/>
        <v>36124</v>
      </c>
      <c r="Q36" s="107">
        <f>+P36+O36</f>
        <v>188693</v>
      </c>
      <c r="R36" s="99"/>
      <c r="S36" s="99">
        <f>+O36-K36</f>
        <v>152569</v>
      </c>
      <c r="T36" s="99"/>
      <c r="U36" s="108">
        <v>2.63</v>
      </c>
      <c r="V36" s="109">
        <f>+U36*S36</f>
        <v>401256.47</v>
      </c>
      <c r="X36" s="100">
        <v>166288</v>
      </c>
      <c r="Y36" s="108">
        <v>2.63</v>
      </c>
      <c r="Z36" s="109">
        <f t="shared" si="13"/>
        <v>437337.44</v>
      </c>
    </row>
    <row r="37" spans="1:26" x14ac:dyDescent="0.2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6" x14ac:dyDescent="0.2">
      <c r="A38" s="99"/>
      <c r="B38" s="99">
        <f t="shared" ref="B38:H38" si="15">SUM(B6:B37)</f>
        <v>732854</v>
      </c>
      <c r="C38" s="99">
        <f t="shared" si="15"/>
        <v>53518</v>
      </c>
      <c r="D38" s="99">
        <f t="shared" si="15"/>
        <v>66310</v>
      </c>
      <c r="E38" s="99"/>
      <c r="F38" s="99">
        <f t="shared" si="15"/>
        <v>852682</v>
      </c>
      <c r="G38" s="99"/>
      <c r="H38" s="99">
        <f t="shared" si="15"/>
        <v>186501</v>
      </c>
      <c r="I38" s="99">
        <f>SUM(I6:I37)</f>
        <v>182556</v>
      </c>
      <c r="J38" s="99"/>
      <c r="K38" s="99">
        <f>SUM(K6:K37)</f>
        <v>670126</v>
      </c>
      <c r="L38" s="99"/>
      <c r="M38" s="99">
        <f>SUM(M6:M37)</f>
        <v>0</v>
      </c>
      <c r="N38" s="99"/>
      <c r="O38" s="99">
        <f>SUM(O6:O37)</f>
        <v>4729639</v>
      </c>
      <c r="P38" s="99">
        <f>SUM(P6:P37)</f>
        <v>1119844</v>
      </c>
      <c r="Q38" s="99">
        <f>SUM(Q6:Q37)</f>
        <v>5849483</v>
      </c>
      <c r="R38" s="99"/>
      <c r="S38" s="99">
        <f>SUM(S6:S37)</f>
        <v>4059513</v>
      </c>
      <c r="T38" s="99" t="s">
        <v>358</v>
      </c>
      <c r="U38" s="99"/>
      <c r="V38" s="109">
        <f>SUM(V6:V34)</f>
        <v>10363154.865000004</v>
      </c>
      <c r="X38" s="99">
        <f>SUM(X6:X37)</f>
        <v>1164016</v>
      </c>
      <c r="Z38" s="109">
        <f>SUM(Z6:Z34)</f>
        <v>2186687.2000000002</v>
      </c>
    </row>
    <row r="41" spans="1:26" x14ac:dyDescent="0.2">
      <c r="X41" s="10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146" workbookViewId="0">
      <selection activeCell="A176" sqref="A176:A178"/>
    </sheetView>
  </sheetViews>
  <sheetFormatPr defaultRowHeight="12" x14ac:dyDescent="0.2"/>
  <cols>
    <col min="1" max="1" width="15.5703125" style="68" customWidth="1"/>
    <col min="2" max="2" width="9.140625" style="68"/>
    <col min="3" max="3" width="12.42578125" style="68" customWidth="1"/>
    <col min="4" max="4" width="9.140625" style="68"/>
    <col min="5" max="5" width="11" style="68" customWidth="1"/>
    <col min="6" max="6" width="9.140625" style="68"/>
    <col min="7" max="7" width="13.42578125" style="68" customWidth="1"/>
    <col min="8" max="16384" width="9.140625" style="68"/>
  </cols>
  <sheetData>
    <row r="1" spans="1:12" x14ac:dyDescent="0.2">
      <c r="A1" s="72" t="s">
        <v>32</v>
      </c>
    </row>
    <row r="2" spans="1:12" x14ac:dyDescent="0.2">
      <c r="A2" s="68" t="s">
        <v>221</v>
      </c>
      <c r="B2" s="68" t="s">
        <v>24</v>
      </c>
      <c r="C2" s="70">
        <v>2.95</v>
      </c>
      <c r="D2" s="68" t="s">
        <v>412</v>
      </c>
      <c r="G2" s="73"/>
      <c r="H2" s="73"/>
      <c r="I2" s="74"/>
      <c r="J2" s="73"/>
      <c r="K2" s="73"/>
      <c r="L2" s="73"/>
    </row>
    <row r="3" spans="1:12" x14ac:dyDescent="0.2">
      <c r="A3" s="68" t="s">
        <v>230</v>
      </c>
      <c r="C3" s="70">
        <v>0.01</v>
      </c>
      <c r="D3" s="68" t="s">
        <v>413</v>
      </c>
      <c r="G3" s="73"/>
      <c r="H3" s="73"/>
      <c r="I3" s="74"/>
      <c r="J3" s="73"/>
      <c r="K3" s="73"/>
      <c r="L3" s="73"/>
    </row>
    <row r="4" spans="1:12" ht="12.75" x14ac:dyDescent="0.2">
      <c r="A4" s="68" t="s">
        <v>222</v>
      </c>
      <c r="B4" s="25"/>
      <c r="C4" s="70">
        <v>0</v>
      </c>
      <c r="G4" s="73"/>
      <c r="H4" s="73"/>
      <c r="I4" s="74"/>
      <c r="J4" s="73"/>
      <c r="K4" s="73"/>
      <c r="L4" s="73"/>
    </row>
    <row r="5" spans="1:12" ht="12.75" x14ac:dyDescent="0.2">
      <c r="A5" s="68" t="s">
        <v>223</v>
      </c>
      <c r="B5" s="25"/>
      <c r="C5" s="70">
        <f>0.0022+0.0072</f>
        <v>9.4000000000000004E-3</v>
      </c>
      <c r="G5" s="73"/>
      <c r="H5" s="34"/>
      <c r="I5" s="74"/>
      <c r="J5" s="73"/>
      <c r="K5" s="73"/>
      <c r="L5" s="73"/>
    </row>
    <row r="6" spans="1:12" ht="12.75" x14ac:dyDescent="0.2">
      <c r="A6" s="68" t="s">
        <v>224</v>
      </c>
      <c r="B6" s="25"/>
      <c r="C6" s="132">
        <v>1.11E-2</v>
      </c>
      <c r="G6" s="73"/>
      <c r="H6" s="34"/>
      <c r="I6" s="74"/>
      <c r="J6" s="73"/>
      <c r="K6" s="73"/>
      <c r="L6" s="73"/>
    </row>
    <row r="7" spans="1:12" ht="12.75" x14ac:dyDescent="0.2">
      <c r="A7" s="68" t="s">
        <v>226</v>
      </c>
      <c r="C7" s="124">
        <f>ROUND(+C2/(1-C6)+(C4+C5),4)-C2</f>
        <v>4.2499999999999982E-2</v>
      </c>
      <c r="G7" s="73"/>
      <c r="H7" s="34"/>
      <c r="I7" s="75"/>
      <c r="J7" s="73"/>
      <c r="K7" s="73"/>
      <c r="L7" s="73"/>
    </row>
    <row r="8" spans="1:12" ht="12.75" thickBot="1" x14ac:dyDescent="0.25">
      <c r="A8" s="68" t="s">
        <v>227</v>
      </c>
      <c r="C8" s="125">
        <f>SUM(C2,C3,C7)</f>
        <v>3.0024999999999999</v>
      </c>
      <c r="D8" s="68" t="s">
        <v>414</v>
      </c>
      <c r="G8" s="73"/>
      <c r="H8" s="73"/>
      <c r="I8" s="74"/>
      <c r="J8" s="73"/>
      <c r="K8" s="73"/>
      <c r="L8" s="73"/>
    </row>
    <row r="9" spans="1:12" ht="12.75" thickTop="1" x14ac:dyDescent="0.2">
      <c r="G9" s="73"/>
      <c r="H9" s="73"/>
      <c r="I9" s="74"/>
      <c r="J9" s="73"/>
      <c r="K9" s="73"/>
      <c r="L9" s="73"/>
    </row>
    <row r="11" spans="1:12" x14ac:dyDescent="0.2">
      <c r="A11" s="68" t="s">
        <v>221</v>
      </c>
      <c r="B11" s="68" t="s">
        <v>24</v>
      </c>
      <c r="C11" s="70">
        <v>2.95</v>
      </c>
      <c r="E11" s="70">
        <v>2.95</v>
      </c>
    </row>
    <row r="12" spans="1:12" x14ac:dyDescent="0.2">
      <c r="A12" s="68" t="s">
        <v>230</v>
      </c>
      <c r="C12" s="70">
        <v>0.01</v>
      </c>
      <c r="E12" s="70">
        <v>0.2</v>
      </c>
    </row>
    <row r="13" spans="1:12" x14ac:dyDescent="0.2">
      <c r="A13" s="68" t="s">
        <v>228</v>
      </c>
      <c r="C13" s="70">
        <v>1.12E-2</v>
      </c>
      <c r="E13" s="70">
        <v>1.12E-2</v>
      </c>
    </row>
    <row r="14" spans="1:12" x14ac:dyDescent="0.2">
      <c r="A14" s="68" t="s">
        <v>223</v>
      </c>
      <c r="C14" s="70">
        <f>0.0022+0.0072</f>
        <v>9.4000000000000004E-3</v>
      </c>
      <c r="E14" s="70">
        <f>0.0022+0.0072</f>
        <v>9.4000000000000004E-3</v>
      </c>
    </row>
    <row r="15" spans="1:12" x14ac:dyDescent="0.2">
      <c r="A15" s="68" t="s">
        <v>224</v>
      </c>
      <c r="C15" s="132">
        <v>1.11E-2</v>
      </c>
      <c r="E15" s="132">
        <v>1.11E-2</v>
      </c>
    </row>
    <row r="16" spans="1:12" x14ac:dyDescent="0.2">
      <c r="A16" s="68" t="s">
        <v>229</v>
      </c>
      <c r="C16" s="124">
        <f>ROUND((+C11+C12)/(1-C15)-(C11+C12)+C13+C14,4)</f>
        <v>5.3800000000000001E-2</v>
      </c>
      <c r="E16" s="124">
        <f>ROUND((+E11+E12)/(1-E15)-(E11+E12)+E13+E14,4)</f>
        <v>5.6000000000000001E-2</v>
      </c>
    </row>
    <row r="17" spans="1:5" ht="12.75" thickBot="1" x14ac:dyDescent="0.25">
      <c r="C17" s="125">
        <f>SUM(C16,C11:C12)</f>
        <v>3.0137999999999998</v>
      </c>
      <c r="D17" s="68" t="s">
        <v>377</v>
      </c>
      <c r="E17" s="125">
        <f>SUM(E16,E11:E12)</f>
        <v>3.2060000000000004</v>
      </c>
    </row>
    <row r="18" spans="1:5" ht="12.75" thickTop="1" x14ac:dyDescent="0.2"/>
    <row r="19" spans="1:5" x14ac:dyDescent="0.2">
      <c r="A19" s="68" t="s">
        <v>418</v>
      </c>
      <c r="B19" s="68" t="s">
        <v>415</v>
      </c>
    </row>
    <row r="20" spans="1:5" x14ac:dyDescent="0.2">
      <c r="B20" s="68" t="s">
        <v>416</v>
      </c>
    </row>
    <row r="21" spans="1:5" x14ac:dyDescent="0.2">
      <c r="B21" s="68" t="s">
        <v>417</v>
      </c>
    </row>
    <row r="25" spans="1:5" x14ac:dyDescent="0.2">
      <c r="A25" s="72" t="s">
        <v>231</v>
      </c>
      <c r="C25" s="68" t="s">
        <v>57</v>
      </c>
      <c r="E25" s="68" t="s">
        <v>378</v>
      </c>
    </row>
    <row r="26" spans="1:5" x14ac:dyDescent="0.2">
      <c r="A26" s="68" t="s">
        <v>221</v>
      </c>
      <c r="B26" s="68" t="s">
        <v>231</v>
      </c>
      <c r="C26" s="70">
        <v>2.76</v>
      </c>
      <c r="E26" s="70">
        <v>2.76</v>
      </c>
    </row>
    <row r="27" spans="1:5" x14ac:dyDescent="0.2">
      <c r="A27" s="68" t="s">
        <v>230</v>
      </c>
      <c r="C27" s="70">
        <v>7.4999999999999997E-3</v>
      </c>
      <c r="E27" s="70">
        <v>7.4999999999999997E-3</v>
      </c>
    </row>
    <row r="28" spans="1:5" x14ac:dyDescent="0.2">
      <c r="A28" s="68" t="s">
        <v>222</v>
      </c>
      <c r="C28" s="70">
        <v>1.32E-2</v>
      </c>
      <c r="E28" s="70">
        <v>0.2228</v>
      </c>
    </row>
    <row r="29" spans="1:5" x14ac:dyDescent="0.2">
      <c r="A29" s="68" t="s">
        <v>223</v>
      </c>
      <c r="C29" s="70">
        <f>0.0022+0.0072</f>
        <v>9.4000000000000004E-3</v>
      </c>
      <c r="E29" s="70">
        <f>0.0022+0.0072</f>
        <v>9.4000000000000004E-3</v>
      </c>
    </row>
    <row r="30" spans="1:5" x14ac:dyDescent="0.2">
      <c r="A30" s="68" t="s">
        <v>224</v>
      </c>
      <c r="C30" s="123">
        <v>2.1160000000000002E-2</v>
      </c>
      <c r="E30" s="123">
        <v>2.1160000000000002E-2</v>
      </c>
    </row>
    <row r="31" spans="1:5" x14ac:dyDescent="0.2">
      <c r="A31" s="68" t="s">
        <v>225</v>
      </c>
      <c r="C31" s="124">
        <f>ROUND((+C26+C27)/(1-C30)-(C26+C27)+C28+C29,4)</f>
        <v>8.2400000000000001E-2</v>
      </c>
      <c r="E31" s="124">
        <f>ROUND((+E26+E27)/(1-E30)-(E26+E27)+E28+E29,4)</f>
        <v>0.29199999999999998</v>
      </c>
    </row>
    <row r="32" spans="1:5" ht="12.75" thickBot="1" x14ac:dyDescent="0.25">
      <c r="C32" s="125">
        <f>SUM(C31,C26:C27)</f>
        <v>2.8498999999999994</v>
      </c>
      <c r="E32" s="125">
        <f>SUM(E31,E26:E27)</f>
        <v>3.0594999999999994</v>
      </c>
    </row>
    <row r="33" spans="1:7" ht="12.75" thickTop="1" x14ac:dyDescent="0.2"/>
    <row r="34" spans="1:7" x14ac:dyDescent="0.2">
      <c r="C34" s="126"/>
      <c r="E34" s="126"/>
    </row>
    <row r="35" spans="1:7" x14ac:dyDescent="0.2">
      <c r="C35" s="127"/>
      <c r="E35" s="127"/>
    </row>
    <row r="36" spans="1:7" x14ac:dyDescent="0.2">
      <c r="C36" s="70"/>
    </row>
    <row r="43" spans="1:7" x14ac:dyDescent="0.2">
      <c r="A43" s="72" t="s">
        <v>26</v>
      </c>
      <c r="C43" s="68" t="s">
        <v>379</v>
      </c>
      <c r="E43" s="68" t="s">
        <v>380</v>
      </c>
      <c r="G43" s="68" t="s">
        <v>381</v>
      </c>
    </row>
    <row r="44" spans="1:7" x14ac:dyDescent="0.2">
      <c r="A44" s="68" t="s">
        <v>221</v>
      </c>
      <c r="B44" s="68" t="s">
        <v>26</v>
      </c>
      <c r="C44" s="70">
        <v>2.79</v>
      </c>
      <c r="E44" s="70">
        <v>2.79</v>
      </c>
      <c r="G44" s="70">
        <v>2.79</v>
      </c>
    </row>
    <row r="45" spans="1:7" x14ac:dyDescent="0.2">
      <c r="A45" s="68" t="s">
        <v>230</v>
      </c>
      <c r="C45" s="70">
        <v>1.4999999999999999E-2</v>
      </c>
      <c r="E45" s="70">
        <v>7.4999999999999997E-2</v>
      </c>
      <c r="G45" s="70">
        <v>1.4999999999999999E-2</v>
      </c>
    </row>
    <row r="46" spans="1:7" x14ac:dyDescent="0.2">
      <c r="A46" s="68" t="s">
        <v>222</v>
      </c>
      <c r="C46" s="70">
        <v>3.95E-2</v>
      </c>
      <c r="E46" s="70">
        <v>3.95E-2</v>
      </c>
      <c r="G46" s="70">
        <v>3.95E-2</v>
      </c>
    </row>
    <row r="47" spans="1:7" x14ac:dyDescent="0.2">
      <c r="A47" s="68" t="s">
        <v>223</v>
      </c>
      <c r="C47" s="70">
        <f>0.0022</f>
        <v>2.2000000000000001E-3</v>
      </c>
      <c r="E47" s="70">
        <f>0.0022</f>
        <v>2.2000000000000001E-3</v>
      </c>
      <c r="G47" s="70">
        <f>0.0022</f>
        <v>2.2000000000000001E-3</v>
      </c>
    </row>
    <row r="48" spans="1:7" x14ac:dyDescent="0.2">
      <c r="A48" s="68" t="s">
        <v>224</v>
      </c>
      <c r="C48" s="132">
        <v>2.2800000000000001E-2</v>
      </c>
      <c r="E48" s="132">
        <v>2.2800000000000001E-2</v>
      </c>
      <c r="G48" s="132">
        <v>2.2800000000000001E-2</v>
      </c>
    </row>
    <row r="49" spans="1:7" x14ac:dyDescent="0.2">
      <c r="A49" s="68" t="s">
        <v>225</v>
      </c>
      <c r="C49" s="124">
        <f>ROUND((+C44+C45)/(1-C48)-(C44+C45)+C46+C47,4)</f>
        <v>0.1071</v>
      </c>
      <c r="E49" s="124">
        <f>ROUND((+E44+E45)/(1-E48)-(E44+E45)+E46+E47,4)</f>
        <v>0.1085</v>
      </c>
      <c r="F49" s="73"/>
      <c r="G49" s="124">
        <f>ROUND((+G44+G45)/(1-G48)-(G44+G45)+G46+G47,4)</f>
        <v>0.1071</v>
      </c>
    </row>
    <row r="50" spans="1:7" x14ac:dyDescent="0.2">
      <c r="A50" s="68" t="s">
        <v>0</v>
      </c>
      <c r="C50" s="124">
        <v>0</v>
      </c>
      <c r="E50" s="124">
        <v>0.1</v>
      </c>
      <c r="F50" s="73"/>
      <c r="G50" s="124">
        <v>0.1</v>
      </c>
    </row>
    <row r="51" spans="1:7" ht="12.75" thickBot="1" x14ac:dyDescent="0.25">
      <c r="A51" s="68" t="s">
        <v>227</v>
      </c>
      <c r="C51" s="154">
        <f>SUM(C49,C44:C45,C50)</f>
        <v>2.9121000000000001</v>
      </c>
      <c r="E51" s="154">
        <f>SUM(E49,E44:E45,E50)</f>
        <v>3.0735000000000001</v>
      </c>
      <c r="F51" s="73"/>
      <c r="G51" s="154">
        <f>SUM(G49,G44:G45,G50)</f>
        <v>3.0121000000000002</v>
      </c>
    </row>
    <row r="52" spans="1:7" ht="12.75" thickTop="1" x14ac:dyDescent="0.2">
      <c r="A52" s="68" t="s">
        <v>382</v>
      </c>
      <c r="C52" s="129">
        <f>1169*29</f>
        <v>33901</v>
      </c>
      <c r="E52" s="129">
        <f>160583-C52:C52</f>
        <v>126682</v>
      </c>
      <c r="F52" s="73"/>
      <c r="G52" s="129">
        <v>335355</v>
      </c>
    </row>
    <row r="53" spans="1:7" x14ac:dyDescent="0.2">
      <c r="A53" s="68" t="s">
        <v>419</v>
      </c>
      <c r="C53" s="74"/>
      <c r="E53" s="73"/>
      <c r="F53" s="73"/>
      <c r="G53" s="73"/>
    </row>
    <row r="54" spans="1:7" x14ac:dyDescent="0.2">
      <c r="C54" s="74"/>
    </row>
    <row r="55" spans="1:7" x14ac:dyDescent="0.2">
      <c r="A55" s="68" t="s">
        <v>383</v>
      </c>
      <c r="C55" s="74"/>
    </row>
    <row r="56" spans="1:7" x14ac:dyDescent="0.2">
      <c r="A56" s="68" t="s">
        <v>384</v>
      </c>
      <c r="C56" s="74"/>
    </row>
    <row r="57" spans="1:7" x14ac:dyDescent="0.2">
      <c r="C57" s="74"/>
    </row>
    <row r="58" spans="1:7" x14ac:dyDescent="0.2">
      <c r="A58" s="68" t="s">
        <v>420</v>
      </c>
      <c r="C58" s="74"/>
    </row>
    <row r="59" spans="1:7" x14ac:dyDescent="0.2">
      <c r="A59" s="68" t="s">
        <v>421</v>
      </c>
      <c r="B59" s="68" t="s">
        <v>422</v>
      </c>
      <c r="C59" s="74"/>
    </row>
    <row r="60" spans="1:7" x14ac:dyDescent="0.2">
      <c r="A60" s="68">
        <v>145898</v>
      </c>
      <c r="B60" s="68" t="s">
        <v>430</v>
      </c>
      <c r="C60" s="74"/>
    </row>
    <row r="61" spans="1:7" x14ac:dyDescent="0.2">
      <c r="C61" s="74"/>
    </row>
    <row r="62" spans="1:7" x14ac:dyDescent="0.2">
      <c r="C62" s="74"/>
    </row>
    <row r="63" spans="1:7" x14ac:dyDescent="0.2">
      <c r="C63" s="74"/>
    </row>
    <row r="64" spans="1:7" x14ac:dyDescent="0.2">
      <c r="C64" s="74"/>
    </row>
    <row r="65" spans="1:6" x14ac:dyDescent="0.2">
      <c r="A65" s="72" t="s">
        <v>385</v>
      </c>
      <c r="C65" s="133" t="s">
        <v>386</v>
      </c>
      <c r="E65" s="133" t="s">
        <v>387</v>
      </c>
    </row>
    <row r="66" spans="1:6" x14ac:dyDescent="0.2">
      <c r="A66" s="68" t="s">
        <v>221</v>
      </c>
      <c r="B66" s="68" t="s">
        <v>388</v>
      </c>
      <c r="C66" s="70">
        <v>2.58</v>
      </c>
      <c r="E66" s="70">
        <f>+C72</f>
        <v>2.6997999999999998</v>
      </c>
    </row>
    <row r="67" spans="1:6" x14ac:dyDescent="0.2">
      <c r="A67" s="68" t="s">
        <v>230</v>
      </c>
      <c r="C67" s="70">
        <v>0.01</v>
      </c>
      <c r="E67" s="70">
        <v>0</v>
      </c>
    </row>
    <row r="68" spans="1:6" x14ac:dyDescent="0.2">
      <c r="A68" s="68" t="s">
        <v>222</v>
      </c>
      <c r="C68" s="70">
        <v>5.7200000000000001E-2</v>
      </c>
      <c r="E68" s="70">
        <v>1.1000000000000001E-3</v>
      </c>
    </row>
    <row r="69" spans="1:6" x14ac:dyDescent="0.2">
      <c r="A69" s="68" t="s">
        <v>223</v>
      </c>
      <c r="C69" s="70">
        <f>0.0022</f>
        <v>2.2000000000000001E-3</v>
      </c>
      <c r="E69" s="70">
        <f>0.0022+0.0072</f>
        <v>9.4000000000000004E-3</v>
      </c>
      <c r="F69" s="68" t="s">
        <v>389</v>
      </c>
    </row>
    <row r="70" spans="1:6" x14ac:dyDescent="0.2">
      <c r="A70" s="68" t="s">
        <v>224</v>
      </c>
      <c r="C70" s="132">
        <v>1.9099999999999999E-2</v>
      </c>
      <c r="E70" s="132">
        <v>2.1999999999999999E-2</v>
      </c>
    </row>
    <row r="71" spans="1:6" x14ac:dyDescent="0.2">
      <c r="A71" s="68" t="s">
        <v>225</v>
      </c>
      <c r="C71" s="124">
        <f>ROUND((+C66+C67)/(1-C70)-(C66+C67)+C68+C69,4)</f>
        <v>0.10979999999999999</v>
      </c>
      <c r="E71" s="124">
        <f>ROUND((+E66+E67)/(1-E70)-(E66+E67)+E68+E69,4)</f>
        <v>7.1199999999999999E-2</v>
      </c>
    </row>
    <row r="72" spans="1:6" ht="12.75" thickBot="1" x14ac:dyDescent="0.25">
      <c r="A72" s="68" t="s">
        <v>227</v>
      </c>
      <c r="C72" s="125">
        <f>SUM(C71,C66:C67)</f>
        <v>2.6997999999999998</v>
      </c>
      <c r="E72" s="125">
        <f>SUM(E71,E66:E67)</f>
        <v>2.7709999999999999</v>
      </c>
      <c r="F72" s="68" t="s">
        <v>390</v>
      </c>
    </row>
    <row r="73" spans="1:6" ht="12.75" thickTop="1" x14ac:dyDescent="0.2"/>
    <row r="77" spans="1:6" x14ac:dyDescent="0.2">
      <c r="A77" s="72" t="s">
        <v>391</v>
      </c>
      <c r="C77" s="133" t="s">
        <v>57</v>
      </c>
      <c r="E77" s="133" t="s">
        <v>392</v>
      </c>
    </row>
    <row r="78" spans="1:6" x14ac:dyDescent="0.2">
      <c r="A78" s="68" t="s">
        <v>221</v>
      </c>
      <c r="B78" s="68" t="s">
        <v>26</v>
      </c>
      <c r="C78" s="70">
        <v>2.91</v>
      </c>
      <c r="E78" s="70">
        <v>2.91</v>
      </c>
    </row>
    <row r="79" spans="1:6" x14ac:dyDescent="0.2">
      <c r="A79" s="68" t="s">
        <v>230</v>
      </c>
      <c r="C79" s="70">
        <v>6.5000000000000002E-2</v>
      </c>
      <c r="E79" s="70">
        <v>6.5000000000000002E-2</v>
      </c>
    </row>
    <row r="80" spans="1:6" x14ac:dyDescent="0.2">
      <c r="A80" s="68" t="s">
        <v>222</v>
      </c>
      <c r="C80" s="70">
        <v>9.1999999999999998E-3</v>
      </c>
      <c r="E80" s="70">
        <f>0.1953+0.0174</f>
        <v>0.2127</v>
      </c>
    </row>
    <row r="81" spans="1:5" x14ac:dyDescent="0.2">
      <c r="A81" s="68" t="s">
        <v>223</v>
      </c>
      <c r="C81" s="70">
        <f>0.0022+0.0072</f>
        <v>9.4000000000000004E-3</v>
      </c>
      <c r="E81" s="70">
        <f>0.0022+0.0072</f>
        <v>9.4000000000000004E-3</v>
      </c>
    </row>
    <row r="82" spans="1:5" x14ac:dyDescent="0.2">
      <c r="A82" s="68" t="s">
        <v>224</v>
      </c>
      <c r="C82" s="132">
        <v>0.03</v>
      </c>
      <c r="E82" s="132">
        <v>0.03</v>
      </c>
    </row>
    <row r="83" spans="1:5" x14ac:dyDescent="0.2">
      <c r="A83" s="68" t="s">
        <v>225</v>
      </c>
      <c r="C83" s="124">
        <f>ROUND((+C78+C79)/(1-C82)-(C78+C79)+C80+C81,4)</f>
        <v>0.1106</v>
      </c>
      <c r="E83" s="124">
        <f>ROUND((+E78+E79)/(1-E82)-(E78+E79)+E80+E81,4)</f>
        <v>0.31409999999999999</v>
      </c>
    </row>
    <row r="84" spans="1:5" ht="12.75" thickBot="1" x14ac:dyDescent="0.25">
      <c r="A84" s="68" t="s">
        <v>227</v>
      </c>
      <c r="C84" s="125">
        <f>SUM(C83,C78:C79)</f>
        <v>3.0855999999999999</v>
      </c>
      <c r="E84" s="125">
        <f>SUM(E83,E78:E79)</f>
        <v>3.2890999999999999</v>
      </c>
    </row>
    <row r="85" spans="1:5" ht="12.75" thickTop="1" x14ac:dyDescent="0.2"/>
    <row r="86" spans="1:5" x14ac:dyDescent="0.2">
      <c r="A86" s="68" t="s">
        <v>393</v>
      </c>
    </row>
    <row r="89" spans="1:5" x14ac:dyDescent="0.2">
      <c r="A89" s="72" t="s">
        <v>394</v>
      </c>
    </row>
    <row r="90" spans="1:5" x14ac:dyDescent="0.2">
      <c r="A90" s="68" t="s">
        <v>221</v>
      </c>
      <c r="B90" s="68" t="s">
        <v>213</v>
      </c>
      <c r="C90" s="70">
        <v>2.58</v>
      </c>
    </row>
    <row r="91" spans="1:5" x14ac:dyDescent="0.2">
      <c r="A91" s="68" t="s">
        <v>230</v>
      </c>
      <c r="C91" s="70">
        <v>0.01</v>
      </c>
    </row>
    <row r="92" spans="1:5" x14ac:dyDescent="0.2">
      <c r="A92" s="68" t="s">
        <v>222</v>
      </c>
      <c r="C92" s="70">
        <v>0.11260000000000001</v>
      </c>
    </row>
    <row r="93" spans="1:5" x14ac:dyDescent="0.2">
      <c r="A93" s="68" t="s">
        <v>223</v>
      </c>
      <c r="C93" s="70">
        <f>0.0022+0.0072</f>
        <v>9.4000000000000004E-3</v>
      </c>
    </row>
    <row r="94" spans="1:5" x14ac:dyDescent="0.2">
      <c r="A94" s="68" t="s">
        <v>224</v>
      </c>
      <c r="C94" s="132">
        <v>6.9900000000000004E-2</v>
      </c>
    </row>
    <row r="95" spans="1:5" x14ac:dyDescent="0.2">
      <c r="A95" s="68" t="s">
        <v>225</v>
      </c>
      <c r="C95" s="124">
        <f>ROUND((+C90+C91)/(1-C94)-(C90+C91)+C92+C93,4)</f>
        <v>0.31659999999999999</v>
      </c>
    </row>
    <row r="96" spans="1:5" ht="12.75" thickBot="1" x14ac:dyDescent="0.25">
      <c r="C96" s="125">
        <f>SUM(C95,C90:C91)</f>
        <v>2.9066000000000001</v>
      </c>
      <c r="D96" s="68" t="s">
        <v>395</v>
      </c>
    </row>
    <row r="97" spans="1:4" ht="12.75" thickTop="1" x14ac:dyDescent="0.2"/>
    <row r="99" spans="1:4" x14ac:dyDescent="0.2">
      <c r="A99" s="72" t="s">
        <v>396</v>
      </c>
    </row>
    <row r="100" spans="1:4" x14ac:dyDescent="0.2">
      <c r="A100" s="68" t="s">
        <v>221</v>
      </c>
      <c r="B100" s="68" t="s">
        <v>397</v>
      </c>
      <c r="C100" s="70">
        <v>2.58</v>
      </c>
    </row>
    <row r="101" spans="1:4" x14ac:dyDescent="0.2">
      <c r="A101" s="68" t="s">
        <v>230</v>
      </c>
      <c r="C101" s="70">
        <v>0.01</v>
      </c>
    </row>
    <row r="102" spans="1:4" x14ac:dyDescent="0.2">
      <c r="A102" s="68" t="s">
        <v>222</v>
      </c>
      <c r="C102" s="70">
        <v>9.9400000000000002E-2</v>
      </c>
    </row>
    <row r="103" spans="1:4" x14ac:dyDescent="0.2">
      <c r="A103" s="68" t="s">
        <v>223</v>
      </c>
      <c r="C103" s="70">
        <f>0.0022+0.0072</f>
        <v>9.4000000000000004E-3</v>
      </c>
    </row>
    <row r="104" spans="1:4" x14ac:dyDescent="0.2">
      <c r="A104" s="68" t="s">
        <v>224</v>
      </c>
      <c r="C104" s="132">
        <v>9.2399999999999996E-2</v>
      </c>
    </row>
    <row r="105" spans="1:4" x14ac:dyDescent="0.2">
      <c r="A105" s="68" t="s">
        <v>225</v>
      </c>
      <c r="C105" s="124">
        <f>ROUND((+C100+C101)/(1-C104)-(C100+C101)+C102+C103,4)</f>
        <v>0.3725</v>
      </c>
      <c r="D105" s="68" t="s">
        <v>398</v>
      </c>
    </row>
    <row r="106" spans="1:4" ht="12.75" thickBot="1" x14ac:dyDescent="0.25">
      <c r="C106" s="125">
        <f>SUM(C105,C100:C101)</f>
        <v>2.9624999999999999</v>
      </c>
      <c r="D106" s="68" t="s">
        <v>399</v>
      </c>
    </row>
    <row r="107" spans="1:4" ht="12.75" thickTop="1" x14ac:dyDescent="0.2"/>
    <row r="108" spans="1:4" x14ac:dyDescent="0.2">
      <c r="A108" s="68" t="s">
        <v>400</v>
      </c>
    </row>
    <row r="116" spans="1:14" ht="12.75" x14ac:dyDescent="0.2">
      <c r="A116" s="71" t="s">
        <v>1</v>
      </c>
      <c r="G116" s="25"/>
      <c r="H116" s="25"/>
    </row>
    <row r="117" spans="1:14" ht="12.75" x14ac:dyDescent="0.2">
      <c r="D117" s="128"/>
      <c r="F117" s="129"/>
      <c r="G117" s="25"/>
    </row>
    <row r="118" spans="1:14" x14ac:dyDescent="0.2">
      <c r="A118" s="68" t="s">
        <v>220</v>
      </c>
      <c r="E118" s="73"/>
      <c r="F118" s="73"/>
      <c r="G118" s="73"/>
      <c r="H118" s="73"/>
      <c r="I118" s="73"/>
      <c r="J118" s="73"/>
      <c r="K118" s="73"/>
      <c r="L118" s="73"/>
    </row>
    <row r="119" spans="1:14" ht="12.75" x14ac:dyDescent="0.2">
      <c r="A119" s="68" t="s">
        <v>221</v>
      </c>
      <c r="B119" s="68" t="s">
        <v>176</v>
      </c>
      <c r="C119" s="70">
        <v>2.62</v>
      </c>
      <c r="E119" s="73"/>
      <c r="F119" s="73"/>
      <c r="G119" s="74"/>
      <c r="H119" s="73"/>
      <c r="I119" s="73"/>
      <c r="J119" s="73"/>
      <c r="K119" s="74"/>
      <c r="L119" s="34"/>
    </row>
    <row r="120" spans="1:14" ht="12.75" x14ac:dyDescent="0.2">
      <c r="C120" s="70">
        <v>0.01</v>
      </c>
      <c r="E120" s="73"/>
      <c r="F120" s="73"/>
      <c r="G120" s="74"/>
      <c r="H120" s="73"/>
      <c r="I120" s="73"/>
      <c r="J120" s="73"/>
      <c r="K120" s="74"/>
      <c r="L120" s="34"/>
    </row>
    <row r="121" spans="1:14" ht="12.75" x14ac:dyDescent="0.2">
      <c r="A121" s="68" t="s">
        <v>222</v>
      </c>
      <c r="B121" s="25"/>
      <c r="C121" s="70">
        <v>2.24E-2</v>
      </c>
      <c r="E121" s="73"/>
      <c r="F121" s="34"/>
      <c r="G121" s="74"/>
      <c r="H121" s="73"/>
      <c r="I121" s="73"/>
      <c r="J121" s="34"/>
      <c r="K121" s="74"/>
      <c r="L121" s="34"/>
    </row>
    <row r="122" spans="1:14" ht="12.75" x14ac:dyDescent="0.2">
      <c r="A122" s="68" t="s">
        <v>223</v>
      </c>
      <c r="B122" s="25"/>
      <c r="C122" s="70">
        <f>0.0022+0.0072+0.0131</f>
        <v>2.2499999999999999E-2</v>
      </c>
      <c r="E122" s="73"/>
      <c r="F122" s="34"/>
      <c r="G122" s="74"/>
      <c r="H122" s="73"/>
      <c r="I122" s="73"/>
      <c r="J122" s="34"/>
      <c r="K122" s="74"/>
      <c r="L122" s="34"/>
    </row>
    <row r="123" spans="1:14" ht="12.75" x14ac:dyDescent="0.2">
      <c r="A123" s="68" t="s">
        <v>224</v>
      </c>
      <c r="B123" s="134"/>
      <c r="C123" s="132">
        <v>4.7399999999999998E-2</v>
      </c>
      <c r="E123" s="73"/>
      <c r="F123" s="130"/>
      <c r="G123" s="75"/>
      <c r="H123" s="73"/>
      <c r="I123" s="73"/>
      <c r="J123" s="130"/>
      <c r="K123" s="75"/>
      <c r="L123" s="34"/>
    </row>
    <row r="124" spans="1:14" ht="12.75" x14ac:dyDescent="0.2">
      <c r="A124" s="68" t="s">
        <v>225</v>
      </c>
      <c r="C124" s="124">
        <f>ROUND((+C119+C120)/(1-C123)+(C121+C122),4)-C119-C120</f>
        <v>0.17579999999999996</v>
      </c>
      <c r="E124" s="73"/>
      <c r="F124" s="73"/>
      <c r="G124" s="74"/>
      <c r="H124" s="73"/>
      <c r="I124" s="73"/>
      <c r="J124" s="73"/>
      <c r="K124" s="74"/>
      <c r="L124" s="34"/>
    </row>
    <row r="125" spans="1:14" ht="13.5" thickBot="1" x14ac:dyDescent="0.25">
      <c r="C125" s="125">
        <f>SUM(C124,C119:C120)</f>
        <v>2.8057999999999996</v>
      </c>
      <c r="D125" s="68" t="s">
        <v>436</v>
      </c>
      <c r="E125" s="73"/>
      <c r="F125" s="73"/>
      <c r="G125" s="73"/>
      <c r="H125" s="73"/>
      <c r="I125" s="73"/>
      <c r="J125" s="73"/>
      <c r="K125" s="73"/>
      <c r="L125" s="34"/>
      <c r="M125" s="69"/>
      <c r="N125" s="70"/>
    </row>
    <row r="126" spans="1:14" ht="13.5" thickTop="1" x14ac:dyDescent="0.2">
      <c r="B126" s="25"/>
      <c r="C126" s="70"/>
      <c r="G126" s="69"/>
      <c r="H126" s="131"/>
    </row>
    <row r="127" spans="1:14" ht="12.75" x14ac:dyDescent="0.2">
      <c r="K127" s="25"/>
      <c r="L127" s="70"/>
    </row>
    <row r="129" spans="1:14" x14ac:dyDescent="0.2">
      <c r="A129" s="68" t="s">
        <v>401</v>
      </c>
      <c r="E129" s="73"/>
      <c r="F129" s="73"/>
      <c r="G129" s="73"/>
      <c r="H129" s="73"/>
      <c r="I129" s="73"/>
      <c r="J129" s="73"/>
      <c r="K129" s="73"/>
      <c r="L129" s="73"/>
    </row>
    <row r="130" spans="1:14" ht="12.75" x14ac:dyDescent="0.2">
      <c r="A130" s="68" t="s">
        <v>221</v>
      </c>
      <c r="B130" s="68" t="s">
        <v>176</v>
      </c>
      <c r="C130" s="70">
        <v>2.61</v>
      </c>
      <c r="E130" s="73"/>
      <c r="F130" s="73"/>
      <c r="G130" s="74"/>
      <c r="H130" s="73"/>
      <c r="I130" s="73"/>
      <c r="J130" s="73"/>
      <c r="K130" s="74"/>
      <c r="L130" s="34"/>
    </row>
    <row r="131" spans="1:14" ht="12.75" x14ac:dyDescent="0.2">
      <c r="C131" s="70">
        <v>7.4999999999999997E-3</v>
      </c>
      <c r="E131" s="73"/>
      <c r="F131" s="73"/>
      <c r="G131" s="74"/>
      <c r="H131" s="73"/>
      <c r="I131" s="73"/>
      <c r="J131" s="73"/>
      <c r="K131" s="74"/>
      <c r="L131" s="34"/>
    </row>
    <row r="132" spans="1:14" ht="12.75" x14ac:dyDescent="0.2">
      <c r="A132" s="68" t="s">
        <v>222</v>
      </c>
      <c r="B132" s="25"/>
      <c r="C132" s="70">
        <v>1.15E-2</v>
      </c>
      <c r="E132" s="73"/>
      <c r="F132" s="34"/>
      <c r="G132" s="74"/>
      <c r="H132" s="73"/>
      <c r="I132" s="73"/>
      <c r="J132" s="34"/>
      <c r="K132" s="74"/>
      <c r="L132" s="34"/>
    </row>
    <row r="133" spans="1:14" ht="12.75" x14ac:dyDescent="0.2">
      <c r="A133" s="68" t="s">
        <v>223</v>
      </c>
      <c r="B133" s="25"/>
      <c r="C133" s="70">
        <f>0.0022+0.0072+0.0131</f>
        <v>2.2499999999999999E-2</v>
      </c>
      <c r="E133" s="73"/>
      <c r="F133" s="34"/>
      <c r="G133" s="74"/>
      <c r="H133" s="73"/>
      <c r="I133" s="73"/>
      <c r="J133" s="34"/>
      <c r="K133" s="74"/>
      <c r="L133" s="34"/>
    </row>
    <row r="134" spans="1:14" ht="12.75" x14ac:dyDescent="0.2">
      <c r="A134" s="68" t="s">
        <v>224</v>
      </c>
      <c r="B134" s="134"/>
      <c r="C134" s="132">
        <v>2.3800000000000002E-2</v>
      </c>
      <c r="E134" s="73"/>
      <c r="F134" s="130"/>
      <c r="G134" s="75"/>
      <c r="H134" s="73"/>
      <c r="I134" s="73"/>
      <c r="J134" s="130"/>
      <c r="K134" s="75"/>
      <c r="L134" s="34"/>
    </row>
    <row r="135" spans="1:14" ht="12.75" x14ac:dyDescent="0.2">
      <c r="A135" s="68" t="s">
        <v>225</v>
      </c>
      <c r="C135" s="124">
        <f>ROUND((+C130+C131)/(1-C134)+(C132+C133),4)-C130-C131</f>
        <v>9.7800000000000165E-2</v>
      </c>
      <c r="E135" s="73"/>
      <c r="F135" s="73"/>
      <c r="G135" s="74"/>
      <c r="H135" s="73"/>
      <c r="I135" s="73"/>
      <c r="J135" s="73"/>
      <c r="K135" s="74"/>
      <c r="L135" s="34"/>
    </row>
    <row r="136" spans="1:14" ht="13.5" thickBot="1" x14ac:dyDescent="0.25">
      <c r="C136" s="125">
        <f>SUM(C135,C130:C131)</f>
        <v>2.7153</v>
      </c>
      <c r="D136" s="68" t="s">
        <v>435</v>
      </c>
      <c r="E136" s="73"/>
      <c r="F136" s="73"/>
      <c r="G136" s="73"/>
      <c r="H136" s="73"/>
      <c r="I136" s="73"/>
      <c r="J136" s="73"/>
      <c r="K136" s="73"/>
      <c r="L136" s="34"/>
      <c r="M136" s="69"/>
      <c r="N136" s="70"/>
    </row>
    <row r="137" spans="1:14" ht="13.5" thickTop="1" x14ac:dyDescent="0.2">
      <c r="B137" s="25"/>
      <c r="C137" s="70"/>
      <c r="G137" s="69"/>
      <c r="H137" s="131"/>
    </row>
    <row r="140" spans="1:14" x14ac:dyDescent="0.2">
      <c r="A140" s="68" t="s">
        <v>402</v>
      </c>
      <c r="I140" s="68" t="s">
        <v>403</v>
      </c>
    </row>
    <row r="141" spans="1:14" ht="12.75" x14ac:dyDescent="0.2">
      <c r="A141" s="68" t="s">
        <v>221</v>
      </c>
      <c r="B141" s="68" t="s">
        <v>404</v>
      </c>
      <c r="C141" s="70">
        <v>2.63</v>
      </c>
      <c r="I141" s="68" t="s">
        <v>221</v>
      </c>
      <c r="J141" s="68" t="s">
        <v>404</v>
      </c>
      <c r="K141" s="70">
        <v>2.63</v>
      </c>
      <c r="L141" s="25"/>
    </row>
    <row r="142" spans="1:14" ht="12.75" x14ac:dyDescent="0.2">
      <c r="A142" s="68" t="s">
        <v>230</v>
      </c>
      <c r="C142" s="70">
        <v>1.7500000000000002E-2</v>
      </c>
      <c r="K142" s="70">
        <v>1.7500000000000002E-2</v>
      </c>
      <c r="L142" s="25"/>
    </row>
    <row r="143" spans="1:14" ht="12.75" x14ac:dyDescent="0.2">
      <c r="A143" s="68" t="s">
        <v>222</v>
      </c>
      <c r="B143" s="25"/>
      <c r="C143" s="70">
        <v>1.18E-2</v>
      </c>
      <c r="I143" s="68" t="s">
        <v>222</v>
      </c>
      <c r="J143" s="25"/>
      <c r="K143" s="70">
        <v>2.3E-3</v>
      </c>
      <c r="L143" s="25"/>
    </row>
    <row r="144" spans="1:14" ht="12.75" x14ac:dyDescent="0.2">
      <c r="A144" s="68" t="s">
        <v>223</v>
      </c>
      <c r="B144" s="25"/>
      <c r="C144" s="70">
        <f>0.0022+0.0072</f>
        <v>9.4000000000000004E-3</v>
      </c>
      <c r="D144" s="68" t="s">
        <v>405</v>
      </c>
      <c r="I144" s="68" t="s">
        <v>223</v>
      </c>
      <c r="J144" s="25"/>
      <c r="K144" s="70">
        <f>0.0022+0.0072</f>
        <v>9.4000000000000004E-3</v>
      </c>
      <c r="L144" s="68" t="s">
        <v>405</v>
      </c>
    </row>
    <row r="145" spans="1:14" ht="12.75" x14ac:dyDescent="0.2">
      <c r="A145" s="68" t="s">
        <v>224</v>
      </c>
      <c r="B145" s="134"/>
      <c r="C145" s="132">
        <v>1.9300000000000001E-2</v>
      </c>
      <c r="I145" s="68" t="s">
        <v>224</v>
      </c>
      <c r="J145" s="134"/>
      <c r="K145" s="132">
        <v>1.9300000000000001E-2</v>
      </c>
      <c r="L145" s="25"/>
    </row>
    <row r="146" spans="1:14" ht="12.75" x14ac:dyDescent="0.2">
      <c r="A146" s="68" t="s">
        <v>225</v>
      </c>
      <c r="C146" s="124">
        <f>ROUND((+C141+C142)/(1-C145)+(C143+C144),4)-C141-C142</f>
        <v>7.3300000000000212E-2</v>
      </c>
      <c r="I146" s="68" t="s">
        <v>225</v>
      </c>
      <c r="K146" s="124">
        <f>ROUND((+K141+K142)/(1-K145)+(K143+K144),4)-K141-K142</f>
        <v>6.3800000000000148E-2</v>
      </c>
      <c r="L146" s="25"/>
    </row>
    <row r="147" spans="1:14" ht="13.5" thickBot="1" x14ac:dyDescent="0.25">
      <c r="A147" s="68" t="s">
        <v>227</v>
      </c>
      <c r="C147" s="125">
        <f>SUM(C141:C142,C146)</f>
        <v>2.7208000000000001</v>
      </c>
      <c r="D147" s="68" t="s">
        <v>437</v>
      </c>
      <c r="I147" s="73" t="s">
        <v>227</v>
      </c>
      <c r="J147" s="73"/>
      <c r="K147" s="125">
        <f>SUM(K141:K142,K146)</f>
        <v>2.7113</v>
      </c>
      <c r="L147" s="25" t="s">
        <v>438</v>
      </c>
      <c r="M147" s="69"/>
      <c r="N147" s="70"/>
    </row>
    <row r="148" spans="1:14" ht="13.5" thickTop="1" x14ac:dyDescent="0.2">
      <c r="B148" s="25"/>
      <c r="C148" s="70"/>
      <c r="G148" s="69"/>
      <c r="H148" s="131"/>
    </row>
    <row r="150" spans="1:14" x14ac:dyDescent="0.2">
      <c r="A150" s="68" t="s">
        <v>406</v>
      </c>
    </row>
    <row r="151" spans="1:14" x14ac:dyDescent="0.2">
      <c r="A151" s="68" t="s">
        <v>221</v>
      </c>
      <c r="B151" s="68" t="s">
        <v>404</v>
      </c>
      <c r="C151" s="70">
        <v>2.64</v>
      </c>
      <c r="D151" s="68" t="s">
        <v>407</v>
      </c>
    </row>
    <row r="152" spans="1:14" ht="12.75" x14ac:dyDescent="0.2">
      <c r="A152" s="68" t="s">
        <v>222</v>
      </c>
      <c r="B152" s="25"/>
      <c r="C152" s="70">
        <v>1.67E-2</v>
      </c>
    </row>
    <row r="153" spans="1:14" ht="12.75" x14ac:dyDescent="0.2">
      <c r="A153" s="68" t="s">
        <v>223</v>
      </c>
      <c r="B153" s="25"/>
      <c r="C153" s="70">
        <f>0.0022+0.0072+0.0131</f>
        <v>2.2499999999999999E-2</v>
      </c>
    </row>
    <row r="154" spans="1:14" x14ac:dyDescent="0.2">
      <c r="A154" s="68" t="s">
        <v>224</v>
      </c>
      <c r="B154" s="134"/>
      <c r="C154" s="132">
        <v>3.4500000000000003E-2</v>
      </c>
    </row>
    <row r="155" spans="1:14" x14ac:dyDescent="0.2">
      <c r="A155" s="68" t="s">
        <v>225</v>
      </c>
      <c r="C155" s="124">
        <f>ROUND((+C151)/(1-C154)+(C152+C153),4)-C151</f>
        <v>0.13349999999999973</v>
      </c>
    </row>
    <row r="156" spans="1:14" x14ac:dyDescent="0.2">
      <c r="A156" s="68" t="s">
        <v>408</v>
      </c>
      <c r="C156" s="135">
        <v>0.27</v>
      </c>
    </row>
    <row r="157" spans="1:14" ht="12.75" thickBot="1" x14ac:dyDescent="0.25">
      <c r="A157" s="68" t="s">
        <v>227</v>
      </c>
      <c r="C157" s="125">
        <f>SUM(C151:C151,C155)</f>
        <v>2.7734999999999999</v>
      </c>
      <c r="D157" s="68" t="s">
        <v>409</v>
      </c>
    </row>
    <row r="158" spans="1:14" ht="12.75" thickTop="1" x14ac:dyDescent="0.2">
      <c r="D158" s="68" t="s">
        <v>410</v>
      </c>
    </row>
    <row r="159" spans="1:14" x14ac:dyDescent="0.2">
      <c r="D159" s="68" t="s">
        <v>411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8"/>
  <sheetViews>
    <sheetView topLeftCell="E181" workbookViewId="0">
      <selection activeCell="U201" sqref="U20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2.28515625" style="25" customWidth="1"/>
    <col min="21" max="21" width="10.7109375" style="25" customWidth="1"/>
    <col min="22" max="22" width="11.85546875" style="25" customWidth="1"/>
    <col min="23" max="23" width="14.85546875" style="38" customWidth="1"/>
    <col min="24" max="24" width="42.28515625" style="27" customWidth="1"/>
    <col min="25" max="26" width="9.140625" style="38"/>
    <col min="27" max="27" width="12.42578125" style="25" customWidth="1"/>
    <col min="28" max="16384" width="9.140625" style="25"/>
  </cols>
  <sheetData>
    <row r="1" spans="2:26" x14ac:dyDescent="0.2">
      <c r="B1" s="41" t="s">
        <v>441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61"/>
      <c r="Y1" s="35"/>
      <c r="Z1" s="35"/>
    </row>
    <row r="2" spans="2:26" x14ac:dyDescent="0.2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61"/>
      <c r="Y2" s="35"/>
      <c r="Z2" s="35"/>
    </row>
    <row r="3" spans="2:26" x14ac:dyDescent="0.2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61"/>
      <c r="Y3" s="35"/>
      <c r="Z3" s="35"/>
    </row>
    <row r="4" spans="2:26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61"/>
      <c r="Y4" s="35"/>
      <c r="Z4" s="35"/>
    </row>
    <row r="5" spans="2:26" x14ac:dyDescent="0.2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61"/>
      <c r="Y5" s="35"/>
      <c r="Z5" s="35"/>
    </row>
    <row r="6" spans="2:26" x14ac:dyDescent="0.2">
      <c r="B6" s="76"/>
      <c r="C6" s="3" t="s">
        <v>237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61"/>
      <c r="Y6" s="35"/>
      <c r="Z6" s="35"/>
    </row>
    <row r="7" spans="2:26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61"/>
      <c r="Y7" s="35"/>
      <c r="Z7" s="35"/>
    </row>
    <row r="8" spans="2:26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61"/>
      <c r="Y8" s="35"/>
      <c r="Z8" s="35"/>
    </row>
    <row r="9" spans="2:26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61"/>
      <c r="Y9" s="35"/>
      <c r="Z9" s="35"/>
    </row>
    <row r="10" spans="2:26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61"/>
      <c r="Y10" s="35"/>
      <c r="Z10" s="35"/>
    </row>
    <row r="11" spans="2:26" x14ac:dyDescent="0.2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233</v>
      </c>
      <c r="R11" s="20" t="s">
        <v>232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234</v>
      </c>
      <c r="X11" s="62" t="s">
        <v>42</v>
      </c>
      <c r="Y11" s="36"/>
      <c r="Z11" s="36"/>
    </row>
    <row r="12" spans="2:26" s="91" customFormat="1" x14ac:dyDescent="0.2">
      <c r="B12" s="42" t="s">
        <v>104</v>
      </c>
      <c r="C12" s="79" t="s">
        <v>32</v>
      </c>
      <c r="D12" s="79" t="s">
        <v>20</v>
      </c>
      <c r="E12" s="80">
        <v>36586</v>
      </c>
      <c r="F12" s="80">
        <v>36830</v>
      </c>
      <c r="G12" s="81" t="s">
        <v>98</v>
      </c>
      <c r="H12" s="42" t="s">
        <v>106</v>
      </c>
      <c r="I12" s="79" t="s">
        <v>99</v>
      </c>
      <c r="J12" s="82">
        <f>6.7854*0.0328767</f>
        <v>0.22308156018000003</v>
      </c>
      <c r="K12" s="83">
        <v>1.12E-2</v>
      </c>
      <c r="L12" s="83">
        <v>2.2000000000000001E-3</v>
      </c>
      <c r="M12" s="83">
        <v>7.1999999999999998E-3</v>
      </c>
      <c r="N12" s="83">
        <v>0</v>
      </c>
      <c r="O12" s="84">
        <v>1.11E-2</v>
      </c>
      <c r="P12" s="83">
        <f>SUM(J12:N12)</f>
        <v>0.24368156018000003</v>
      </c>
      <c r="Q12" s="85">
        <v>779150</v>
      </c>
      <c r="R12" s="85" t="s">
        <v>301</v>
      </c>
      <c r="S12" s="79">
        <v>104</v>
      </c>
      <c r="T12" s="42" t="s">
        <v>302</v>
      </c>
      <c r="U12" s="86">
        <f>J12*J$1*S12</f>
        <v>696.01446776160014</v>
      </c>
      <c r="V12" s="86"/>
      <c r="W12" s="87">
        <v>205856</v>
      </c>
      <c r="X12" s="42"/>
      <c r="Y12" s="90"/>
      <c r="Z12" s="90"/>
    </row>
    <row r="13" spans="2:26" s="91" customFormat="1" x14ac:dyDescent="0.2">
      <c r="B13" s="42" t="s">
        <v>104</v>
      </c>
      <c r="C13" s="79" t="s">
        <v>32</v>
      </c>
      <c r="D13" s="79" t="s">
        <v>20</v>
      </c>
      <c r="E13" s="80">
        <v>35977</v>
      </c>
      <c r="F13" s="80">
        <v>36830</v>
      </c>
      <c r="G13" s="81" t="s">
        <v>98</v>
      </c>
      <c r="H13" s="42" t="s">
        <v>106</v>
      </c>
      <c r="I13" s="79" t="s">
        <v>99</v>
      </c>
      <c r="J13" s="82">
        <f t="shared" ref="J13:J19" si="0">6.7854*0.0328767</f>
        <v>0.22308156018000003</v>
      </c>
      <c r="K13" s="83">
        <v>1.12E-2</v>
      </c>
      <c r="L13" s="83">
        <v>2.2000000000000001E-3</v>
      </c>
      <c r="M13" s="83">
        <v>7.1999999999999998E-3</v>
      </c>
      <c r="N13" s="83">
        <v>0</v>
      </c>
      <c r="O13" s="84">
        <v>1.11E-2</v>
      </c>
      <c r="P13" s="83">
        <f t="shared" ref="P13:P28" si="1">SUM(J13:N13)</f>
        <v>0.24368156018000003</v>
      </c>
      <c r="Q13" s="85" t="s">
        <v>300</v>
      </c>
      <c r="R13" s="85">
        <v>770407</v>
      </c>
      <c r="S13" s="79">
        <v>69</v>
      </c>
      <c r="T13" s="42"/>
      <c r="U13" s="86">
        <f t="shared" ref="U13:U28" si="2">J13*J$1*S13</f>
        <v>461.7788295726001</v>
      </c>
      <c r="V13" s="86"/>
      <c r="W13" s="87">
        <v>142005</v>
      </c>
      <c r="X13" s="42"/>
      <c r="Y13" s="90"/>
      <c r="Z13" s="90"/>
    </row>
    <row r="14" spans="2:26" s="91" customFormat="1" x14ac:dyDescent="0.2">
      <c r="B14" s="42" t="s">
        <v>104</v>
      </c>
      <c r="C14" s="79" t="s">
        <v>32</v>
      </c>
      <c r="D14" s="79" t="s">
        <v>20</v>
      </c>
      <c r="E14" s="80">
        <v>36130</v>
      </c>
      <c r="F14" s="80">
        <v>36830</v>
      </c>
      <c r="G14" s="81" t="s">
        <v>98</v>
      </c>
      <c r="H14" s="81" t="s">
        <v>108</v>
      </c>
      <c r="I14" s="79" t="s">
        <v>99</v>
      </c>
      <c r="J14" s="82">
        <f t="shared" si="0"/>
        <v>0.22308156018000003</v>
      </c>
      <c r="K14" s="83">
        <v>1.12E-2</v>
      </c>
      <c r="L14" s="83">
        <v>2.2000000000000001E-3</v>
      </c>
      <c r="M14" s="83">
        <v>7.1999999999999998E-3</v>
      </c>
      <c r="N14" s="83">
        <v>0</v>
      </c>
      <c r="O14" s="84">
        <v>1.11E-2</v>
      </c>
      <c r="P14" s="83">
        <f>SUM(J14:N14)</f>
        <v>0.24368156018000003</v>
      </c>
      <c r="Q14" s="85" t="s">
        <v>300</v>
      </c>
      <c r="R14" s="85">
        <v>770612</v>
      </c>
      <c r="S14" s="79">
        <v>12</v>
      </c>
      <c r="T14" s="42"/>
      <c r="U14" s="86">
        <f>J14*J$1*S14</f>
        <v>80.309361664800008</v>
      </c>
      <c r="V14" s="86"/>
      <c r="W14" s="87">
        <v>142010</v>
      </c>
      <c r="X14" s="42"/>
      <c r="Y14" s="90"/>
      <c r="Z14" s="90"/>
    </row>
    <row r="15" spans="2:26" s="91" customFormat="1" x14ac:dyDescent="0.2">
      <c r="B15" s="42" t="s">
        <v>104</v>
      </c>
      <c r="C15" s="79" t="s">
        <v>32</v>
      </c>
      <c r="D15" s="79" t="s">
        <v>20</v>
      </c>
      <c r="E15" s="80">
        <v>35855</v>
      </c>
      <c r="F15" s="80">
        <v>36830</v>
      </c>
      <c r="G15" s="81" t="s">
        <v>98</v>
      </c>
      <c r="H15" s="42" t="s">
        <v>106</v>
      </c>
      <c r="I15" s="79" t="s">
        <v>99</v>
      </c>
      <c r="J15" s="82">
        <f t="shared" si="0"/>
        <v>0.22308156018000003</v>
      </c>
      <c r="K15" s="83">
        <v>1.12E-2</v>
      </c>
      <c r="L15" s="83">
        <v>2.2000000000000001E-3</v>
      </c>
      <c r="M15" s="83">
        <v>7.1999999999999998E-3</v>
      </c>
      <c r="N15" s="83">
        <v>0</v>
      </c>
      <c r="O15" s="84">
        <v>1.11E-2</v>
      </c>
      <c r="P15" s="83">
        <f>SUM(J15:N15)</f>
        <v>0.24368156018000003</v>
      </c>
      <c r="Q15" s="85" t="s">
        <v>300</v>
      </c>
      <c r="R15" s="85">
        <v>770734</v>
      </c>
      <c r="S15" s="79">
        <v>23</v>
      </c>
      <c r="T15" s="42"/>
      <c r="U15" s="86">
        <f>J15*J$1*S15</f>
        <v>153.92627652420003</v>
      </c>
      <c r="V15" s="86"/>
      <c r="W15" s="87">
        <v>142018</v>
      </c>
      <c r="X15" s="42"/>
      <c r="Y15" s="90"/>
      <c r="Z15" s="90"/>
    </row>
    <row r="16" spans="2:26" s="91" customFormat="1" x14ac:dyDescent="0.2">
      <c r="B16" s="42" t="s">
        <v>104</v>
      </c>
      <c r="C16" s="79" t="s">
        <v>32</v>
      </c>
      <c r="D16" s="79" t="s">
        <v>20</v>
      </c>
      <c r="E16" s="80">
        <v>36586</v>
      </c>
      <c r="F16" s="80">
        <v>40117</v>
      </c>
      <c r="G16" s="81" t="s">
        <v>98</v>
      </c>
      <c r="H16" s="81" t="s">
        <v>105</v>
      </c>
      <c r="I16" s="79" t="s">
        <v>28</v>
      </c>
      <c r="J16" s="82">
        <f t="shared" si="0"/>
        <v>0.22308156018000003</v>
      </c>
      <c r="K16" s="83">
        <v>1.12E-2</v>
      </c>
      <c r="L16" s="83">
        <v>2.2000000000000001E-3</v>
      </c>
      <c r="M16" s="83">
        <v>7.1999999999999998E-3</v>
      </c>
      <c r="N16" s="83">
        <v>0</v>
      </c>
      <c r="O16" s="84">
        <v>1.11E-2</v>
      </c>
      <c r="P16" s="83">
        <f>SUM(J16:N16)</f>
        <v>0.24368156018000003</v>
      </c>
      <c r="Q16" s="85">
        <v>779152</v>
      </c>
      <c r="R16" s="85" t="s">
        <v>301</v>
      </c>
      <c r="S16" s="79">
        <v>96</v>
      </c>
      <c r="T16" s="81" t="s">
        <v>303</v>
      </c>
      <c r="U16" s="86">
        <f>J16*J$1*S16</f>
        <v>642.47489331840006</v>
      </c>
      <c r="V16" s="86"/>
      <c r="W16" s="87"/>
      <c r="X16" s="42"/>
      <c r="Y16" s="90"/>
      <c r="Z16" s="90"/>
    </row>
    <row r="17" spans="1:26" s="91" customFormat="1" x14ac:dyDescent="0.2">
      <c r="B17" s="42" t="s">
        <v>104</v>
      </c>
      <c r="C17" s="79" t="s">
        <v>32</v>
      </c>
      <c r="D17" s="79" t="s">
        <v>20</v>
      </c>
      <c r="E17" s="80">
        <v>35977</v>
      </c>
      <c r="F17" s="80">
        <v>40117</v>
      </c>
      <c r="G17" s="81" t="s">
        <v>98</v>
      </c>
      <c r="H17" s="81" t="s">
        <v>105</v>
      </c>
      <c r="I17" s="79" t="s">
        <v>28</v>
      </c>
      <c r="J17" s="82">
        <f t="shared" si="0"/>
        <v>0.22308156018000003</v>
      </c>
      <c r="K17" s="83">
        <v>1.12E-2</v>
      </c>
      <c r="L17" s="83">
        <v>2.2000000000000001E-3</v>
      </c>
      <c r="M17" s="83">
        <v>7.1999999999999998E-3</v>
      </c>
      <c r="N17" s="83">
        <v>0</v>
      </c>
      <c r="O17" s="84">
        <v>1.11E-2</v>
      </c>
      <c r="P17" s="83">
        <f t="shared" si="1"/>
        <v>0.24368156018000003</v>
      </c>
      <c r="Q17" s="85" t="s">
        <v>300</v>
      </c>
      <c r="R17" s="85">
        <v>770409</v>
      </c>
      <c r="S17" s="79">
        <v>64</v>
      </c>
      <c r="T17" s="42"/>
      <c r="U17" s="86">
        <f t="shared" si="2"/>
        <v>428.31659554560008</v>
      </c>
      <c r="V17" s="86"/>
      <c r="W17" s="87">
        <v>142007</v>
      </c>
      <c r="X17" s="42"/>
      <c r="Y17" s="90"/>
      <c r="Z17" s="90"/>
    </row>
    <row r="18" spans="1:26" s="91" customFormat="1" x14ac:dyDescent="0.2">
      <c r="B18" s="42" t="s">
        <v>104</v>
      </c>
      <c r="C18" s="79" t="s">
        <v>32</v>
      </c>
      <c r="D18" s="79" t="s">
        <v>20</v>
      </c>
      <c r="E18" s="80">
        <v>36130</v>
      </c>
      <c r="F18" s="80">
        <v>40117</v>
      </c>
      <c r="G18" s="81" t="s">
        <v>98</v>
      </c>
      <c r="H18" s="81" t="s">
        <v>105</v>
      </c>
      <c r="I18" s="79" t="s">
        <v>28</v>
      </c>
      <c r="J18" s="82">
        <f t="shared" si="0"/>
        <v>0.22308156018000003</v>
      </c>
      <c r="K18" s="83">
        <v>1.12E-2</v>
      </c>
      <c r="L18" s="83">
        <v>2.2000000000000001E-3</v>
      </c>
      <c r="M18" s="83">
        <v>7.1999999999999998E-3</v>
      </c>
      <c r="N18" s="83">
        <v>0</v>
      </c>
      <c r="O18" s="84">
        <v>1.11E-2</v>
      </c>
      <c r="P18" s="83">
        <f>SUM(J18:N18)</f>
        <v>0.24368156018000003</v>
      </c>
      <c r="Q18" s="85" t="s">
        <v>300</v>
      </c>
      <c r="R18" s="85">
        <v>770614</v>
      </c>
      <c r="S18" s="79">
        <v>11</v>
      </c>
      <c r="T18" s="42"/>
      <c r="U18" s="86">
        <f>J18*J$1*S18</f>
        <v>73.616914859400012</v>
      </c>
      <c r="V18" s="86"/>
      <c r="W18" s="87">
        <v>142012</v>
      </c>
      <c r="X18" s="42"/>
      <c r="Y18" s="90"/>
      <c r="Z18" s="90"/>
    </row>
    <row r="19" spans="1:26" s="91" customFormat="1" x14ac:dyDescent="0.2">
      <c r="B19" s="42" t="s">
        <v>104</v>
      </c>
      <c r="C19" s="79" t="s">
        <v>32</v>
      </c>
      <c r="D19" s="79" t="s">
        <v>20</v>
      </c>
      <c r="E19" s="80">
        <v>35855</v>
      </c>
      <c r="F19" s="80">
        <v>40117</v>
      </c>
      <c r="G19" s="81" t="s">
        <v>98</v>
      </c>
      <c r="H19" s="81" t="s">
        <v>105</v>
      </c>
      <c r="I19" s="79" t="s">
        <v>28</v>
      </c>
      <c r="J19" s="82">
        <f t="shared" si="0"/>
        <v>0.22308156018000003</v>
      </c>
      <c r="K19" s="83">
        <v>1.12E-2</v>
      </c>
      <c r="L19" s="83">
        <v>2.2000000000000001E-3</v>
      </c>
      <c r="M19" s="83">
        <v>7.1999999999999998E-3</v>
      </c>
      <c r="N19" s="83">
        <v>0</v>
      </c>
      <c r="O19" s="84">
        <v>1.11E-2</v>
      </c>
      <c r="P19" s="83">
        <f>SUM(J19:N19)</f>
        <v>0.24368156018000003</v>
      </c>
      <c r="Q19" s="85" t="s">
        <v>300</v>
      </c>
      <c r="R19" s="85">
        <v>770732</v>
      </c>
      <c r="S19" s="79">
        <v>21</v>
      </c>
      <c r="T19" s="42"/>
      <c r="U19" s="86">
        <f>J19*J$1*S19</f>
        <v>140.54138291340001</v>
      </c>
      <c r="V19" s="86"/>
      <c r="W19" s="87">
        <v>142016</v>
      </c>
      <c r="X19" s="42"/>
      <c r="Y19" s="90"/>
      <c r="Z19" s="90"/>
    </row>
    <row r="20" spans="1:26" s="91" customFormat="1" x14ac:dyDescent="0.2">
      <c r="B20" s="42" t="s">
        <v>104</v>
      </c>
      <c r="C20" s="79" t="s">
        <v>32</v>
      </c>
      <c r="D20" s="79" t="s">
        <v>20</v>
      </c>
      <c r="E20" s="80">
        <v>36586</v>
      </c>
      <c r="F20" s="80">
        <v>41213</v>
      </c>
      <c r="G20" s="81" t="s">
        <v>107</v>
      </c>
      <c r="H20" s="81" t="s">
        <v>105</v>
      </c>
      <c r="I20" s="79" t="s">
        <v>103</v>
      </c>
      <c r="J20" s="82">
        <f>6.3138/J$1</f>
        <v>0.21045999999999998</v>
      </c>
      <c r="K20" s="83">
        <v>1.12E-2</v>
      </c>
      <c r="L20" s="83">
        <v>2.2000000000000001E-3</v>
      </c>
      <c r="M20" s="83">
        <v>7.1999999999999998E-3</v>
      </c>
      <c r="N20" s="83">
        <v>0</v>
      </c>
      <c r="O20" s="84">
        <v>1.11E-2</v>
      </c>
      <c r="P20" s="83">
        <f>SUM(J20:N20)</f>
        <v>0.23105999999999999</v>
      </c>
      <c r="Q20" s="85">
        <v>779153</v>
      </c>
      <c r="R20" s="85" t="s">
        <v>301</v>
      </c>
      <c r="S20" s="79">
        <v>69</v>
      </c>
      <c r="T20" s="42"/>
      <c r="U20" s="86">
        <f>J20*J$1*S20</f>
        <v>435.65219999999999</v>
      </c>
      <c r="V20" s="86"/>
      <c r="W20" s="87">
        <v>205872</v>
      </c>
      <c r="X20" s="42"/>
      <c r="Y20" s="90"/>
      <c r="Z20" s="90"/>
    </row>
    <row r="21" spans="1:26" s="91" customFormat="1" x14ac:dyDescent="0.2">
      <c r="B21" s="42" t="s">
        <v>104</v>
      </c>
      <c r="C21" s="79" t="s">
        <v>32</v>
      </c>
      <c r="D21" s="79" t="s">
        <v>20</v>
      </c>
      <c r="E21" s="80">
        <v>35977</v>
      </c>
      <c r="F21" s="80">
        <v>41213</v>
      </c>
      <c r="G21" s="81" t="s">
        <v>107</v>
      </c>
      <c r="H21" s="81" t="s">
        <v>105</v>
      </c>
      <c r="I21" s="79" t="s">
        <v>103</v>
      </c>
      <c r="J21" s="82">
        <f>6.3138/J$1</f>
        <v>0.21045999999999998</v>
      </c>
      <c r="K21" s="83">
        <v>1.12E-2</v>
      </c>
      <c r="L21" s="83">
        <v>2.2000000000000001E-3</v>
      </c>
      <c r="M21" s="83">
        <v>7.1999999999999998E-3</v>
      </c>
      <c r="N21" s="83">
        <v>0</v>
      </c>
      <c r="O21" s="84">
        <v>1.11E-2</v>
      </c>
      <c r="P21" s="83">
        <f t="shared" si="1"/>
        <v>0.23105999999999999</v>
      </c>
      <c r="Q21" s="85" t="s">
        <v>300</v>
      </c>
      <c r="R21" s="85">
        <v>770412</v>
      </c>
      <c r="S21" s="79">
        <v>46</v>
      </c>
      <c r="T21" s="42"/>
      <c r="U21" s="86">
        <f t="shared" si="2"/>
        <v>290.4348</v>
      </c>
      <c r="V21" s="86"/>
      <c r="W21" s="87">
        <v>142009</v>
      </c>
      <c r="X21" s="42"/>
      <c r="Y21" s="90"/>
      <c r="Z21" s="90"/>
    </row>
    <row r="22" spans="1:26" s="91" customFormat="1" x14ac:dyDescent="0.2">
      <c r="B22" s="42" t="s">
        <v>104</v>
      </c>
      <c r="C22" s="79" t="s">
        <v>32</v>
      </c>
      <c r="D22" s="79" t="s">
        <v>20</v>
      </c>
      <c r="E22" s="80">
        <v>36130</v>
      </c>
      <c r="F22" s="80">
        <v>41213</v>
      </c>
      <c r="G22" s="81" t="s">
        <v>107</v>
      </c>
      <c r="H22" s="81" t="s">
        <v>105</v>
      </c>
      <c r="I22" s="79" t="s">
        <v>103</v>
      </c>
      <c r="J22" s="82">
        <f>6.3138/J$1</f>
        <v>0.21045999999999998</v>
      </c>
      <c r="K22" s="83">
        <v>1.12E-2</v>
      </c>
      <c r="L22" s="83">
        <v>2.2000000000000001E-3</v>
      </c>
      <c r="M22" s="83">
        <v>7.1999999999999998E-3</v>
      </c>
      <c r="N22" s="83">
        <v>0</v>
      </c>
      <c r="O22" s="84">
        <v>1.11E-2</v>
      </c>
      <c r="P22" s="83">
        <f t="shared" si="1"/>
        <v>0.23105999999999999</v>
      </c>
      <c r="Q22" s="85" t="s">
        <v>300</v>
      </c>
      <c r="R22" s="85">
        <v>770617</v>
      </c>
      <c r="S22" s="79">
        <v>8</v>
      </c>
      <c r="T22" s="42"/>
      <c r="U22" s="86">
        <f t="shared" si="2"/>
        <v>50.510399999999997</v>
      </c>
      <c r="V22" s="86"/>
      <c r="W22" s="87">
        <v>142013</v>
      </c>
      <c r="X22" s="42"/>
      <c r="Y22" s="90"/>
      <c r="Z22" s="90"/>
    </row>
    <row r="23" spans="1:26" s="91" customFormat="1" x14ac:dyDescent="0.2">
      <c r="B23" s="42" t="s">
        <v>104</v>
      </c>
      <c r="C23" s="79" t="s">
        <v>32</v>
      </c>
      <c r="D23" s="79" t="s">
        <v>20</v>
      </c>
      <c r="E23" s="80">
        <v>35855</v>
      </c>
      <c r="F23" s="80">
        <v>41213</v>
      </c>
      <c r="G23" s="81" t="s">
        <v>107</v>
      </c>
      <c r="H23" s="81" t="s">
        <v>105</v>
      </c>
      <c r="I23" s="79" t="s">
        <v>103</v>
      </c>
      <c r="J23" s="82">
        <f>6.3138/J$1</f>
        <v>0.21045999999999998</v>
      </c>
      <c r="K23" s="83">
        <v>1.12E-2</v>
      </c>
      <c r="L23" s="83">
        <v>2.2000000000000001E-3</v>
      </c>
      <c r="M23" s="83">
        <v>7.1999999999999998E-3</v>
      </c>
      <c r="N23" s="83">
        <v>0</v>
      </c>
      <c r="O23" s="84">
        <v>1.11E-2</v>
      </c>
      <c r="P23" s="83">
        <f t="shared" si="1"/>
        <v>0.23105999999999999</v>
      </c>
      <c r="Q23" s="85" t="s">
        <v>300</v>
      </c>
      <c r="R23" s="85">
        <v>770729</v>
      </c>
      <c r="S23" s="79">
        <v>15</v>
      </c>
      <c r="T23" s="42"/>
      <c r="U23" s="86">
        <f t="shared" si="2"/>
        <v>94.706999999999994</v>
      </c>
      <c r="V23" s="86"/>
      <c r="W23" s="87">
        <v>142015</v>
      </c>
      <c r="X23" s="42"/>
      <c r="Y23" s="90"/>
      <c r="Z23" s="90"/>
    </row>
    <row r="24" spans="1:26" s="65" customFormat="1" x14ac:dyDescent="0.2">
      <c r="B24" s="1" t="s">
        <v>104</v>
      </c>
      <c r="C24" s="3" t="s">
        <v>32</v>
      </c>
      <c r="D24" s="3" t="s">
        <v>20</v>
      </c>
      <c r="E24" s="4">
        <v>36465</v>
      </c>
      <c r="F24" s="4">
        <v>36830</v>
      </c>
      <c r="G24" s="29" t="s">
        <v>98</v>
      </c>
      <c r="H24" s="29" t="s">
        <v>109</v>
      </c>
      <c r="I24" s="3" t="s">
        <v>27</v>
      </c>
      <c r="J24" s="8">
        <f>6.7854/J$1</f>
        <v>0.22617999999999999</v>
      </c>
      <c r="K24" s="5">
        <v>1.12E-2</v>
      </c>
      <c r="L24" s="5">
        <v>2.2000000000000001E-3</v>
      </c>
      <c r="M24" s="5">
        <v>7.1999999999999998E-3</v>
      </c>
      <c r="N24" s="5">
        <v>0</v>
      </c>
      <c r="O24" s="46">
        <v>1.11E-2</v>
      </c>
      <c r="P24" s="5">
        <f t="shared" si="1"/>
        <v>0.24678</v>
      </c>
      <c r="Q24" s="24"/>
      <c r="R24" s="24">
        <v>770990</v>
      </c>
      <c r="S24" s="3">
        <v>11</v>
      </c>
      <c r="T24" s="1"/>
      <c r="U24" s="9">
        <f t="shared" si="2"/>
        <v>74.639399999999995</v>
      </c>
      <c r="V24" s="9"/>
      <c r="W24" s="59">
        <v>142020</v>
      </c>
      <c r="X24" s="1"/>
      <c r="Y24" s="36"/>
      <c r="Z24" s="36"/>
    </row>
    <row r="25" spans="1:26" s="65" customFormat="1" x14ac:dyDescent="0.2">
      <c r="B25" s="1" t="s">
        <v>104</v>
      </c>
      <c r="C25" s="3" t="s">
        <v>32</v>
      </c>
      <c r="D25" s="3" t="s">
        <v>20</v>
      </c>
      <c r="E25" s="4">
        <v>36465</v>
      </c>
      <c r="F25" s="4">
        <v>39021</v>
      </c>
      <c r="G25" s="29" t="s">
        <v>98</v>
      </c>
      <c r="H25" s="29" t="s">
        <v>110</v>
      </c>
      <c r="I25" s="3" t="s">
        <v>27</v>
      </c>
      <c r="J25" s="8">
        <f>6.7854/J$1</f>
        <v>0.22617999999999999</v>
      </c>
      <c r="K25" s="5">
        <v>1.12E-2</v>
      </c>
      <c r="L25" s="5">
        <v>2.2000000000000001E-3</v>
      </c>
      <c r="M25" s="5">
        <v>7.1999999999999998E-3</v>
      </c>
      <c r="N25" s="5">
        <v>0</v>
      </c>
      <c r="O25" s="46">
        <v>1.11E-2</v>
      </c>
      <c r="P25" s="5">
        <f t="shared" si="1"/>
        <v>0.24678</v>
      </c>
      <c r="Q25" s="24"/>
      <c r="R25" s="24">
        <v>770991</v>
      </c>
      <c r="S25" s="3">
        <v>73</v>
      </c>
      <c r="T25" s="1"/>
      <c r="U25" s="9">
        <f t="shared" si="2"/>
        <v>495.33420000000001</v>
      </c>
      <c r="V25" s="9"/>
      <c r="W25" s="59">
        <v>142022</v>
      </c>
      <c r="X25" s="1"/>
      <c r="Y25" s="36"/>
      <c r="Z25" s="36"/>
    </row>
    <row r="26" spans="1:26" s="65" customFormat="1" x14ac:dyDescent="0.2">
      <c r="B26" s="1" t="s">
        <v>104</v>
      </c>
      <c r="C26" s="3" t="s">
        <v>32</v>
      </c>
      <c r="D26" s="3" t="s">
        <v>20</v>
      </c>
      <c r="E26" s="4">
        <v>36465</v>
      </c>
      <c r="F26" s="4">
        <v>38656</v>
      </c>
      <c r="G26" s="29" t="s">
        <v>180</v>
      </c>
      <c r="H26" s="29" t="s">
        <v>111</v>
      </c>
      <c r="I26" s="3" t="s">
        <v>27</v>
      </c>
      <c r="J26" s="8">
        <f>6.7854/J$1</f>
        <v>0.22617999999999999</v>
      </c>
      <c r="K26" s="5">
        <v>1.12E-2</v>
      </c>
      <c r="L26" s="5">
        <v>2.2000000000000001E-3</v>
      </c>
      <c r="M26" s="5">
        <v>7.1999999999999998E-3</v>
      </c>
      <c r="N26" s="5">
        <v>0</v>
      </c>
      <c r="O26" s="46">
        <v>1.11E-2</v>
      </c>
      <c r="P26" s="5">
        <f t="shared" si="1"/>
        <v>0.24678</v>
      </c>
      <c r="Q26" s="24"/>
      <c r="R26" s="24">
        <v>770992</v>
      </c>
      <c r="S26" s="3">
        <v>158</v>
      </c>
      <c r="T26" s="1"/>
      <c r="U26" s="9">
        <f t="shared" si="2"/>
        <v>1072.0932</v>
      </c>
      <c r="V26" s="9"/>
      <c r="W26" s="59">
        <v>142024</v>
      </c>
      <c r="X26" s="1"/>
      <c r="Y26" s="36"/>
      <c r="Z26" s="36"/>
    </row>
    <row r="27" spans="1:26" s="65" customFormat="1" x14ac:dyDescent="0.2">
      <c r="B27" s="1" t="s">
        <v>104</v>
      </c>
      <c r="C27" s="3" t="s">
        <v>32</v>
      </c>
      <c r="D27" s="3" t="s">
        <v>20</v>
      </c>
      <c r="E27" s="4">
        <v>36465</v>
      </c>
      <c r="F27" s="4">
        <v>38656</v>
      </c>
      <c r="G27" s="29" t="s">
        <v>98</v>
      </c>
      <c r="H27" s="1" t="s">
        <v>106</v>
      </c>
      <c r="I27" s="3" t="s">
        <v>27</v>
      </c>
      <c r="J27" s="8">
        <f>6.7854/J$1</f>
        <v>0.22617999999999999</v>
      </c>
      <c r="K27" s="5">
        <v>1.12E-2</v>
      </c>
      <c r="L27" s="5">
        <v>2.2000000000000001E-3</v>
      </c>
      <c r="M27" s="5">
        <v>7.1999999999999998E-3</v>
      </c>
      <c r="N27" s="5">
        <v>0</v>
      </c>
      <c r="O27" s="46">
        <v>1.11E-2</v>
      </c>
      <c r="P27" s="5">
        <f t="shared" si="1"/>
        <v>0.24678</v>
      </c>
      <c r="Q27" s="24"/>
      <c r="R27" s="24">
        <v>770993</v>
      </c>
      <c r="S27" s="3">
        <v>264</v>
      </c>
      <c r="T27" s="1"/>
      <c r="U27" s="9">
        <f t="shared" si="2"/>
        <v>1791.3456000000001</v>
      </c>
      <c r="V27" s="9"/>
      <c r="W27" s="59">
        <v>142025</v>
      </c>
      <c r="X27" s="1"/>
      <c r="Y27" s="36"/>
      <c r="Z27" s="36"/>
    </row>
    <row r="28" spans="1:26" s="65" customFormat="1" x14ac:dyDescent="0.2">
      <c r="A28" s="78" t="e">
        <f>#REF!*#REF!*#REF!</f>
        <v>#REF!</v>
      </c>
      <c r="B28" s="1" t="s">
        <v>104</v>
      </c>
      <c r="C28" s="3" t="s">
        <v>32</v>
      </c>
      <c r="D28" s="3" t="s">
        <v>100</v>
      </c>
      <c r="E28" s="4">
        <v>36479</v>
      </c>
      <c r="F28" s="4">
        <v>36676</v>
      </c>
      <c r="G28" s="29" t="s">
        <v>101</v>
      </c>
      <c r="H28" s="29" t="s">
        <v>102</v>
      </c>
      <c r="I28" s="3" t="s">
        <v>103</v>
      </c>
      <c r="J28" s="8">
        <f>6.7854/J$1</f>
        <v>0.22617999999999999</v>
      </c>
      <c r="K28" s="5">
        <v>1.12E-2</v>
      </c>
      <c r="L28" s="5">
        <v>2.2000000000000001E-3</v>
      </c>
      <c r="M28" s="5">
        <v>7.1999999999999998E-3</v>
      </c>
      <c r="N28" s="5">
        <v>0</v>
      </c>
      <c r="O28" s="46">
        <v>1.11E-2</v>
      </c>
      <c r="P28" s="5">
        <f t="shared" si="1"/>
        <v>0.24678</v>
      </c>
      <c r="Q28" s="24">
        <v>771013</v>
      </c>
      <c r="R28" s="24">
        <v>771013</v>
      </c>
      <c r="S28" s="3">
        <v>69</v>
      </c>
      <c r="T28" s="1">
        <v>69</v>
      </c>
      <c r="U28" s="9">
        <f t="shared" si="2"/>
        <v>468.19260000000003</v>
      </c>
      <c r="V28" s="9"/>
      <c r="W28" s="59">
        <v>142030</v>
      </c>
      <c r="X28" s="1"/>
      <c r="Y28" s="36"/>
      <c r="Z28" s="36"/>
    </row>
    <row r="29" spans="1:26" x14ac:dyDescent="0.2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8"/>
      <c r="P29" s="15"/>
      <c r="Q29" s="26" t="s">
        <v>3</v>
      </c>
      <c r="R29" s="26" t="s">
        <v>3</v>
      </c>
      <c r="S29" s="11">
        <f>SUM(S13:S28)</f>
        <v>1009</v>
      </c>
      <c r="T29" s="10" t="s">
        <v>3</v>
      </c>
      <c r="U29" s="22">
        <f>SUM(U13:U28)</f>
        <v>6753.8736543984014</v>
      </c>
      <c r="V29" s="22">
        <f>SUM(V13:V28)</f>
        <v>0</v>
      </c>
      <c r="W29" s="58"/>
      <c r="X29" s="10"/>
      <c r="Y29" s="36"/>
      <c r="Z29" s="36"/>
    </row>
    <row r="30" spans="1:26" x14ac:dyDescent="0.2">
      <c r="B30" s="16" t="s">
        <v>4</v>
      </c>
      <c r="C30" s="17" t="s">
        <v>5</v>
      </c>
      <c r="D30" s="17" t="s">
        <v>97</v>
      </c>
      <c r="E30" s="18" t="s">
        <v>7</v>
      </c>
      <c r="F30" s="18"/>
      <c r="G30" s="16" t="s">
        <v>8</v>
      </c>
      <c r="H30" s="16" t="s">
        <v>9</v>
      </c>
      <c r="I30" s="17" t="s">
        <v>53</v>
      </c>
      <c r="J30" s="19" t="s">
        <v>10</v>
      </c>
      <c r="K30" s="17" t="s">
        <v>11</v>
      </c>
      <c r="L30" s="17" t="s">
        <v>12</v>
      </c>
      <c r="M30" s="17" t="s">
        <v>13</v>
      </c>
      <c r="N30" s="17" t="s">
        <v>14</v>
      </c>
      <c r="O30" s="47" t="s">
        <v>15</v>
      </c>
      <c r="P30" s="17" t="s">
        <v>16</v>
      </c>
      <c r="Q30" s="20" t="s">
        <v>233</v>
      </c>
      <c r="R30" s="20" t="s">
        <v>232</v>
      </c>
      <c r="S30" s="17" t="s">
        <v>17</v>
      </c>
      <c r="T30" s="16" t="s">
        <v>18</v>
      </c>
      <c r="U30" s="21" t="s">
        <v>52</v>
      </c>
      <c r="V30" s="21" t="s">
        <v>51</v>
      </c>
      <c r="W30" s="57" t="s">
        <v>234</v>
      </c>
      <c r="X30" s="62" t="s">
        <v>42</v>
      </c>
      <c r="Y30" s="36"/>
      <c r="Z30" s="36"/>
    </row>
    <row r="31" spans="1:26" s="65" customFormat="1" x14ac:dyDescent="0.2">
      <c r="B31" s="42" t="s">
        <v>235</v>
      </c>
      <c r="C31" s="79" t="s">
        <v>26</v>
      </c>
      <c r="D31" s="79" t="s">
        <v>124</v>
      </c>
      <c r="E31" s="80">
        <v>36586</v>
      </c>
      <c r="F31" s="80">
        <v>36616</v>
      </c>
      <c r="G31" s="42" t="s">
        <v>117</v>
      </c>
      <c r="H31" s="42" t="s">
        <v>242</v>
      </c>
      <c r="I31" s="79" t="s">
        <v>114</v>
      </c>
      <c r="J31" s="82">
        <f>5.7114/J$1</f>
        <v>0.19038000000000002</v>
      </c>
      <c r="K31" s="83">
        <v>4.3400000000000001E-2</v>
      </c>
      <c r="L31" s="83">
        <v>2.2000000000000001E-3</v>
      </c>
      <c r="M31" s="83">
        <v>0</v>
      </c>
      <c r="N31" s="83">
        <v>0</v>
      </c>
      <c r="O31" s="84">
        <v>2.2800000000000001E-2</v>
      </c>
      <c r="P31" s="83">
        <f t="shared" ref="P31:P39" si="3">SUM(J31:N31)</f>
        <v>0.23598000000000002</v>
      </c>
      <c r="Q31" s="85" t="s">
        <v>283</v>
      </c>
      <c r="R31" s="85" t="s">
        <v>245</v>
      </c>
      <c r="S31" s="79">
        <v>420</v>
      </c>
      <c r="T31" s="42" t="s">
        <v>285</v>
      </c>
      <c r="U31" s="86">
        <f t="shared" ref="U31:U36" si="4">J31*J$1*S31</f>
        <v>2398.788</v>
      </c>
      <c r="V31" s="86"/>
      <c r="W31" s="87">
        <v>204522</v>
      </c>
      <c r="X31" s="42" t="s">
        <v>247</v>
      </c>
      <c r="Y31" s="36"/>
      <c r="Z31" s="36"/>
    </row>
    <row r="32" spans="1:26" s="65" customFormat="1" x14ac:dyDescent="0.2">
      <c r="B32" s="42" t="s">
        <v>235</v>
      </c>
      <c r="C32" s="79" t="s">
        <v>26</v>
      </c>
      <c r="D32" s="79" t="s">
        <v>124</v>
      </c>
      <c r="E32" s="80">
        <v>36586</v>
      </c>
      <c r="F32" s="80">
        <v>36616</v>
      </c>
      <c r="G32" s="42" t="s">
        <v>117</v>
      </c>
      <c r="H32" s="42" t="s">
        <v>243</v>
      </c>
      <c r="I32" s="79" t="s">
        <v>114</v>
      </c>
      <c r="J32" s="82">
        <f>5.7114/J$1</f>
        <v>0.19038000000000002</v>
      </c>
      <c r="K32" s="83">
        <v>4.3400000000000001E-2</v>
      </c>
      <c r="L32" s="83">
        <v>2.2000000000000001E-3</v>
      </c>
      <c r="M32" s="83">
        <v>0</v>
      </c>
      <c r="N32" s="83">
        <v>0</v>
      </c>
      <c r="O32" s="84">
        <v>2.2800000000000001E-2</v>
      </c>
      <c r="P32" s="83">
        <f t="shared" si="3"/>
        <v>0.23598000000000002</v>
      </c>
      <c r="Q32" s="85" t="s">
        <v>284</v>
      </c>
      <c r="R32" s="85" t="s">
        <v>244</v>
      </c>
      <c r="S32" s="79">
        <v>476</v>
      </c>
      <c r="T32" s="42" t="s">
        <v>286</v>
      </c>
      <c r="U32" s="86">
        <f t="shared" si="4"/>
        <v>2718.6264000000001</v>
      </c>
      <c r="V32" s="86"/>
      <c r="W32" s="87">
        <v>204527</v>
      </c>
      <c r="X32" s="42" t="s">
        <v>246</v>
      </c>
      <c r="Y32" s="36"/>
      <c r="Z32" s="36"/>
    </row>
    <row r="33" spans="1:26" s="65" customFormat="1" x14ac:dyDescent="0.2">
      <c r="B33" s="42" t="s">
        <v>235</v>
      </c>
      <c r="C33" s="79" t="s">
        <v>26</v>
      </c>
      <c r="D33" s="79" t="s">
        <v>20</v>
      </c>
      <c r="E33" s="80">
        <v>36220</v>
      </c>
      <c r="F33" s="80">
        <v>37711</v>
      </c>
      <c r="G33" s="81" t="s">
        <v>112</v>
      </c>
      <c r="H33" s="81" t="s">
        <v>113</v>
      </c>
      <c r="I33" s="79" t="s">
        <v>114</v>
      </c>
      <c r="J33" s="82">
        <f>5.627/J$1</f>
        <v>0.18756666666666666</v>
      </c>
      <c r="K33" s="83">
        <v>4.3400000000000001E-2</v>
      </c>
      <c r="L33" s="83">
        <v>2.2000000000000001E-3</v>
      </c>
      <c r="M33" s="83">
        <v>0</v>
      </c>
      <c r="N33" s="83">
        <v>0</v>
      </c>
      <c r="O33" s="84">
        <v>2.2800000000000001E-2</v>
      </c>
      <c r="P33" s="83">
        <f t="shared" si="3"/>
        <v>0.23316666666666666</v>
      </c>
      <c r="Q33" s="85" t="s">
        <v>254</v>
      </c>
      <c r="R33" s="85" t="s">
        <v>115</v>
      </c>
      <c r="S33" s="79">
        <v>12</v>
      </c>
      <c r="T33" s="42" t="s">
        <v>253</v>
      </c>
      <c r="U33" s="86">
        <f t="shared" si="4"/>
        <v>67.524000000000001</v>
      </c>
      <c r="V33" s="86"/>
      <c r="W33" s="87">
        <v>157024</v>
      </c>
      <c r="X33" s="1"/>
      <c r="Y33" s="36"/>
      <c r="Z33" s="36"/>
    </row>
    <row r="34" spans="1:26" s="65" customFormat="1" x14ac:dyDescent="0.2">
      <c r="B34" s="42" t="s">
        <v>235</v>
      </c>
      <c r="C34" s="79" t="s">
        <v>26</v>
      </c>
      <c r="D34" s="79" t="s">
        <v>20</v>
      </c>
      <c r="E34" s="80">
        <v>36220</v>
      </c>
      <c r="F34" s="80">
        <v>37711</v>
      </c>
      <c r="G34" s="81" t="s">
        <v>116</v>
      </c>
      <c r="H34" s="81" t="s">
        <v>113</v>
      </c>
      <c r="I34" s="79" t="s">
        <v>114</v>
      </c>
      <c r="J34" s="82">
        <f>5.627/J$1</f>
        <v>0.18756666666666666</v>
      </c>
      <c r="K34" s="83">
        <v>4.3400000000000001E-2</v>
      </c>
      <c r="L34" s="83">
        <v>2.2000000000000001E-3</v>
      </c>
      <c r="M34" s="83">
        <v>0</v>
      </c>
      <c r="N34" s="83">
        <v>0</v>
      </c>
      <c r="O34" s="84">
        <v>2.2800000000000001E-2</v>
      </c>
      <c r="P34" s="83">
        <f t="shared" si="3"/>
        <v>0.23316666666666666</v>
      </c>
      <c r="Q34" s="85" t="s">
        <v>254</v>
      </c>
      <c r="R34" s="85" t="s">
        <v>115</v>
      </c>
      <c r="S34" s="79">
        <v>16</v>
      </c>
      <c r="T34" s="42" t="s">
        <v>253</v>
      </c>
      <c r="U34" s="86">
        <f t="shared" si="4"/>
        <v>90.031999999999996</v>
      </c>
      <c r="V34" s="86"/>
      <c r="W34" s="87">
        <v>157024</v>
      </c>
      <c r="X34" s="1"/>
      <c r="Y34" s="36"/>
      <c r="Z34" s="36"/>
    </row>
    <row r="35" spans="1:26" s="65" customFormat="1" x14ac:dyDescent="0.2">
      <c r="B35" s="42" t="s">
        <v>235</v>
      </c>
      <c r="C35" s="79" t="s">
        <v>26</v>
      </c>
      <c r="D35" s="79" t="s">
        <v>20</v>
      </c>
      <c r="E35" s="80">
        <v>36220</v>
      </c>
      <c r="F35" s="80">
        <v>37711</v>
      </c>
      <c r="G35" s="81" t="s">
        <v>117</v>
      </c>
      <c r="H35" s="81" t="s">
        <v>113</v>
      </c>
      <c r="I35" s="79" t="s">
        <v>114</v>
      </c>
      <c r="J35" s="82">
        <f>5.627/J$1</f>
        <v>0.18756666666666666</v>
      </c>
      <c r="K35" s="83">
        <v>4.3400000000000001E-2</v>
      </c>
      <c r="L35" s="83">
        <v>2.2000000000000001E-3</v>
      </c>
      <c r="M35" s="83">
        <v>0</v>
      </c>
      <c r="N35" s="83">
        <v>0</v>
      </c>
      <c r="O35" s="84">
        <v>2.2800000000000001E-2</v>
      </c>
      <c r="P35" s="83">
        <f t="shared" si="3"/>
        <v>0.23316666666666666</v>
      </c>
      <c r="Q35" s="85" t="s">
        <v>254</v>
      </c>
      <c r="R35" s="85" t="s">
        <v>115</v>
      </c>
      <c r="S35" s="79">
        <v>46</v>
      </c>
      <c r="T35" s="42" t="s">
        <v>253</v>
      </c>
      <c r="U35" s="86">
        <f t="shared" si="4"/>
        <v>258.84199999999998</v>
      </c>
      <c r="V35" s="86"/>
      <c r="W35" s="87">
        <v>157024</v>
      </c>
      <c r="X35" s="1"/>
      <c r="Y35" s="36"/>
      <c r="Z35" s="36"/>
    </row>
    <row r="36" spans="1:26" s="65" customFormat="1" x14ac:dyDescent="0.2">
      <c r="B36" s="42" t="s">
        <v>235</v>
      </c>
      <c r="C36" s="79" t="s">
        <v>26</v>
      </c>
      <c r="D36" s="79" t="s">
        <v>20</v>
      </c>
      <c r="E36" s="80">
        <v>36220</v>
      </c>
      <c r="F36" s="80">
        <v>38807</v>
      </c>
      <c r="G36" s="42" t="s">
        <v>122</v>
      </c>
      <c r="H36" s="81"/>
      <c r="I36" s="79" t="s">
        <v>121</v>
      </c>
      <c r="J36" s="82">
        <f>1.8533/J$1</f>
        <v>6.1776666666666667E-2</v>
      </c>
      <c r="K36" s="83">
        <v>0</v>
      </c>
      <c r="L36" s="83">
        <v>0</v>
      </c>
      <c r="M36" s="83">
        <v>0</v>
      </c>
      <c r="N36" s="83">
        <v>0</v>
      </c>
      <c r="O36" s="84">
        <v>0</v>
      </c>
      <c r="P36" s="83">
        <f t="shared" si="3"/>
        <v>6.1776666666666667E-2</v>
      </c>
      <c r="Q36" s="85">
        <v>560092</v>
      </c>
      <c r="R36" s="85">
        <v>560042</v>
      </c>
      <c r="S36" s="79">
        <v>147</v>
      </c>
      <c r="T36" s="42" t="s">
        <v>255</v>
      </c>
      <c r="U36" s="93">
        <f t="shared" si="4"/>
        <v>272.43509999999998</v>
      </c>
      <c r="V36" s="86"/>
      <c r="W36" s="87">
        <v>157045</v>
      </c>
      <c r="X36" s="1"/>
      <c r="Y36" s="36"/>
      <c r="Z36" s="36"/>
    </row>
    <row r="37" spans="1:26" s="65" customFormat="1" x14ac:dyDescent="0.2">
      <c r="B37" s="42" t="s">
        <v>235</v>
      </c>
      <c r="C37" s="79" t="s">
        <v>26</v>
      </c>
      <c r="D37" s="79" t="s">
        <v>20</v>
      </c>
      <c r="E37" s="80">
        <v>36220</v>
      </c>
      <c r="F37" s="80">
        <v>38807</v>
      </c>
      <c r="G37" s="42" t="s">
        <v>123</v>
      </c>
      <c r="H37" s="81"/>
      <c r="I37" s="79" t="s">
        <v>121</v>
      </c>
      <c r="J37" s="82">
        <v>1.37E-2</v>
      </c>
      <c r="K37" s="83">
        <v>0</v>
      </c>
      <c r="L37" s="83">
        <v>0</v>
      </c>
      <c r="M37" s="83">
        <v>0</v>
      </c>
      <c r="N37" s="83">
        <v>0</v>
      </c>
      <c r="O37" s="84">
        <v>0</v>
      </c>
      <c r="P37" s="83">
        <f t="shared" si="3"/>
        <v>1.37E-2</v>
      </c>
      <c r="Q37" s="85">
        <v>560092</v>
      </c>
      <c r="R37" s="85">
        <v>560042</v>
      </c>
      <c r="S37" s="79">
        <v>16275</v>
      </c>
      <c r="T37" s="42" t="s">
        <v>255</v>
      </c>
      <c r="U37" s="93">
        <f>+S37*J37</f>
        <v>222.9675</v>
      </c>
      <c r="V37" s="86"/>
      <c r="W37" s="87">
        <v>157045</v>
      </c>
      <c r="X37" s="1"/>
      <c r="Y37" s="36"/>
      <c r="Z37" s="36"/>
    </row>
    <row r="38" spans="1:26" s="65" customFormat="1" x14ac:dyDescent="0.2">
      <c r="B38" s="42" t="s">
        <v>235</v>
      </c>
      <c r="C38" s="79" t="s">
        <v>26</v>
      </c>
      <c r="D38" s="79" t="s">
        <v>100</v>
      </c>
      <c r="E38" s="80">
        <v>36557</v>
      </c>
      <c r="F38" s="80">
        <v>36677</v>
      </c>
      <c r="G38" s="81" t="s">
        <v>117</v>
      </c>
      <c r="H38" s="81" t="s">
        <v>119</v>
      </c>
      <c r="I38" s="79" t="s">
        <v>114</v>
      </c>
      <c r="J38" s="82">
        <f>5.75/J$1</f>
        <v>0.19166666666666668</v>
      </c>
      <c r="K38" s="83">
        <v>4.3400000000000001E-2</v>
      </c>
      <c r="L38" s="83">
        <v>2.2000000000000001E-3</v>
      </c>
      <c r="M38" s="83">
        <v>0</v>
      </c>
      <c r="N38" s="83">
        <v>0</v>
      </c>
      <c r="O38" s="84">
        <v>2.2800000000000001E-2</v>
      </c>
      <c r="P38" s="83">
        <f t="shared" si="3"/>
        <v>0.23726666666666668</v>
      </c>
      <c r="Q38" s="85" t="s">
        <v>238</v>
      </c>
      <c r="R38" s="85" t="s">
        <v>118</v>
      </c>
      <c r="S38" s="79">
        <v>186</v>
      </c>
      <c r="T38" s="42" t="s">
        <v>240</v>
      </c>
      <c r="U38" s="86">
        <f>J38*J$1*S38</f>
        <v>1069.5</v>
      </c>
      <c r="V38" s="86"/>
      <c r="W38" s="87">
        <v>156559</v>
      </c>
      <c r="X38" s="42"/>
      <c r="Y38" s="36"/>
      <c r="Z38" s="36"/>
    </row>
    <row r="39" spans="1:26" s="65" customFormat="1" x14ac:dyDescent="0.2">
      <c r="B39" s="42" t="s">
        <v>235</v>
      </c>
      <c r="C39" s="79" t="s">
        <v>26</v>
      </c>
      <c r="D39" s="79" t="s">
        <v>100</v>
      </c>
      <c r="E39" s="80">
        <v>36557</v>
      </c>
      <c r="F39" s="80">
        <v>36616</v>
      </c>
      <c r="G39" s="81" t="s">
        <v>117</v>
      </c>
      <c r="H39" s="81" t="s">
        <v>119</v>
      </c>
      <c r="I39" s="79" t="s">
        <v>114</v>
      </c>
      <c r="J39" s="82">
        <f>5.75/J$1</f>
        <v>0.19166666666666668</v>
      </c>
      <c r="K39" s="83">
        <v>4.3400000000000001E-2</v>
      </c>
      <c r="L39" s="83">
        <v>2.2000000000000001E-3</v>
      </c>
      <c r="M39" s="83">
        <v>0</v>
      </c>
      <c r="N39" s="83">
        <v>0</v>
      </c>
      <c r="O39" s="84">
        <v>2.2800000000000001E-2</v>
      </c>
      <c r="P39" s="83">
        <f t="shared" si="3"/>
        <v>0.23726666666666668</v>
      </c>
      <c r="Q39" s="85" t="s">
        <v>239</v>
      </c>
      <c r="R39" s="85" t="s">
        <v>120</v>
      </c>
      <c r="S39" s="79">
        <v>11</v>
      </c>
      <c r="T39" s="42" t="s">
        <v>241</v>
      </c>
      <c r="U39" s="86">
        <f>J39*J$1*S39</f>
        <v>63.25</v>
      </c>
      <c r="V39" s="86"/>
      <c r="W39" s="87">
        <v>156561</v>
      </c>
      <c r="X39" s="42"/>
      <c r="Y39" s="36"/>
      <c r="Z39" s="36"/>
    </row>
    <row r="40" spans="1:26" s="65" customFormat="1" x14ac:dyDescent="0.2">
      <c r="A40" s="91"/>
      <c r="B40" s="42" t="s">
        <v>235</v>
      </c>
      <c r="C40" s="79" t="s">
        <v>26</v>
      </c>
      <c r="D40" s="79" t="s">
        <v>143</v>
      </c>
      <c r="E40" s="80">
        <v>36617</v>
      </c>
      <c r="F40" s="80">
        <v>36646</v>
      </c>
      <c r="G40" s="92">
        <v>10001</v>
      </c>
      <c r="H40" s="92">
        <v>10001</v>
      </c>
      <c r="I40" s="79" t="s">
        <v>121</v>
      </c>
      <c r="J40" s="82">
        <v>1.37E-2</v>
      </c>
      <c r="K40" s="83"/>
      <c r="L40" s="83"/>
      <c r="M40" s="83"/>
      <c r="N40" s="83"/>
      <c r="O40" s="84"/>
      <c r="P40" s="83"/>
      <c r="Q40" s="85">
        <v>530605</v>
      </c>
      <c r="R40" s="85"/>
      <c r="S40" s="79">
        <v>13793</v>
      </c>
      <c r="T40" s="42" t="s">
        <v>450</v>
      </c>
      <c r="U40" s="86">
        <f>J40*1*S40</f>
        <v>188.9641</v>
      </c>
      <c r="V40" s="86"/>
      <c r="W40" s="87">
        <v>226714</v>
      </c>
      <c r="X40" s="1"/>
      <c r="Y40" s="36"/>
      <c r="Z40" s="36"/>
    </row>
    <row r="41" spans="1:26" s="65" customFormat="1" x14ac:dyDescent="0.2">
      <c r="A41" s="91"/>
      <c r="B41" s="42" t="s">
        <v>235</v>
      </c>
      <c r="C41" s="79" t="s">
        <v>26</v>
      </c>
      <c r="D41" s="79" t="s">
        <v>143</v>
      </c>
      <c r="E41" s="80">
        <v>36617</v>
      </c>
      <c r="F41" s="80">
        <v>36646</v>
      </c>
      <c r="G41" s="92">
        <v>10001</v>
      </c>
      <c r="H41" s="92">
        <v>10001</v>
      </c>
      <c r="I41" s="79" t="s">
        <v>121</v>
      </c>
      <c r="J41" s="82">
        <v>1.8532999999999999</v>
      </c>
      <c r="K41" s="83"/>
      <c r="L41" s="83"/>
      <c r="M41" s="83"/>
      <c r="N41" s="83"/>
      <c r="O41" s="84"/>
      <c r="P41" s="83"/>
      <c r="Q41" s="85">
        <v>530605</v>
      </c>
      <c r="R41" s="85"/>
      <c r="S41" s="79">
        <v>226</v>
      </c>
      <c r="T41" s="42" t="s">
        <v>450</v>
      </c>
      <c r="U41" s="86">
        <f>J41*1*S41</f>
        <v>418.8458</v>
      </c>
      <c r="V41" s="86"/>
      <c r="W41" s="87">
        <v>226714</v>
      </c>
      <c r="X41" s="1"/>
      <c r="Y41" s="36"/>
      <c r="Z41" s="36"/>
    </row>
    <row r="42" spans="1:26" x14ac:dyDescent="0.2">
      <c r="B42" s="10" t="s">
        <v>3</v>
      </c>
      <c r="C42" s="11" t="s">
        <v>3</v>
      </c>
      <c r="D42" s="12" t="s">
        <v>3</v>
      </c>
      <c r="E42" s="13" t="s">
        <v>3</v>
      </c>
      <c r="F42" s="13"/>
      <c r="G42" s="10" t="s">
        <v>3</v>
      </c>
      <c r="H42" s="30" t="s">
        <v>3</v>
      </c>
      <c r="I42" s="11" t="s">
        <v>3</v>
      </c>
      <c r="J42" s="14"/>
      <c r="K42" s="15"/>
      <c r="L42" s="15"/>
      <c r="M42" s="15"/>
      <c r="N42" s="15"/>
      <c r="O42" s="48"/>
      <c r="P42" s="15"/>
      <c r="Q42" s="26" t="s">
        <v>3</v>
      </c>
      <c r="R42" s="26" t="s">
        <v>3</v>
      </c>
      <c r="S42" s="11">
        <f>SUM(S31:S39)</f>
        <v>17589</v>
      </c>
      <c r="T42" s="10" t="s">
        <v>3</v>
      </c>
      <c r="U42" s="22">
        <f>SUM(U31:U41)</f>
        <v>7769.7748999999994</v>
      </c>
      <c r="V42" s="22">
        <f>SUM(V31:V39)</f>
        <v>0</v>
      </c>
      <c r="W42" s="58"/>
      <c r="X42" s="10"/>
      <c r="Y42" s="36"/>
      <c r="Z42" s="36"/>
    </row>
    <row r="43" spans="1:26" x14ac:dyDescent="0.2">
      <c r="B43" s="16" t="s">
        <v>4</v>
      </c>
      <c r="C43" s="17" t="s">
        <v>5</v>
      </c>
      <c r="D43" s="17" t="s">
        <v>6</v>
      </c>
      <c r="E43" s="18" t="s">
        <v>7</v>
      </c>
      <c r="F43" s="18"/>
      <c r="G43" s="16" t="s">
        <v>8</v>
      </c>
      <c r="H43" s="16" t="s">
        <v>9</v>
      </c>
      <c r="I43" s="17" t="s">
        <v>53</v>
      </c>
      <c r="J43" s="19" t="s">
        <v>10</v>
      </c>
      <c r="K43" s="17" t="s">
        <v>11</v>
      </c>
      <c r="L43" s="17" t="s">
        <v>12</v>
      </c>
      <c r="M43" s="17" t="s">
        <v>13</v>
      </c>
      <c r="N43" s="17" t="s">
        <v>14</v>
      </c>
      <c r="O43" s="47" t="s">
        <v>15</v>
      </c>
      <c r="P43" s="17" t="s">
        <v>16</v>
      </c>
      <c r="Q43" s="20" t="s">
        <v>233</v>
      </c>
      <c r="R43" s="20" t="s">
        <v>232</v>
      </c>
      <c r="S43" s="17" t="s">
        <v>17</v>
      </c>
      <c r="T43" s="16" t="s">
        <v>18</v>
      </c>
      <c r="U43" s="21" t="s">
        <v>52</v>
      </c>
      <c r="V43" s="21" t="s">
        <v>51</v>
      </c>
      <c r="W43" s="57" t="s">
        <v>234</v>
      </c>
      <c r="X43" s="62" t="str">
        <f>+X30</f>
        <v>Questions</v>
      </c>
      <c r="Y43" s="36"/>
      <c r="Z43" s="36"/>
    </row>
    <row r="44" spans="1:26" s="65" customFormat="1" x14ac:dyDescent="0.2">
      <c r="B44" s="1" t="s">
        <v>235</v>
      </c>
      <c r="C44" s="3" t="s">
        <v>45</v>
      </c>
      <c r="D44" s="3" t="s">
        <v>36</v>
      </c>
      <c r="E44" s="4">
        <v>36526</v>
      </c>
      <c r="F44" s="4">
        <v>36646</v>
      </c>
      <c r="G44" s="1" t="s">
        <v>209</v>
      </c>
      <c r="H44" s="1" t="s">
        <v>126</v>
      </c>
      <c r="I44" s="3" t="s">
        <v>57</v>
      </c>
      <c r="J44" s="8">
        <f>6.449/J$1</f>
        <v>0.21496666666666667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0.23786666666666667</v>
      </c>
      <c r="Q44" s="24">
        <v>37956</v>
      </c>
      <c r="R44" s="24">
        <v>37956</v>
      </c>
      <c r="S44" s="3">
        <v>600</v>
      </c>
      <c r="T44" s="1" t="s">
        <v>50</v>
      </c>
      <c r="U44" s="9">
        <f>J44*J$1*S44</f>
        <v>3869.4</v>
      </c>
      <c r="V44" s="9"/>
      <c r="W44" s="59">
        <v>156567</v>
      </c>
      <c r="X44" s="9"/>
      <c r="Y44" s="36"/>
      <c r="Z44" s="36"/>
    </row>
    <row r="45" spans="1:26" s="65" customFormat="1" x14ac:dyDescent="0.2">
      <c r="B45" s="1" t="s">
        <v>235</v>
      </c>
      <c r="C45" s="3" t="s">
        <v>45</v>
      </c>
      <c r="D45" s="3" t="s">
        <v>66</v>
      </c>
      <c r="E45" s="4">
        <v>36251</v>
      </c>
      <c r="F45" s="4">
        <v>36616</v>
      </c>
      <c r="G45" s="1" t="s">
        <v>67</v>
      </c>
      <c r="H45" s="1" t="s">
        <v>69</v>
      </c>
      <c r="I45" s="3" t="s">
        <v>68</v>
      </c>
      <c r="J45" s="8">
        <v>0</v>
      </c>
      <c r="K45" s="5">
        <v>0</v>
      </c>
      <c r="L45" s="5">
        <v>0</v>
      </c>
      <c r="M45" s="5">
        <v>0</v>
      </c>
      <c r="N45" s="5">
        <v>0</v>
      </c>
      <c r="O45" s="46">
        <v>0</v>
      </c>
      <c r="P45" s="5">
        <f t="shared" ref="P45:P85" si="5">SUM(J45:N45)</f>
        <v>0</v>
      </c>
      <c r="Q45" s="24">
        <v>51407</v>
      </c>
      <c r="R45" s="24">
        <v>51407</v>
      </c>
      <c r="S45" s="3">
        <v>0</v>
      </c>
      <c r="T45" s="1" t="s">
        <v>71</v>
      </c>
      <c r="U45" s="9">
        <f>J45*S45</f>
        <v>0</v>
      </c>
      <c r="V45" s="9"/>
      <c r="W45" s="59">
        <v>156569</v>
      </c>
      <c r="X45" s="1"/>
      <c r="Y45" s="36"/>
      <c r="Z45" s="36"/>
    </row>
    <row r="46" spans="1:26" s="65" customFormat="1" x14ac:dyDescent="0.2">
      <c r="B46" s="1" t="s">
        <v>235</v>
      </c>
      <c r="C46" s="3" t="s">
        <v>45</v>
      </c>
      <c r="D46" s="3" t="s">
        <v>66</v>
      </c>
      <c r="E46" s="4">
        <v>36251</v>
      </c>
      <c r="F46" s="4">
        <v>36616</v>
      </c>
      <c r="G46" s="1" t="s">
        <v>67</v>
      </c>
      <c r="H46" s="1" t="s">
        <v>70</v>
      </c>
      <c r="I46" s="3" t="s">
        <v>68</v>
      </c>
      <c r="J46" s="8">
        <v>0</v>
      </c>
      <c r="K46" s="5">
        <v>0</v>
      </c>
      <c r="L46" s="5">
        <v>0</v>
      </c>
      <c r="M46" s="5">
        <v>0</v>
      </c>
      <c r="N46" s="5">
        <v>0</v>
      </c>
      <c r="O46" s="46">
        <v>0</v>
      </c>
      <c r="P46" s="5">
        <f t="shared" si="5"/>
        <v>0</v>
      </c>
      <c r="Q46" s="24">
        <v>51407</v>
      </c>
      <c r="R46" s="24">
        <v>51407</v>
      </c>
      <c r="S46" s="3">
        <v>0</v>
      </c>
      <c r="T46" s="1" t="s">
        <v>71</v>
      </c>
      <c r="U46" s="9">
        <f>J46*J$1*S46</f>
        <v>0</v>
      </c>
      <c r="V46" s="9"/>
      <c r="W46" s="59">
        <v>156569</v>
      </c>
      <c r="X46" s="1"/>
      <c r="Y46" s="36"/>
      <c r="Z46" s="36"/>
    </row>
    <row r="47" spans="1:26" s="65" customFormat="1" x14ac:dyDescent="0.2">
      <c r="B47" s="1" t="s">
        <v>235</v>
      </c>
      <c r="C47" s="3" t="s">
        <v>45</v>
      </c>
      <c r="D47" s="3"/>
      <c r="E47" s="4">
        <v>36100</v>
      </c>
      <c r="F47" s="4">
        <v>36830</v>
      </c>
      <c r="G47" s="29" t="s">
        <v>125</v>
      </c>
      <c r="H47" s="1" t="s">
        <v>126</v>
      </c>
      <c r="I47" s="3" t="s">
        <v>57</v>
      </c>
      <c r="J47" s="8">
        <f t="shared" ref="J47:J52" si="6">4.56/J$1</f>
        <v>0.152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6">
        <v>2.1160000000000002E-2</v>
      </c>
      <c r="P47" s="5">
        <f t="shared" si="5"/>
        <v>0.17460000000000001</v>
      </c>
      <c r="Q47" s="24">
        <v>61822</v>
      </c>
      <c r="R47" s="24">
        <v>61822</v>
      </c>
      <c r="S47" s="3">
        <v>4000</v>
      </c>
      <c r="T47" s="1" t="s">
        <v>127</v>
      </c>
      <c r="U47" s="9">
        <f t="shared" ref="U47:U60" si="7">J47*J$1*S47</f>
        <v>18240</v>
      </c>
      <c r="V47" s="9"/>
      <c r="W47" s="59">
        <v>162284</v>
      </c>
      <c r="X47" s="1"/>
      <c r="Y47" s="36"/>
      <c r="Z47" s="36"/>
    </row>
    <row r="48" spans="1:26" s="65" customFormat="1" x14ac:dyDescent="0.2">
      <c r="B48" s="1" t="s">
        <v>235</v>
      </c>
      <c r="C48" s="3" t="s">
        <v>45</v>
      </c>
      <c r="D48" s="3" t="s">
        <v>36</v>
      </c>
      <c r="E48" s="4">
        <v>36526</v>
      </c>
      <c r="F48" s="4">
        <v>36830</v>
      </c>
      <c r="G48" s="1" t="s">
        <v>128</v>
      </c>
      <c r="H48" s="1" t="s">
        <v>217</v>
      </c>
      <c r="I48" s="3" t="s">
        <v>57</v>
      </c>
      <c r="J48" s="82">
        <f t="shared" si="6"/>
        <v>0.152</v>
      </c>
      <c r="K48" s="5">
        <v>1.32E-2</v>
      </c>
      <c r="L48" s="5">
        <v>2.2000000000000001E-3</v>
      </c>
      <c r="M48" s="5">
        <v>7.4999999999999997E-3</v>
      </c>
      <c r="N48" s="5">
        <v>0</v>
      </c>
      <c r="O48" s="46">
        <v>2.1160000000000002E-2</v>
      </c>
      <c r="P48" s="5">
        <f>SUM(J48:N48)</f>
        <v>0.1749</v>
      </c>
      <c r="Q48" s="24">
        <v>61825</v>
      </c>
      <c r="R48" s="24">
        <v>61825</v>
      </c>
      <c r="S48" s="3">
        <v>2000</v>
      </c>
      <c r="T48" s="29" t="s">
        <v>215</v>
      </c>
      <c r="U48" s="9">
        <f t="shared" si="7"/>
        <v>9120</v>
      </c>
      <c r="V48" s="9"/>
      <c r="W48" s="59">
        <v>156570</v>
      </c>
      <c r="X48" s="9"/>
      <c r="Y48" s="36"/>
      <c r="Z48" s="36"/>
    </row>
    <row r="49" spans="2:26" s="65" customFormat="1" x14ac:dyDescent="0.2">
      <c r="B49" s="1" t="s">
        <v>235</v>
      </c>
      <c r="C49" s="3" t="s">
        <v>45</v>
      </c>
      <c r="D49" s="3" t="s">
        <v>36</v>
      </c>
      <c r="E49" s="4">
        <v>36526</v>
      </c>
      <c r="F49" s="4">
        <v>36830</v>
      </c>
      <c r="G49" s="1" t="s">
        <v>134</v>
      </c>
      <c r="H49" s="1" t="s">
        <v>217</v>
      </c>
      <c r="I49" s="3" t="s">
        <v>57</v>
      </c>
      <c r="J49" s="82">
        <f t="shared" si="6"/>
        <v>0.152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6">
        <v>2.1160000000000002E-2</v>
      </c>
      <c r="P49" s="5">
        <f>SUM(J49:N49)</f>
        <v>0.1749</v>
      </c>
      <c r="Q49" s="24">
        <v>61825</v>
      </c>
      <c r="R49" s="24">
        <v>61825</v>
      </c>
      <c r="S49" s="3">
        <v>5000</v>
      </c>
      <c r="T49" s="29" t="s">
        <v>215</v>
      </c>
      <c r="U49" s="9">
        <f t="shared" si="7"/>
        <v>22799.999999999996</v>
      </c>
      <c r="V49" s="9"/>
      <c r="W49" s="59">
        <v>156570</v>
      </c>
      <c r="X49" s="9"/>
      <c r="Y49" s="36"/>
      <c r="Z49" s="36"/>
    </row>
    <row r="50" spans="2:26" s="65" customFormat="1" x14ac:dyDescent="0.2">
      <c r="B50" s="1" t="s">
        <v>235</v>
      </c>
      <c r="C50" s="3" t="s">
        <v>45</v>
      </c>
      <c r="D50" s="3" t="s">
        <v>36</v>
      </c>
      <c r="E50" s="4">
        <v>36526</v>
      </c>
      <c r="F50" s="4">
        <v>36830</v>
      </c>
      <c r="G50" s="1" t="s">
        <v>216</v>
      </c>
      <c r="H50" s="1" t="s">
        <v>217</v>
      </c>
      <c r="I50" s="3" t="s">
        <v>57</v>
      </c>
      <c r="J50" s="82">
        <f t="shared" si="6"/>
        <v>0.152</v>
      </c>
      <c r="K50" s="5">
        <v>1.32E-2</v>
      </c>
      <c r="L50" s="5">
        <v>2.2000000000000001E-3</v>
      </c>
      <c r="M50" s="5">
        <v>7.4999999999999997E-3</v>
      </c>
      <c r="N50" s="5">
        <v>0</v>
      </c>
      <c r="O50" s="46">
        <v>2.1160000000000002E-2</v>
      </c>
      <c r="P50" s="5">
        <f>SUM(J50:N50)</f>
        <v>0.1749</v>
      </c>
      <c r="Q50" s="24">
        <v>61825</v>
      </c>
      <c r="R50" s="24">
        <v>61825</v>
      </c>
      <c r="S50" s="3">
        <v>1000</v>
      </c>
      <c r="T50" s="29" t="s">
        <v>215</v>
      </c>
      <c r="U50" s="9">
        <f t="shared" si="7"/>
        <v>4560</v>
      </c>
      <c r="V50" s="9"/>
      <c r="W50" s="59">
        <v>156570</v>
      </c>
      <c r="X50" s="9"/>
      <c r="Y50" s="36"/>
      <c r="Z50" s="36"/>
    </row>
    <row r="51" spans="2:26" s="65" customFormat="1" x14ac:dyDescent="0.2">
      <c r="B51" s="1" t="s">
        <v>235</v>
      </c>
      <c r="C51" s="3" t="s">
        <v>45</v>
      </c>
      <c r="D51" s="3"/>
      <c r="E51" s="4">
        <v>36100</v>
      </c>
      <c r="F51" s="4">
        <v>36830</v>
      </c>
      <c r="G51" s="1" t="s">
        <v>128</v>
      </c>
      <c r="H51" s="29" t="s">
        <v>129</v>
      </c>
      <c r="I51" s="3" t="s">
        <v>57</v>
      </c>
      <c r="J51" s="82">
        <f t="shared" si="6"/>
        <v>0.152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5"/>
        <v>0.17460000000000001</v>
      </c>
      <c r="Q51" s="24">
        <v>61838</v>
      </c>
      <c r="R51" s="24">
        <v>61838</v>
      </c>
      <c r="S51" s="3">
        <v>1000</v>
      </c>
      <c r="T51" s="1" t="s">
        <v>130</v>
      </c>
      <c r="U51" s="9">
        <f t="shared" si="7"/>
        <v>4560</v>
      </c>
      <c r="V51" s="9"/>
      <c r="W51" s="59">
        <v>156571</v>
      </c>
      <c r="X51" s="1"/>
      <c r="Y51" s="36"/>
      <c r="Z51" s="36"/>
    </row>
    <row r="52" spans="2:26" s="65" customFormat="1" x14ac:dyDescent="0.2">
      <c r="B52" s="1" t="s">
        <v>235</v>
      </c>
      <c r="C52" s="3" t="s">
        <v>45</v>
      </c>
      <c r="D52" s="3" t="s">
        <v>36</v>
      </c>
      <c r="E52" s="4">
        <v>36526</v>
      </c>
      <c r="F52" s="4">
        <v>36830</v>
      </c>
      <c r="G52" s="1" t="s">
        <v>128</v>
      </c>
      <c r="H52" s="1" t="s">
        <v>219</v>
      </c>
      <c r="I52" s="3" t="s">
        <v>57</v>
      </c>
      <c r="J52" s="82">
        <f t="shared" si="6"/>
        <v>0.152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6">
        <v>2.1160000000000002E-2</v>
      </c>
      <c r="P52" s="5">
        <f>SUM(J52:N52)</f>
        <v>0.1749</v>
      </c>
      <c r="Q52" s="24">
        <v>61990</v>
      </c>
      <c r="R52" s="24">
        <v>61990</v>
      </c>
      <c r="S52" s="3">
        <v>2000</v>
      </c>
      <c r="T52" s="29" t="s">
        <v>218</v>
      </c>
      <c r="U52" s="9">
        <f t="shared" si="7"/>
        <v>9120</v>
      </c>
      <c r="V52" s="9"/>
      <c r="W52" s="59">
        <v>156573</v>
      </c>
      <c r="X52" s="9"/>
      <c r="Y52" s="36"/>
      <c r="Z52" s="36"/>
    </row>
    <row r="53" spans="2:26" s="120" customFormat="1" x14ac:dyDescent="0.2">
      <c r="B53" s="43" t="s">
        <v>235</v>
      </c>
      <c r="C53" s="111" t="s">
        <v>45</v>
      </c>
      <c r="D53" s="111" t="s">
        <v>36</v>
      </c>
      <c r="E53" s="112">
        <v>36465</v>
      </c>
      <c r="F53" s="112">
        <v>36891</v>
      </c>
      <c r="G53" s="43"/>
      <c r="H53" s="43"/>
      <c r="I53" s="111" t="s">
        <v>57</v>
      </c>
      <c r="J53" s="113">
        <f>3.0417/30.417</f>
        <v>9.9999999999999992E-2</v>
      </c>
      <c r="K53" s="114">
        <v>1.32E-2</v>
      </c>
      <c r="L53" s="114">
        <v>2.2000000000000001E-3</v>
      </c>
      <c r="M53" s="114">
        <v>7.4999999999999997E-3</v>
      </c>
      <c r="N53" s="114">
        <v>0</v>
      </c>
      <c r="O53" s="115">
        <v>2.1160000000000002E-2</v>
      </c>
      <c r="P53" s="114">
        <f>SUM(J53:N53)</f>
        <v>0.12289999999999998</v>
      </c>
      <c r="Q53" s="116">
        <v>62164</v>
      </c>
      <c r="R53" s="111">
        <v>2000</v>
      </c>
      <c r="S53" s="138">
        <v>2000</v>
      </c>
      <c r="T53" s="138" t="s">
        <v>432</v>
      </c>
      <c r="U53" s="117">
        <f t="shared" si="7"/>
        <v>5999.9999999999991</v>
      </c>
      <c r="V53" s="118"/>
      <c r="W53" s="119" t="s">
        <v>433</v>
      </c>
      <c r="X53" s="119"/>
    </row>
    <row r="54" spans="2:26" s="65" customFormat="1" x14ac:dyDescent="0.2">
      <c r="B54" s="1" t="s">
        <v>235</v>
      </c>
      <c r="C54" s="3" t="s">
        <v>45</v>
      </c>
      <c r="D54" s="3" t="s">
        <v>54</v>
      </c>
      <c r="E54" s="4">
        <v>36192</v>
      </c>
      <c r="F54" s="4">
        <v>36556</v>
      </c>
      <c r="G54" s="1" t="s">
        <v>56</v>
      </c>
      <c r="H54" s="1" t="s">
        <v>58</v>
      </c>
      <c r="I54" s="3" t="s">
        <v>57</v>
      </c>
      <c r="J54" s="8">
        <f>6.4493/J$1</f>
        <v>0.21497666666666668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6">
        <v>2.1160000000000002E-2</v>
      </c>
      <c r="P54" s="5">
        <f t="shared" si="5"/>
        <v>0.23757666666666669</v>
      </c>
      <c r="Q54" s="24">
        <v>62740</v>
      </c>
      <c r="R54" s="24">
        <v>62740</v>
      </c>
      <c r="S54" s="3">
        <v>2</v>
      </c>
      <c r="T54" s="1" t="s">
        <v>59</v>
      </c>
      <c r="U54" s="9">
        <f t="shared" si="7"/>
        <v>12.8986</v>
      </c>
      <c r="V54" s="9"/>
      <c r="W54" s="59"/>
      <c r="X54" s="1" t="s">
        <v>252</v>
      </c>
      <c r="Y54" s="36"/>
      <c r="Z54" s="36"/>
    </row>
    <row r="55" spans="2:26" s="65" customFormat="1" x14ac:dyDescent="0.2">
      <c r="B55" s="1" t="s">
        <v>235</v>
      </c>
      <c r="C55" s="3" t="s">
        <v>45</v>
      </c>
      <c r="D55" s="3" t="s">
        <v>36</v>
      </c>
      <c r="E55" s="4">
        <v>36526</v>
      </c>
      <c r="F55" s="4">
        <v>36616</v>
      </c>
      <c r="G55" s="1" t="s">
        <v>46</v>
      </c>
      <c r="H55" s="1" t="s">
        <v>47</v>
      </c>
      <c r="I55" s="3" t="s">
        <v>57</v>
      </c>
      <c r="J55" s="82">
        <f>1.521/J$1</f>
        <v>5.0699999999999995E-2</v>
      </c>
      <c r="K55" s="5">
        <v>1.32E-2</v>
      </c>
      <c r="L55" s="5">
        <v>2.2000000000000001E-3</v>
      </c>
      <c r="M55" s="5">
        <v>7.4999999999999997E-3</v>
      </c>
      <c r="N55" s="5">
        <v>0</v>
      </c>
      <c r="O55" s="46">
        <v>2.1160000000000002E-2</v>
      </c>
      <c r="P55" s="5">
        <f>SUM(J55:N55)</f>
        <v>7.3599999999999999E-2</v>
      </c>
      <c r="Q55" s="24">
        <v>62978</v>
      </c>
      <c r="R55" s="24">
        <v>62978</v>
      </c>
      <c r="S55" s="3">
        <v>8000</v>
      </c>
      <c r="T55" s="29" t="s">
        <v>374</v>
      </c>
      <c r="U55" s="9">
        <f t="shared" si="7"/>
        <v>12168</v>
      </c>
      <c r="V55" s="9"/>
      <c r="W55" s="59">
        <v>156574</v>
      </c>
      <c r="X55" s="9"/>
      <c r="Y55" s="36"/>
      <c r="Z55" s="36"/>
    </row>
    <row r="56" spans="2:26" s="65" customFormat="1" x14ac:dyDescent="0.2">
      <c r="B56" s="1" t="s">
        <v>235</v>
      </c>
      <c r="C56" s="3" t="s">
        <v>45</v>
      </c>
      <c r="D56" s="3" t="s">
        <v>55</v>
      </c>
      <c r="E56" s="4">
        <v>36220</v>
      </c>
      <c r="F56" s="4">
        <v>36585</v>
      </c>
      <c r="G56" s="1" t="s">
        <v>56</v>
      </c>
      <c r="H56" s="1" t="s">
        <v>60</v>
      </c>
      <c r="I56" s="3" t="s">
        <v>57</v>
      </c>
      <c r="J56" s="8">
        <f>6.449/J$1</f>
        <v>0.21496666666666667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6">
        <v>2.1160000000000002E-2</v>
      </c>
      <c r="P56" s="5">
        <f t="shared" si="5"/>
        <v>0.23756666666666668</v>
      </c>
      <c r="Q56" s="24">
        <v>62982</v>
      </c>
      <c r="R56" s="24">
        <v>62982</v>
      </c>
      <c r="S56" s="3">
        <v>2</v>
      </c>
      <c r="T56" s="1" t="s">
        <v>61</v>
      </c>
      <c r="U56" s="9">
        <f t="shared" si="7"/>
        <v>12.898</v>
      </c>
      <c r="V56" s="9"/>
      <c r="W56" s="59">
        <v>156575</v>
      </c>
      <c r="X56" s="1"/>
      <c r="Y56" s="36"/>
      <c r="Z56" s="36"/>
    </row>
    <row r="57" spans="2:26" s="65" customFormat="1" x14ac:dyDescent="0.2">
      <c r="B57" s="1" t="s">
        <v>235</v>
      </c>
      <c r="C57" s="3" t="s">
        <v>45</v>
      </c>
      <c r="D57" s="3" t="s">
        <v>54</v>
      </c>
      <c r="E57" s="4">
        <v>36220</v>
      </c>
      <c r="F57" s="4">
        <v>36585</v>
      </c>
      <c r="G57" s="1" t="s">
        <v>56</v>
      </c>
      <c r="H57" s="1" t="s">
        <v>58</v>
      </c>
      <c r="I57" s="3" t="s">
        <v>57</v>
      </c>
      <c r="J57" s="8">
        <f>6.449/J$1</f>
        <v>0.21496666666666667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5"/>
        <v>0.23756666666666668</v>
      </c>
      <c r="Q57" s="24">
        <v>62983</v>
      </c>
      <c r="R57" s="24">
        <v>62983</v>
      </c>
      <c r="S57" s="3">
        <v>2</v>
      </c>
      <c r="T57" s="1" t="s">
        <v>62</v>
      </c>
      <c r="U57" s="9">
        <f t="shared" si="7"/>
        <v>12.898</v>
      </c>
      <c r="V57" s="9"/>
      <c r="W57" s="59">
        <v>156576</v>
      </c>
      <c r="X57" s="1"/>
      <c r="Y57" s="36"/>
      <c r="Z57" s="36"/>
    </row>
    <row r="58" spans="2:26" s="120" customFormat="1" x14ac:dyDescent="0.2">
      <c r="B58" s="43" t="s">
        <v>235</v>
      </c>
      <c r="C58" s="111" t="s">
        <v>45</v>
      </c>
      <c r="D58" s="111" t="s">
        <v>66</v>
      </c>
      <c r="E58" s="112">
        <v>36434</v>
      </c>
      <c r="F58" s="112">
        <v>36616</v>
      </c>
      <c r="G58" s="43" t="s">
        <v>67</v>
      </c>
      <c r="H58" s="43" t="s">
        <v>95</v>
      </c>
      <c r="I58" s="111" t="s">
        <v>93</v>
      </c>
      <c r="J58" s="113">
        <f>6.129/J$1</f>
        <v>0.20429999999999998</v>
      </c>
      <c r="K58" s="114">
        <v>1.2999999999999999E-2</v>
      </c>
      <c r="L58" s="114">
        <v>2.2000000000000001E-3</v>
      </c>
      <c r="M58" s="114">
        <v>7.1999999999999998E-3</v>
      </c>
      <c r="N58" s="114">
        <v>0</v>
      </c>
      <c r="O58" s="115">
        <v>2.1160000000000002E-2</v>
      </c>
      <c r="P58" s="114">
        <f t="shared" si="5"/>
        <v>0.22670000000000001</v>
      </c>
      <c r="Q58" s="116">
        <v>63281</v>
      </c>
      <c r="R58" s="116">
        <v>63281</v>
      </c>
      <c r="S58" s="111">
        <v>134710</v>
      </c>
      <c r="T58" s="43" t="s">
        <v>96</v>
      </c>
      <c r="U58" s="117">
        <f t="shared" si="7"/>
        <v>825637.59</v>
      </c>
      <c r="V58" s="117"/>
      <c r="W58" s="118">
        <v>156577</v>
      </c>
      <c r="X58" s="43"/>
      <c r="Y58" s="119"/>
      <c r="Z58" s="119"/>
    </row>
    <row r="59" spans="2:26" s="65" customFormat="1" x14ac:dyDescent="0.2">
      <c r="B59" s="1" t="s">
        <v>235</v>
      </c>
      <c r="C59" s="3" t="s">
        <v>45</v>
      </c>
      <c r="D59" s="3" t="s">
        <v>55</v>
      </c>
      <c r="E59" s="4">
        <v>36251</v>
      </c>
      <c r="F59" s="4">
        <v>36616</v>
      </c>
      <c r="G59" s="1" t="s">
        <v>56</v>
      </c>
      <c r="H59" s="1" t="s">
        <v>60</v>
      </c>
      <c r="I59" s="3" t="s">
        <v>57</v>
      </c>
      <c r="J59" s="8">
        <f>6.449/J$1</f>
        <v>0.21496666666666667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5"/>
        <v>0.23756666666666668</v>
      </c>
      <c r="Q59" s="24">
        <v>63282</v>
      </c>
      <c r="R59" s="24">
        <v>63282</v>
      </c>
      <c r="S59" s="3">
        <v>6</v>
      </c>
      <c r="T59" s="1" t="s">
        <v>63</v>
      </c>
      <c r="U59" s="9">
        <f t="shared" si="7"/>
        <v>38.694000000000003</v>
      </c>
      <c r="V59" s="9"/>
      <c r="W59" s="59">
        <v>156578</v>
      </c>
      <c r="X59" s="1"/>
      <c r="Y59" s="36"/>
      <c r="Z59" s="36"/>
    </row>
    <row r="60" spans="2:26" s="65" customFormat="1" x14ac:dyDescent="0.2">
      <c r="B60" s="1" t="s">
        <v>235</v>
      </c>
      <c r="C60" s="3" t="s">
        <v>45</v>
      </c>
      <c r="D60" s="3" t="s">
        <v>54</v>
      </c>
      <c r="E60" s="4">
        <v>36251</v>
      </c>
      <c r="F60" s="4">
        <v>36616</v>
      </c>
      <c r="G60" s="1" t="s">
        <v>56</v>
      </c>
      <c r="H60" s="1" t="s">
        <v>64</v>
      </c>
      <c r="I60" s="3" t="s">
        <v>57</v>
      </c>
      <c r="J60" s="8">
        <f>6.449/J$1</f>
        <v>0.21496666666666667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5"/>
        <v>0.23756666666666668</v>
      </c>
      <c r="Q60" s="24">
        <v>63283</v>
      </c>
      <c r="R60" s="24">
        <v>63283</v>
      </c>
      <c r="S60" s="3">
        <v>46</v>
      </c>
      <c r="T60" s="1" t="s">
        <v>65</v>
      </c>
      <c r="U60" s="9">
        <f t="shared" si="7"/>
        <v>296.654</v>
      </c>
      <c r="V60" s="9"/>
      <c r="W60" s="59">
        <v>156579</v>
      </c>
      <c r="X60" s="1"/>
      <c r="Y60" s="36"/>
      <c r="Z60" s="36"/>
    </row>
    <row r="61" spans="2:26" s="65" customFormat="1" x14ac:dyDescent="0.2">
      <c r="B61" s="1" t="s">
        <v>235</v>
      </c>
      <c r="C61" s="3" t="s">
        <v>45</v>
      </c>
      <c r="D61" s="3" t="s">
        <v>66</v>
      </c>
      <c r="E61" s="4">
        <v>36251</v>
      </c>
      <c r="F61" s="4">
        <v>36616</v>
      </c>
      <c r="G61" s="1" t="s">
        <v>67</v>
      </c>
      <c r="H61" s="1" t="s">
        <v>69</v>
      </c>
      <c r="I61" s="3" t="s">
        <v>68</v>
      </c>
      <c r="J61" s="8">
        <v>2.9100000000000001E-2</v>
      </c>
      <c r="K61" s="5">
        <v>0</v>
      </c>
      <c r="L61" s="5">
        <v>0</v>
      </c>
      <c r="M61" s="5">
        <v>0</v>
      </c>
      <c r="N61" s="5">
        <v>0</v>
      </c>
      <c r="O61" s="46">
        <v>0</v>
      </c>
      <c r="P61" s="5">
        <f t="shared" si="5"/>
        <v>2.9100000000000001E-2</v>
      </c>
      <c r="Q61" s="24">
        <v>63304</v>
      </c>
      <c r="R61" s="24">
        <v>63304</v>
      </c>
      <c r="S61" s="3">
        <v>7503838</v>
      </c>
      <c r="T61" s="1" t="s">
        <v>210</v>
      </c>
      <c r="U61" s="9">
        <f>J61*S61</f>
        <v>218361.68580000001</v>
      </c>
      <c r="V61" s="9"/>
      <c r="W61" s="59">
        <v>156580</v>
      </c>
      <c r="X61" s="1"/>
      <c r="Y61" s="36"/>
      <c r="Z61" s="36"/>
    </row>
    <row r="62" spans="2:26" s="65" customFormat="1" x14ac:dyDescent="0.2">
      <c r="B62" s="1" t="s">
        <v>235</v>
      </c>
      <c r="C62" s="3" t="s">
        <v>45</v>
      </c>
      <c r="D62" s="3" t="s">
        <v>66</v>
      </c>
      <c r="E62" s="4">
        <v>36251</v>
      </c>
      <c r="F62" s="4">
        <v>36616</v>
      </c>
      <c r="G62" s="1" t="s">
        <v>67</v>
      </c>
      <c r="H62" s="1" t="s">
        <v>70</v>
      </c>
      <c r="I62" s="3" t="s">
        <v>68</v>
      </c>
      <c r="J62" s="8">
        <v>1.512</v>
      </c>
      <c r="K62" s="5">
        <v>0</v>
      </c>
      <c r="L62" s="5">
        <v>0</v>
      </c>
      <c r="M62" s="5">
        <v>0</v>
      </c>
      <c r="N62" s="5">
        <v>0</v>
      </c>
      <c r="O62" s="46">
        <v>0</v>
      </c>
      <c r="P62" s="5">
        <f t="shared" si="5"/>
        <v>1.512</v>
      </c>
      <c r="Q62" s="24">
        <v>63304</v>
      </c>
      <c r="R62" s="24">
        <v>63304</v>
      </c>
      <c r="S62" s="3">
        <v>134743</v>
      </c>
      <c r="T62" s="1" t="s">
        <v>210</v>
      </c>
      <c r="U62" s="9">
        <f>J62*S62</f>
        <v>203731.416</v>
      </c>
      <c r="V62" s="9"/>
      <c r="W62" s="59">
        <v>156580</v>
      </c>
      <c r="X62" s="1"/>
      <c r="Y62" s="36"/>
      <c r="Z62" s="36"/>
    </row>
    <row r="63" spans="2:26" s="65" customFormat="1" x14ac:dyDescent="0.2">
      <c r="B63" s="1" t="s">
        <v>235</v>
      </c>
      <c r="C63" s="3" t="s">
        <v>45</v>
      </c>
      <c r="D63" s="3" t="s">
        <v>55</v>
      </c>
      <c r="E63" s="4">
        <v>36281</v>
      </c>
      <c r="F63" s="4">
        <v>36646</v>
      </c>
      <c r="G63" s="1" t="s">
        <v>56</v>
      </c>
      <c r="H63" s="1" t="s">
        <v>60</v>
      </c>
      <c r="I63" s="3" t="s">
        <v>57</v>
      </c>
      <c r="J63" s="8">
        <f>6.449/J$1</f>
        <v>0.21496666666666667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5"/>
        <v>0.23756666666666668</v>
      </c>
      <c r="Q63" s="24">
        <v>63557</v>
      </c>
      <c r="R63" s="24">
        <v>63557</v>
      </c>
      <c r="S63" s="3">
        <v>33</v>
      </c>
      <c r="T63" s="1" t="s">
        <v>72</v>
      </c>
      <c r="U63" s="9">
        <f t="shared" ref="U63:U88" si="8">J63*J$1*S63</f>
        <v>212.81700000000001</v>
      </c>
      <c r="V63" s="9"/>
      <c r="W63" s="59">
        <v>156581</v>
      </c>
      <c r="X63" s="1"/>
      <c r="Y63" s="36"/>
      <c r="Z63" s="36"/>
    </row>
    <row r="64" spans="2:26" s="65" customFormat="1" x14ac:dyDescent="0.2">
      <c r="B64" s="1" t="s">
        <v>235</v>
      </c>
      <c r="C64" s="3" t="s">
        <v>45</v>
      </c>
      <c r="D64" s="3" t="s">
        <v>36</v>
      </c>
      <c r="E64" s="4">
        <v>36526</v>
      </c>
      <c r="F64" s="4">
        <v>36616</v>
      </c>
      <c r="G64" s="1" t="s">
        <v>46</v>
      </c>
      <c r="H64" s="1" t="s">
        <v>47</v>
      </c>
      <c r="I64" s="3" t="s">
        <v>57</v>
      </c>
      <c r="J64" s="8">
        <f>1.3687/J$1</f>
        <v>4.5623333333333335E-2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6">
        <v>2.1160000000000002E-2</v>
      </c>
      <c r="P64" s="5">
        <f>SUM(J64:N64)</f>
        <v>6.8523333333333339E-2</v>
      </c>
      <c r="Q64" s="24">
        <v>63764</v>
      </c>
      <c r="R64" s="24">
        <v>63764</v>
      </c>
      <c r="S64" s="3">
        <v>10000</v>
      </c>
      <c r="T64" s="1" t="s">
        <v>48</v>
      </c>
      <c r="U64" s="9">
        <f t="shared" si="8"/>
        <v>13687</v>
      </c>
      <c r="V64" s="9"/>
      <c r="W64" s="59">
        <v>156582</v>
      </c>
      <c r="X64" s="9"/>
      <c r="Y64" s="36"/>
      <c r="Z64" s="36"/>
    </row>
    <row r="65" spans="2:26" s="65" customFormat="1" x14ac:dyDescent="0.2">
      <c r="B65" s="1" t="s">
        <v>235</v>
      </c>
      <c r="C65" s="3" t="s">
        <v>45</v>
      </c>
      <c r="D65" s="3" t="s">
        <v>55</v>
      </c>
      <c r="E65" s="4">
        <v>36312</v>
      </c>
      <c r="F65" s="4">
        <v>36677</v>
      </c>
      <c r="G65" s="1" t="s">
        <v>56</v>
      </c>
      <c r="H65" s="1" t="s">
        <v>60</v>
      </c>
      <c r="I65" s="3" t="s">
        <v>57</v>
      </c>
      <c r="J65" s="8">
        <f t="shared" ref="J65:J72" si="9">6.449/J$1</f>
        <v>0.21496666666666667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5"/>
        <v>0.23756666666666668</v>
      </c>
      <c r="Q65" s="24">
        <v>63822</v>
      </c>
      <c r="R65" s="24">
        <v>63822</v>
      </c>
      <c r="S65" s="3">
        <v>303</v>
      </c>
      <c r="T65" s="1" t="s">
        <v>73</v>
      </c>
      <c r="U65" s="9">
        <f t="shared" si="8"/>
        <v>1954.047</v>
      </c>
      <c r="V65" s="9"/>
      <c r="W65" s="59">
        <v>156583</v>
      </c>
      <c r="X65" s="1"/>
      <c r="Y65" s="36"/>
      <c r="Z65" s="36"/>
    </row>
    <row r="66" spans="2:26" s="65" customFormat="1" x14ac:dyDescent="0.2">
      <c r="B66" s="1" t="s">
        <v>235</v>
      </c>
      <c r="C66" s="3" t="s">
        <v>45</v>
      </c>
      <c r="D66" s="3" t="s">
        <v>54</v>
      </c>
      <c r="E66" s="4">
        <v>36312</v>
      </c>
      <c r="F66" s="4">
        <v>36677</v>
      </c>
      <c r="G66" s="1" t="s">
        <v>56</v>
      </c>
      <c r="H66" s="1" t="s">
        <v>64</v>
      </c>
      <c r="I66" s="3" t="s">
        <v>57</v>
      </c>
      <c r="J66" s="8">
        <f t="shared" si="9"/>
        <v>0.21496666666666667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5"/>
        <v>0.23756666666666668</v>
      </c>
      <c r="Q66" s="24">
        <v>63825</v>
      </c>
      <c r="R66" s="24">
        <v>63825</v>
      </c>
      <c r="S66" s="3">
        <v>213</v>
      </c>
      <c r="T66" s="1" t="s">
        <v>74</v>
      </c>
      <c r="U66" s="9">
        <f t="shared" si="8"/>
        <v>1373.6369999999999</v>
      </c>
      <c r="V66" s="9"/>
      <c r="W66" s="59">
        <v>156584</v>
      </c>
      <c r="X66" s="1"/>
      <c r="Y66" s="36"/>
      <c r="Z66" s="36"/>
    </row>
    <row r="67" spans="2:26" s="65" customFormat="1" x14ac:dyDescent="0.2">
      <c r="B67" s="1" t="s">
        <v>235</v>
      </c>
      <c r="C67" s="3" t="s">
        <v>45</v>
      </c>
      <c r="D67" s="3" t="s">
        <v>55</v>
      </c>
      <c r="E67" s="4">
        <v>36342</v>
      </c>
      <c r="F67" s="4">
        <v>36707</v>
      </c>
      <c r="G67" s="1" t="s">
        <v>56</v>
      </c>
      <c r="H67" s="1" t="s">
        <v>60</v>
      </c>
      <c r="I67" s="3" t="s">
        <v>57</v>
      </c>
      <c r="J67" s="8">
        <f t="shared" si="9"/>
        <v>0.21496666666666667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5"/>
        <v>0.23756666666666668</v>
      </c>
      <c r="Q67" s="24">
        <v>64034</v>
      </c>
      <c r="R67" s="24">
        <v>64034</v>
      </c>
      <c r="S67" s="3">
        <v>911</v>
      </c>
      <c r="T67" s="1" t="s">
        <v>75</v>
      </c>
      <c r="U67" s="9">
        <f t="shared" si="8"/>
        <v>5875.0389999999998</v>
      </c>
      <c r="V67" s="9"/>
      <c r="W67" s="59">
        <v>156585</v>
      </c>
      <c r="X67" s="1"/>
      <c r="Y67" s="36"/>
      <c r="Z67" s="36"/>
    </row>
    <row r="68" spans="2:26" s="65" customFormat="1" x14ac:dyDescent="0.2">
      <c r="B68" s="1" t="s">
        <v>235</v>
      </c>
      <c r="C68" s="3" t="s">
        <v>45</v>
      </c>
      <c r="D68" s="3" t="s">
        <v>54</v>
      </c>
      <c r="E68" s="4">
        <v>36342</v>
      </c>
      <c r="F68" s="4">
        <v>36707</v>
      </c>
      <c r="G68" s="1" t="s">
        <v>56</v>
      </c>
      <c r="H68" s="1" t="s">
        <v>58</v>
      </c>
      <c r="I68" s="3" t="s">
        <v>57</v>
      </c>
      <c r="J68" s="8">
        <f t="shared" si="9"/>
        <v>0.21496666666666667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5"/>
        <v>0.23756666666666668</v>
      </c>
      <c r="Q68" s="24">
        <v>64036</v>
      </c>
      <c r="R68" s="24">
        <v>64036</v>
      </c>
      <c r="S68" s="3">
        <v>1</v>
      </c>
      <c r="T68" s="1" t="s">
        <v>76</v>
      </c>
      <c r="U68" s="9">
        <f t="shared" si="8"/>
        <v>6.4489999999999998</v>
      </c>
      <c r="V68" s="9"/>
      <c r="W68" s="59">
        <v>156586</v>
      </c>
      <c r="X68" s="1"/>
      <c r="Y68" s="36"/>
      <c r="Z68" s="36"/>
    </row>
    <row r="69" spans="2:26" s="65" customFormat="1" x14ac:dyDescent="0.2">
      <c r="B69" s="1" t="s">
        <v>235</v>
      </c>
      <c r="C69" s="3" t="s">
        <v>45</v>
      </c>
      <c r="D69" s="3" t="s">
        <v>55</v>
      </c>
      <c r="E69" s="4">
        <v>36373</v>
      </c>
      <c r="F69" s="4">
        <v>36738</v>
      </c>
      <c r="G69" s="1" t="s">
        <v>56</v>
      </c>
      <c r="H69" s="1" t="s">
        <v>60</v>
      </c>
      <c r="I69" s="3" t="s">
        <v>57</v>
      </c>
      <c r="J69" s="8">
        <f t="shared" si="9"/>
        <v>0.21496666666666667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5"/>
        <v>0.23756666666666668</v>
      </c>
      <c r="Q69" s="24">
        <v>64328</v>
      </c>
      <c r="R69" s="24">
        <v>64328</v>
      </c>
      <c r="S69" s="3">
        <v>51</v>
      </c>
      <c r="T69" s="1" t="s">
        <v>77</v>
      </c>
      <c r="U69" s="9">
        <f t="shared" si="8"/>
        <v>328.899</v>
      </c>
      <c r="V69" s="9"/>
      <c r="W69" s="59">
        <v>156588</v>
      </c>
      <c r="X69" s="1"/>
      <c r="Y69" s="36"/>
      <c r="Z69" s="36"/>
    </row>
    <row r="70" spans="2:26" s="65" customFormat="1" x14ac:dyDescent="0.2">
      <c r="B70" s="1" t="s">
        <v>235</v>
      </c>
      <c r="C70" s="3" t="s">
        <v>45</v>
      </c>
      <c r="D70" s="3" t="s">
        <v>54</v>
      </c>
      <c r="E70" s="4">
        <v>36373</v>
      </c>
      <c r="F70" s="4">
        <v>36738</v>
      </c>
      <c r="G70" s="1" t="s">
        <v>56</v>
      </c>
      <c r="H70" s="1" t="s">
        <v>64</v>
      </c>
      <c r="I70" s="3" t="s">
        <v>57</v>
      </c>
      <c r="J70" s="8">
        <f t="shared" si="9"/>
        <v>0.21496666666666667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6">
        <v>2.1160000000000002E-2</v>
      </c>
      <c r="P70" s="5">
        <f t="shared" si="5"/>
        <v>0.23756666666666668</v>
      </c>
      <c r="Q70" s="24">
        <v>64329</v>
      </c>
      <c r="R70" s="24">
        <v>64329</v>
      </c>
      <c r="S70" s="3">
        <v>12</v>
      </c>
      <c r="T70" s="1" t="s">
        <v>78</v>
      </c>
      <c r="U70" s="9">
        <f t="shared" si="8"/>
        <v>77.388000000000005</v>
      </c>
      <c r="V70" s="9"/>
      <c r="W70" s="59">
        <v>156590</v>
      </c>
      <c r="X70" s="1"/>
      <c r="Y70" s="36"/>
      <c r="Z70" s="36"/>
    </row>
    <row r="71" spans="2:26" s="65" customFormat="1" x14ac:dyDescent="0.2">
      <c r="B71" s="1" t="s">
        <v>235</v>
      </c>
      <c r="C71" s="3" t="s">
        <v>45</v>
      </c>
      <c r="D71" s="3" t="s">
        <v>54</v>
      </c>
      <c r="E71" s="4">
        <v>36404</v>
      </c>
      <c r="F71" s="4">
        <v>36769</v>
      </c>
      <c r="G71" s="1" t="s">
        <v>56</v>
      </c>
      <c r="H71" s="1" t="s">
        <v>64</v>
      </c>
      <c r="I71" s="3" t="s">
        <v>57</v>
      </c>
      <c r="J71" s="8">
        <f t="shared" si="9"/>
        <v>0.21496666666666667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6">
        <v>2.1160000000000002E-2</v>
      </c>
      <c r="P71" s="5">
        <f t="shared" si="5"/>
        <v>0.23756666666666668</v>
      </c>
      <c r="Q71" s="24">
        <v>64651</v>
      </c>
      <c r="R71" s="24">
        <v>64651</v>
      </c>
      <c r="S71" s="3">
        <v>64</v>
      </c>
      <c r="T71" s="1" t="s">
        <v>79</v>
      </c>
      <c r="U71" s="9">
        <f t="shared" si="8"/>
        <v>412.73599999999999</v>
      </c>
      <c r="V71" s="9"/>
      <c r="W71" s="59">
        <v>156591</v>
      </c>
      <c r="X71" s="1"/>
      <c r="Y71" s="36"/>
      <c r="Z71" s="36"/>
    </row>
    <row r="72" spans="2:26" s="65" customFormat="1" x14ac:dyDescent="0.2">
      <c r="B72" s="1" t="s">
        <v>235</v>
      </c>
      <c r="C72" s="3" t="s">
        <v>45</v>
      </c>
      <c r="D72" s="3" t="s">
        <v>54</v>
      </c>
      <c r="E72" s="4">
        <v>36434</v>
      </c>
      <c r="F72" s="4">
        <v>36799</v>
      </c>
      <c r="G72" s="1" t="s">
        <v>56</v>
      </c>
      <c r="H72" s="1" t="s">
        <v>58</v>
      </c>
      <c r="I72" s="3" t="s">
        <v>57</v>
      </c>
      <c r="J72" s="8">
        <f t="shared" si="9"/>
        <v>0.21496666666666667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5"/>
        <v>0.23756666666666668</v>
      </c>
      <c r="Q72" s="24">
        <v>64862</v>
      </c>
      <c r="R72" s="24">
        <v>64862</v>
      </c>
      <c r="S72" s="3">
        <v>13</v>
      </c>
      <c r="T72" s="1" t="s">
        <v>80</v>
      </c>
      <c r="U72" s="9">
        <f t="shared" si="8"/>
        <v>83.837000000000003</v>
      </c>
      <c r="V72" s="9"/>
      <c r="W72" s="59">
        <v>156592</v>
      </c>
      <c r="X72" s="1"/>
      <c r="Y72" s="36"/>
      <c r="Z72" s="36"/>
    </row>
    <row r="73" spans="2:26" s="65" customFormat="1" x14ac:dyDescent="0.2">
      <c r="B73" s="1" t="s">
        <v>235</v>
      </c>
      <c r="C73" s="3" t="s">
        <v>45</v>
      </c>
      <c r="D73" s="3" t="s">
        <v>66</v>
      </c>
      <c r="E73" s="4">
        <v>36434</v>
      </c>
      <c r="F73" s="4">
        <v>36799</v>
      </c>
      <c r="G73" s="1" t="s">
        <v>56</v>
      </c>
      <c r="H73" s="1" t="s">
        <v>81</v>
      </c>
      <c r="I73" s="3" t="s">
        <v>57</v>
      </c>
      <c r="J73" s="8">
        <f>6.372/J$1</f>
        <v>0.21240000000000001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5"/>
        <v>0.23500000000000001</v>
      </c>
      <c r="Q73" s="24">
        <v>64939</v>
      </c>
      <c r="R73" s="24">
        <v>64939</v>
      </c>
      <c r="S73" s="3">
        <v>2300</v>
      </c>
      <c r="T73" s="1" t="s">
        <v>82</v>
      </c>
      <c r="U73" s="9">
        <f t="shared" si="8"/>
        <v>14655.6</v>
      </c>
      <c r="V73" s="9"/>
      <c r="W73" s="59">
        <v>156593</v>
      </c>
      <c r="X73" s="1"/>
      <c r="Y73" s="36"/>
      <c r="Z73" s="36"/>
    </row>
    <row r="74" spans="2:26" s="65" customFormat="1" x14ac:dyDescent="0.2">
      <c r="B74" s="1" t="s">
        <v>235</v>
      </c>
      <c r="C74" s="3" t="s">
        <v>45</v>
      </c>
      <c r="D74" s="3" t="s">
        <v>54</v>
      </c>
      <c r="E74" s="4">
        <v>36465</v>
      </c>
      <c r="F74" s="4">
        <v>36830</v>
      </c>
      <c r="G74" s="1" t="s">
        <v>56</v>
      </c>
      <c r="H74" s="1" t="s">
        <v>64</v>
      </c>
      <c r="I74" s="3" t="s">
        <v>57</v>
      </c>
      <c r="J74" s="8">
        <f>6.449/J$1</f>
        <v>0.21496666666666667</v>
      </c>
      <c r="K74" s="5">
        <v>1.32E-2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5"/>
        <v>0.23756666666666668</v>
      </c>
      <c r="Q74" s="24">
        <v>65026</v>
      </c>
      <c r="R74" s="24">
        <v>65026</v>
      </c>
      <c r="S74" s="3">
        <v>128</v>
      </c>
      <c r="T74" s="1" t="s">
        <v>83</v>
      </c>
      <c r="U74" s="9">
        <f t="shared" si="8"/>
        <v>825.47199999999998</v>
      </c>
      <c r="V74" s="9"/>
      <c r="W74" s="59">
        <v>162286</v>
      </c>
      <c r="X74" s="1"/>
      <c r="Y74" s="36"/>
      <c r="Z74" s="36"/>
    </row>
    <row r="75" spans="2:26" s="65" customFormat="1" x14ac:dyDescent="0.2">
      <c r="B75" s="1" t="s">
        <v>235</v>
      </c>
      <c r="C75" s="3" t="s">
        <v>45</v>
      </c>
      <c r="D75" s="3" t="s">
        <v>84</v>
      </c>
      <c r="E75" s="4">
        <v>36465</v>
      </c>
      <c r="F75" s="4">
        <v>36830</v>
      </c>
      <c r="G75" s="1" t="s">
        <v>56</v>
      </c>
      <c r="H75" s="1" t="s">
        <v>85</v>
      </c>
      <c r="I75" s="3" t="s">
        <v>57</v>
      </c>
      <c r="J75" s="8">
        <f>6.449/J$1</f>
        <v>0.21496666666666667</v>
      </c>
      <c r="K75" s="5">
        <v>1.32E-2</v>
      </c>
      <c r="L75" s="5">
        <v>2.2000000000000001E-3</v>
      </c>
      <c r="M75" s="5">
        <v>7.1999999999999998E-3</v>
      </c>
      <c r="N75" s="5">
        <v>0</v>
      </c>
      <c r="O75" s="46">
        <v>2.1160000000000002E-2</v>
      </c>
      <c r="P75" s="5">
        <f t="shared" si="5"/>
        <v>0.23756666666666668</v>
      </c>
      <c r="Q75" s="24">
        <v>65041</v>
      </c>
      <c r="R75" s="24">
        <v>65041</v>
      </c>
      <c r="S75" s="3">
        <v>9619</v>
      </c>
      <c r="T75" s="1" t="s">
        <v>86</v>
      </c>
      <c r="U75" s="9">
        <f t="shared" si="8"/>
        <v>62032.930999999997</v>
      </c>
      <c r="V75" s="9"/>
      <c r="W75" s="59">
        <v>162285</v>
      </c>
      <c r="X75" s="1"/>
      <c r="Y75" s="36"/>
      <c r="Z75" s="36"/>
    </row>
    <row r="76" spans="2:26" s="65" customFormat="1" x14ac:dyDescent="0.2">
      <c r="B76" s="1" t="s">
        <v>235</v>
      </c>
      <c r="C76" s="3" t="s">
        <v>45</v>
      </c>
      <c r="D76" s="3" t="s">
        <v>84</v>
      </c>
      <c r="E76" s="4">
        <v>36465</v>
      </c>
      <c r="F76" s="4">
        <v>36830</v>
      </c>
      <c r="G76" s="1" t="s">
        <v>56</v>
      </c>
      <c r="H76" s="1" t="s">
        <v>88</v>
      </c>
      <c r="I76" s="3" t="s">
        <v>57</v>
      </c>
      <c r="J76" s="8">
        <f>6.449/J$1</f>
        <v>0.21496666666666667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5"/>
        <v>0.23756666666666668</v>
      </c>
      <c r="Q76" s="24">
        <v>65042</v>
      </c>
      <c r="R76" s="24">
        <v>65042</v>
      </c>
      <c r="S76" s="3">
        <v>4427</v>
      </c>
      <c r="T76" s="1" t="s">
        <v>87</v>
      </c>
      <c r="U76" s="9">
        <f t="shared" si="8"/>
        <v>28549.722999999998</v>
      </c>
      <c r="V76" s="9"/>
      <c r="W76" s="59">
        <v>162287</v>
      </c>
      <c r="X76" s="1"/>
      <c r="Y76" s="36"/>
      <c r="Z76" s="36"/>
    </row>
    <row r="77" spans="2:26" s="65" customFormat="1" x14ac:dyDescent="0.2">
      <c r="B77" s="1" t="s">
        <v>235</v>
      </c>
      <c r="C77" s="3" t="s">
        <v>45</v>
      </c>
      <c r="D77" s="3" t="s">
        <v>89</v>
      </c>
      <c r="E77" s="4">
        <v>36465</v>
      </c>
      <c r="F77" s="4">
        <v>37011</v>
      </c>
      <c r="G77" s="1" t="s">
        <v>56</v>
      </c>
      <c r="H77" s="1" t="s">
        <v>90</v>
      </c>
      <c r="I77" s="3" t="s">
        <v>57</v>
      </c>
      <c r="J77" s="8">
        <f>6.449/J$1</f>
        <v>0.21496666666666667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6">
        <v>2.1160000000000002E-2</v>
      </c>
      <c r="P77" s="5">
        <f t="shared" si="5"/>
        <v>0.23756666666666668</v>
      </c>
      <c r="Q77" s="24">
        <v>65108</v>
      </c>
      <c r="R77" s="24">
        <v>65108</v>
      </c>
      <c r="S77" s="3">
        <v>5000</v>
      </c>
      <c r="T77" s="1" t="s">
        <v>371</v>
      </c>
      <c r="U77" s="9">
        <f t="shared" si="8"/>
        <v>32245</v>
      </c>
      <c r="V77" s="9"/>
      <c r="W77" s="59">
        <v>163001</v>
      </c>
      <c r="X77" s="1"/>
      <c r="Y77" s="36"/>
      <c r="Z77" s="36"/>
    </row>
    <row r="78" spans="2:26" s="91" customFormat="1" x14ac:dyDescent="0.2">
      <c r="B78" s="42" t="s">
        <v>235</v>
      </c>
      <c r="C78" s="79" t="s">
        <v>45</v>
      </c>
      <c r="D78" s="79" t="s">
        <v>231</v>
      </c>
      <c r="E78" s="80">
        <v>36465</v>
      </c>
      <c r="F78" s="80">
        <v>36830</v>
      </c>
      <c r="G78" s="42" t="s">
        <v>128</v>
      </c>
      <c r="H78" s="81" t="s">
        <v>368</v>
      </c>
      <c r="I78" s="79" t="s">
        <v>57</v>
      </c>
      <c r="J78" s="82">
        <f>3.65/J$1</f>
        <v>0.12166666666666666</v>
      </c>
      <c r="K78" s="83">
        <v>1.32E-2</v>
      </c>
      <c r="L78" s="83">
        <v>2.2000000000000001E-3</v>
      </c>
      <c r="M78" s="83">
        <v>7.4999999999999997E-3</v>
      </c>
      <c r="N78" s="83">
        <v>0</v>
      </c>
      <c r="O78" s="84">
        <v>2.1160000000000002E-2</v>
      </c>
      <c r="P78" s="83">
        <f>SUM(J78:N78)</f>
        <v>0.14456666666666668</v>
      </c>
      <c r="Q78" s="85">
        <v>65402</v>
      </c>
      <c r="R78" s="85">
        <v>65402</v>
      </c>
      <c r="S78" s="79">
        <v>20000</v>
      </c>
      <c r="T78" s="81" t="s">
        <v>369</v>
      </c>
      <c r="U78" s="86">
        <f t="shared" si="8"/>
        <v>73000</v>
      </c>
      <c r="V78" s="86"/>
      <c r="W78" s="87">
        <v>156596</v>
      </c>
      <c r="X78" s="42"/>
      <c r="Y78" s="90"/>
      <c r="Z78" s="90"/>
    </row>
    <row r="79" spans="2:26" s="65" customFormat="1" x14ac:dyDescent="0.2">
      <c r="B79" s="1" t="s">
        <v>235</v>
      </c>
      <c r="C79" s="3" t="s">
        <v>45</v>
      </c>
      <c r="D79" s="3"/>
      <c r="E79" s="4">
        <v>36465</v>
      </c>
      <c r="F79" s="4">
        <v>37011</v>
      </c>
      <c r="G79" s="1"/>
      <c r="H79" s="1"/>
      <c r="I79" s="3" t="s">
        <v>57</v>
      </c>
      <c r="J79" s="82">
        <f>4.8621/+J$1</f>
        <v>0.16206999999999999</v>
      </c>
      <c r="K79" s="5"/>
      <c r="L79" s="5"/>
      <c r="M79" s="5"/>
      <c r="N79" s="5"/>
      <c r="O79" s="46"/>
      <c r="P79" s="5"/>
      <c r="Q79" s="24">
        <v>65403</v>
      </c>
      <c r="R79" s="24">
        <v>65403</v>
      </c>
      <c r="S79" s="3">
        <v>19293</v>
      </c>
      <c r="T79" s="29" t="s">
        <v>370</v>
      </c>
      <c r="U79" s="9">
        <f t="shared" si="8"/>
        <v>93804.495299999995</v>
      </c>
      <c r="V79" s="9"/>
      <c r="W79" s="59" t="s">
        <v>431</v>
      </c>
      <c r="X79" s="1"/>
      <c r="Y79" s="36"/>
      <c r="Z79" s="36"/>
    </row>
    <row r="80" spans="2:26" s="65" customFormat="1" x14ac:dyDescent="0.2">
      <c r="B80" s="1" t="s">
        <v>235</v>
      </c>
      <c r="C80" s="3" t="s">
        <v>45</v>
      </c>
      <c r="D80" s="3" t="s">
        <v>100</v>
      </c>
      <c r="E80" s="4">
        <v>36557</v>
      </c>
      <c r="F80" s="4">
        <v>36677</v>
      </c>
      <c r="G80" s="1" t="s">
        <v>131</v>
      </c>
      <c r="H80" s="1" t="s">
        <v>132</v>
      </c>
      <c r="I80" s="3" t="s">
        <v>57</v>
      </c>
      <c r="J80" s="82">
        <f>6.423/J$1</f>
        <v>0.21410000000000001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6">
        <v>2.1160000000000002E-2</v>
      </c>
      <c r="P80" s="5">
        <f t="shared" si="5"/>
        <v>0.23670000000000002</v>
      </c>
      <c r="Q80" s="24">
        <v>65404</v>
      </c>
      <c r="R80" s="24">
        <v>65404</v>
      </c>
      <c r="S80" s="3">
        <v>34</v>
      </c>
      <c r="T80" s="1" t="s">
        <v>133</v>
      </c>
      <c r="U80" s="9">
        <f t="shared" si="8"/>
        <v>218.38200000000001</v>
      </c>
      <c r="V80" s="9"/>
      <c r="W80" s="59">
        <v>156597</v>
      </c>
      <c r="X80" s="1"/>
      <c r="Y80" s="36"/>
      <c r="Z80" s="36"/>
    </row>
    <row r="81" spans="2:26" s="65" customFormat="1" x14ac:dyDescent="0.2">
      <c r="B81" s="1" t="s">
        <v>235</v>
      </c>
      <c r="C81" s="3" t="s">
        <v>45</v>
      </c>
      <c r="D81" s="3"/>
      <c r="E81" s="4">
        <v>36557</v>
      </c>
      <c r="F81" s="4">
        <v>36830</v>
      </c>
      <c r="G81" s="1" t="s">
        <v>134</v>
      </c>
      <c r="H81" s="1" t="s">
        <v>126</v>
      </c>
      <c r="I81" s="3" t="s">
        <v>57</v>
      </c>
      <c r="J81" s="8">
        <f>4.563/J$1</f>
        <v>0.15209999999999999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6">
        <v>2.1160000000000002E-2</v>
      </c>
      <c r="P81" s="5">
        <f t="shared" si="5"/>
        <v>0.17469999999999999</v>
      </c>
      <c r="Q81" s="24">
        <v>65418</v>
      </c>
      <c r="R81" s="24">
        <v>65418</v>
      </c>
      <c r="S81" s="3">
        <v>500</v>
      </c>
      <c r="T81" s="1" t="s">
        <v>135</v>
      </c>
      <c r="U81" s="9">
        <f t="shared" si="8"/>
        <v>2281.5</v>
      </c>
      <c r="V81" s="9"/>
      <c r="W81" s="59">
        <v>156599</v>
      </c>
      <c r="X81" s="1"/>
      <c r="Y81" s="36"/>
      <c r="Z81" s="36"/>
    </row>
    <row r="82" spans="2:26" s="65" customFormat="1" x14ac:dyDescent="0.2">
      <c r="B82" s="1" t="s">
        <v>235</v>
      </c>
      <c r="C82" s="3" t="s">
        <v>45</v>
      </c>
      <c r="D82" s="3" t="s">
        <v>66</v>
      </c>
      <c r="E82" s="4">
        <v>36557</v>
      </c>
      <c r="F82" s="4">
        <v>36616</v>
      </c>
      <c r="G82" s="1" t="s">
        <v>67</v>
      </c>
      <c r="H82" s="1" t="s">
        <v>92</v>
      </c>
      <c r="I82" s="3" t="s">
        <v>93</v>
      </c>
      <c r="J82" s="8">
        <f>6.077/J$1</f>
        <v>0.20256666666666667</v>
      </c>
      <c r="K82" s="5">
        <v>1.2999999999999999E-2</v>
      </c>
      <c r="L82" s="5">
        <v>2.2000000000000001E-3</v>
      </c>
      <c r="M82" s="5">
        <v>7.1999999999999998E-3</v>
      </c>
      <c r="N82" s="5">
        <v>0</v>
      </c>
      <c r="O82" s="46">
        <v>2.1160000000000002E-2</v>
      </c>
      <c r="P82" s="5">
        <f t="shared" si="5"/>
        <v>0.2249666666666667</v>
      </c>
      <c r="Q82" s="24">
        <v>65458</v>
      </c>
      <c r="R82" s="24">
        <v>65458</v>
      </c>
      <c r="S82" s="3">
        <v>33</v>
      </c>
      <c r="T82" s="1" t="s">
        <v>94</v>
      </c>
      <c r="U82" s="9">
        <f t="shared" si="8"/>
        <v>200.541</v>
      </c>
      <c r="V82" s="9"/>
      <c r="W82" s="59">
        <v>156600</v>
      </c>
      <c r="X82" s="1"/>
      <c r="Y82" s="36"/>
      <c r="Z82" s="36"/>
    </row>
    <row r="83" spans="2:26" s="65" customFormat="1" x14ac:dyDescent="0.2">
      <c r="B83" s="1" t="s">
        <v>235</v>
      </c>
      <c r="C83" s="3" t="s">
        <v>45</v>
      </c>
      <c r="D83" s="3"/>
      <c r="E83" s="4">
        <v>36557</v>
      </c>
      <c r="F83" s="4">
        <v>36677</v>
      </c>
      <c r="G83" s="1" t="s">
        <v>131</v>
      </c>
      <c r="H83" s="1" t="s">
        <v>132</v>
      </c>
      <c r="I83" s="3" t="s">
        <v>57</v>
      </c>
      <c r="J83" s="8">
        <f>6.372/J$1</f>
        <v>0.21240000000000001</v>
      </c>
      <c r="K83" s="5"/>
      <c r="L83" s="5"/>
      <c r="M83" s="5"/>
      <c r="N83" s="5"/>
      <c r="O83" s="46"/>
      <c r="P83" s="5"/>
      <c r="Q83" s="24">
        <v>65534</v>
      </c>
      <c r="R83" s="24">
        <v>65534</v>
      </c>
      <c r="S83" s="3">
        <v>3</v>
      </c>
      <c r="T83" s="1" t="s">
        <v>372</v>
      </c>
      <c r="U83" s="9">
        <f t="shared" si="8"/>
        <v>19.116</v>
      </c>
      <c r="V83" s="9"/>
      <c r="W83" s="59">
        <v>149349</v>
      </c>
      <c r="X83" s="1"/>
      <c r="Y83" s="36"/>
      <c r="Z83" s="36"/>
    </row>
    <row r="84" spans="2:26" s="65" customFormat="1" x14ac:dyDescent="0.2">
      <c r="B84" s="1" t="s">
        <v>235</v>
      </c>
      <c r="C84" s="3" t="s">
        <v>45</v>
      </c>
      <c r="D84" s="3" t="s">
        <v>54</v>
      </c>
      <c r="E84" s="4">
        <v>36557</v>
      </c>
      <c r="F84" s="4">
        <v>36860</v>
      </c>
      <c r="G84" s="1" t="s">
        <v>56</v>
      </c>
      <c r="H84" s="1" t="s">
        <v>64</v>
      </c>
      <c r="I84" s="3" t="s">
        <v>57</v>
      </c>
      <c r="J84" s="8">
        <f>6.449/J$1</f>
        <v>0.21496666666666667</v>
      </c>
      <c r="K84" s="5">
        <v>1.32E-2</v>
      </c>
      <c r="L84" s="5">
        <v>2.2000000000000001E-3</v>
      </c>
      <c r="M84" s="5">
        <v>7.1999999999999998E-3</v>
      </c>
      <c r="N84" s="5">
        <v>0</v>
      </c>
      <c r="O84" s="46">
        <v>2.1160000000000002E-2</v>
      </c>
      <c r="P84" s="5">
        <f t="shared" si="5"/>
        <v>0.23756666666666668</v>
      </c>
      <c r="Q84" s="24">
        <v>65556</v>
      </c>
      <c r="R84" s="24">
        <v>65556</v>
      </c>
      <c r="S84" s="3">
        <v>3</v>
      </c>
      <c r="T84" s="1" t="s">
        <v>91</v>
      </c>
      <c r="U84" s="9">
        <f t="shared" si="8"/>
        <v>19.347000000000001</v>
      </c>
      <c r="V84" s="9"/>
      <c r="W84" s="59">
        <v>156602</v>
      </c>
      <c r="X84" s="1"/>
      <c r="Y84" s="36"/>
      <c r="Z84" s="36"/>
    </row>
    <row r="85" spans="2:26" s="91" customFormat="1" x14ac:dyDescent="0.2">
      <c r="B85" s="42" t="s">
        <v>235</v>
      </c>
      <c r="C85" s="79" t="s">
        <v>45</v>
      </c>
      <c r="D85" s="79" t="s">
        <v>100</v>
      </c>
      <c r="E85" s="80">
        <v>36557</v>
      </c>
      <c r="F85" s="80">
        <v>36616</v>
      </c>
      <c r="G85" s="42" t="s">
        <v>131</v>
      </c>
      <c r="H85" s="42" t="s">
        <v>132</v>
      </c>
      <c r="I85" s="79" t="s">
        <v>57</v>
      </c>
      <c r="J85" s="82">
        <f>6.372/J$1</f>
        <v>0.21240000000000001</v>
      </c>
      <c r="K85" s="83">
        <v>1.32E-2</v>
      </c>
      <c r="L85" s="83">
        <v>2.2000000000000001E-3</v>
      </c>
      <c r="M85" s="83">
        <v>7.1999999999999998E-3</v>
      </c>
      <c r="N85" s="83">
        <v>0</v>
      </c>
      <c r="O85" s="84">
        <v>2.1160000000000002E-2</v>
      </c>
      <c r="P85" s="83">
        <f t="shared" si="5"/>
        <v>0.23500000000000001</v>
      </c>
      <c r="Q85" s="85">
        <v>65659</v>
      </c>
      <c r="R85" s="85">
        <v>65659</v>
      </c>
      <c r="S85" s="79">
        <v>3</v>
      </c>
      <c r="T85" s="42" t="s">
        <v>136</v>
      </c>
      <c r="U85" s="86">
        <f t="shared" si="8"/>
        <v>19.116</v>
      </c>
      <c r="V85" s="86"/>
      <c r="W85" s="87">
        <v>156605</v>
      </c>
      <c r="X85" s="42"/>
      <c r="Y85" s="90"/>
      <c r="Z85" s="90"/>
    </row>
    <row r="86" spans="2:26" s="120" customFormat="1" x14ac:dyDescent="0.2">
      <c r="B86" s="43" t="s">
        <v>235</v>
      </c>
      <c r="C86" s="111" t="s">
        <v>45</v>
      </c>
      <c r="D86" s="111" t="s">
        <v>200</v>
      </c>
      <c r="E86" s="112">
        <v>36586</v>
      </c>
      <c r="F86" s="112">
        <v>36616</v>
      </c>
      <c r="G86" s="138" t="s">
        <v>201</v>
      </c>
      <c r="H86" s="138" t="s">
        <v>202</v>
      </c>
      <c r="I86" s="111"/>
      <c r="J86" s="113">
        <f>3.72/J$1</f>
        <v>0.12400000000000001</v>
      </c>
      <c r="K86" s="114">
        <v>1.32E-2</v>
      </c>
      <c r="L86" s="114">
        <v>2.2000000000000001E-3</v>
      </c>
      <c r="M86" s="114">
        <v>7.4999999999999997E-3</v>
      </c>
      <c r="N86" s="114">
        <v>0</v>
      </c>
      <c r="O86" s="115">
        <v>2.1160000000000002E-2</v>
      </c>
      <c r="P86" s="114">
        <f>SUM(J86:N86)</f>
        <v>0.14690000000000003</v>
      </c>
      <c r="Q86" s="116">
        <v>66775</v>
      </c>
      <c r="R86" s="116">
        <v>66391</v>
      </c>
      <c r="S86" s="111">
        <v>2200</v>
      </c>
      <c r="T86" s="138" t="s">
        <v>373</v>
      </c>
      <c r="U86" s="117">
        <f t="shared" si="8"/>
        <v>8184</v>
      </c>
      <c r="V86" s="117"/>
      <c r="W86" s="118"/>
      <c r="X86" s="43"/>
      <c r="Y86" s="119"/>
      <c r="Z86" s="119"/>
    </row>
    <row r="87" spans="2:26" s="120" customFormat="1" x14ac:dyDescent="0.2">
      <c r="B87" s="43" t="s">
        <v>235</v>
      </c>
      <c r="C87" s="111" t="s">
        <v>45</v>
      </c>
      <c r="D87" s="111" t="s">
        <v>49</v>
      </c>
      <c r="E87" s="112">
        <v>36557</v>
      </c>
      <c r="F87" s="112">
        <v>36922</v>
      </c>
      <c r="G87" s="43" t="s">
        <v>248</v>
      </c>
      <c r="H87" s="43" t="s">
        <v>249</v>
      </c>
      <c r="I87" s="111" t="s">
        <v>57</v>
      </c>
      <c r="J87" s="82">
        <f>6.449/J$1</f>
        <v>0.21496666666666667</v>
      </c>
      <c r="K87" s="114"/>
      <c r="L87" s="114"/>
      <c r="M87" s="114"/>
      <c r="N87" s="114"/>
      <c r="O87" s="115"/>
      <c r="P87" s="114"/>
      <c r="Q87" s="116">
        <v>66280</v>
      </c>
      <c r="R87" s="116">
        <v>66280</v>
      </c>
      <c r="S87" s="111">
        <v>1</v>
      </c>
      <c r="T87" s="43" t="s">
        <v>251</v>
      </c>
      <c r="U87" s="117">
        <f t="shared" si="8"/>
        <v>6.4489999999999998</v>
      </c>
      <c r="V87" s="117"/>
      <c r="W87" s="118">
        <v>156606</v>
      </c>
      <c r="X87" s="43"/>
      <c r="Y87" s="119"/>
      <c r="Z87" s="119"/>
    </row>
    <row r="88" spans="2:26" s="120" customFormat="1" x14ac:dyDescent="0.2">
      <c r="B88" s="43" t="s">
        <v>235</v>
      </c>
      <c r="C88" s="111" t="s">
        <v>45</v>
      </c>
      <c r="D88" s="111" t="s">
        <v>49</v>
      </c>
      <c r="E88" s="112">
        <v>36557</v>
      </c>
      <c r="F88" s="112">
        <v>36922</v>
      </c>
      <c r="G88" s="43" t="s">
        <v>248</v>
      </c>
      <c r="H88" s="43" t="s">
        <v>250</v>
      </c>
      <c r="I88" s="111" t="s">
        <v>57</v>
      </c>
      <c r="J88" s="82">
        <f>6.449/J$1</f>
        <v>0.21496666666666667</v>
      </c>
      <c r="K88" s="114"/>
      <c r="L88" s="114"/>
      <c r="M88" s="114"/>
      <c r="N88" s="114"/>
      <c r="O88" s="115"/>
      <c r="P88" s="114"/>
      <c r="Q88" s="116">
        <v>66280</v>
      </c>
      <c r="R88" s="116">
        <v>66280</v>
      </c>
      <c r="S88" s="111">
        <v>4</v>
      </c>
      <c r="T88" s="43" t="s">
        <v>251</v>
      </c>
      <c r="U88" s="117">
        <f t="shared" si="8"/>
        <v>25.795999999999999</v>
      </c>
      <c r="V88" s="117"/>
      <c r="W88" s="118">
        <v>156606</v>
      </c>
      <c r="X88" s="43"/>
      <c r="Y88" s="119"/>
      <c r="Z88" s="119"/>
    </row>
    <row r="89" spans="2:26" s="120" customFormat="1" x14ac:dyDescent="0.2">
      <c r="B89" s="43" t="s">
        <v>235</v>
      </c>
      <c r="C89" s="111" t="s">
        <v>45</v>
      </c>
      <c r="D89" s="111"/>
      <c r="E89" s="112">
        <v>36557</v>
      </c>
      <c r="F89" s="112">
        <v>36616</v>
      </c>
      <c r="G89" s="43" t="s">
        <v>248</v>
      </c>
      <c r="H89" s="43">
        <v>21</v>
      </c>
      <c r="I89" s="111" t="s">
        <v>57</v>
      </c>
      <c r="J89" s="82">
        <f>6.372/J$1</f>
        <v>0.21240000000000001</v>
      </c>
      <c r="K89" s="114"/>
      <c r="L89" s="114"/>
      <c r="M89" s="114"/>
      <c r="N89" s="114"/>
      <c r="O89" s="115"/>
      <c r="P89" s="114"/>
      <c r="Q89" s="116">
        <v>66444</v>
      </c>
      <c r="R89" s="116"/>
      <c r="S89" s="111">
        <v>7</v>
      </c>
      <c r="T89" s="43"/>
      <c r="U89" s="117">
        <f>J89*J$1*S89</f>
        <v>44.603999999999999</v>
      </c>
      <c r="V89" s="117"/>
      <c r="W89" s="118">
        <v>159995</v>
      </c>
      <c r="X89" s="43"/>
      <c r="Y89" s="119"/>
      <c r="Z89" s="119"/>
    </row>
    <row r="90" spans="2:26" s="91" customFormat="1" x14ac:dyDescent="0.2">
      <c r="B90" s="42" t="s">
        <v>235</v>
      </c>
      <c r="C90" s="79" t="s">
        <v>45</v>
      </c>
      <c r="D90" s="79" t="s">
        <v>137</v>
      </c>
      <c r="E90" s="80">
        <v>36617</v>
      </c>
      <c r="F90" s="80">
        <v>36646</v>
      </c>
      <c r="G90" s="42" t="s">
        <v>248</v>
      </c>
      <c r="H90" s="42">
        <v>168</v>
      </c>
      <c r="I90" s="79" t="s">
        <v>57</v>
      </c>
      <c r="J90" s="82">
        <v>6.4009999999999998</v>
      </c>
      <c r="K90" s="83"/>
      <c r="L90" s="83"/>
      <c r="M90" s="83"/>
      <c r="N90" s="83"/>
      <c r="O90" s="84"/>
      <c r="P90" s="83"/>
      <c r="Q90" s="85">
        <v>66928</v>
      </c>
      <c r="R90" s="85"/>
      <c r="S90" s="79">
        <v>167</v>
      </c>
      <c r="T90" s="42" t="s">
        <v>447</v>
      </c>
      <c r="U90" s="86">
        <f>+S90*J90</f>
        <v>1068.9669999999999</v>
      </c>
      <c r="V90" s="86"/>
      <c r="W90" s="87">
        <v>228176</v>
      </c>
      <c r="X90" s="42"/>
      <c r="Y90" s="90"/>
      <c r="Z90" s="90"/>
    </row>
    <row r="91" spans="2:26" s="120" customFormat="1" x14ac:dyDescent="0.2">
      <c r="B91" s="43" t="s">
        <v>235</v>
      </c>
      <c r="C91" s="111" t="s">
        <v>45</v>
      </c>
      <c r="D91" s="111" t="s">
        <v>49</v>
      </c>
      <c r="E91" s="112">
        <v>36586</v>
      </c>
      <c r="F91" s="112">
        <v>36950</v>
      </c>
      <c r="G91" s="43" t="s">
        <v>248</v>
      </c>
      <c r="H91" s="138" t="s">
        <v>249</v>
      </c>
      <c r="I91" s="111" t="s">
        <v>57</v>
      </c>
      <c r="J91" s="113">
        <v>6.4489999999999998</v>
      </c>
      <c r="K91" s="114"/>
      <c r="L91" s="114"/>
      <c r="M91" s="114"/>
      <c r="N91" s="114"/>
      <c r="O91" s="115"/>
      <c r="P91" s="114"/>
      <c r="Q91" s="116">
        <v>66679</v>
      </c>
      <c r="R91" s="116"/>
      <c r="S91" s="111">
        <v>5</v>
      </c>
      <c r="T91" s="43" t="s">
        <v>313</v>
      </c>
      <c r="U91" s="117">
        <f>+S91*J91</f>
        <v>32.244999999999997</v>
      </c>
      <c r="V91" s="117"/>
      <c r="W91" s="118">
        <v>205617</v>
      </c>
      <c r="X91" s="43"/>
      <c r="Y91" s="119"/>
      <c r="Z91" s="119"/>
    </row>
    <row r="92" spans="2:26" s="120" customFormat="1" x14ac:dyDescent="0.2">
      <c r="B92" s="43" t="s">
        <v>235</v>
      </c>
      <c r="C92" s="111" t="s">
        <v>45</v>
      </c>
      <c r="D92" s="111" t="s">
        <v>49</v>
      </c>
      <c r="E92" s="112">
        <v>36586</v>
      </c>
      <c r="F92" s="112">
        <v>36950</v>
      </c>
      <c r="G92" s="43" t="s">
        <v>248</v>
      </c>
      <c r="H92" s="138" t="s">
        <v>250</v>
      </c>
      <c r="I92" s="111" t="s">
        <v>57</v>
      </c>
      <c r="J92" s="113">
        <v>6.4489999999999998</v>
      </c>
      <c r="K92" s="114"/>
      <c r="L92" s="114"/>
      <c r="M92" s="114"/>
      <c r="N92" s="114"/>
      <c r="O92" s="115"/>
      <c r="P92" s="114"/>
      <c r="Q92" s="116">
        <v>66679</v>
      </c>
      <c r="R92" s="116"/>
      <c r="S92" s="111">
        <v>4</v>
      </c>
      <c r="T92" s="43" t="s">
        <v>313</v>
      </c>
      <c r="U92" s="117">
        <f>+S92*J92</f>
        <v>25.795999999999999</v>
      </c>
      <c r="V92" s="117"/>
      <c r="W92" s="118">
        <v>205617</v>
      </c>
      <c r="X92" s="43"/>
      <c r="Y92" s="119"/>
      <c r="Z92" s="119"/>
    </row>
    <row r="93" spans="2:26" s="139" customFormat="1" x14ac:dyDescent="0.2">
      <c r="B93" s="140" t="s">
        <v>235</v>
      </c>
      <c r="C93" s="141" t="s">
        <v>45</v>
      </c>
      <c r="D93" s="141" t="s">
        <v>49</v>
      </c>
      <c r="E93" s="142">
        <v>36617</v>
      </c>
      <c r="F93" s="142">
        <v>36981</v>
      </c>
      <c r="G93" s="140" t="s">
        <v>248</v>
      </c>
      <c r="H93" s="140" t="s">
        <v>439</v>
      </c>
      <c r="I93" s="141" t="s">
        <v>57</v>
      </c>
      <c r="J93" s="143">
        <v>6.4009999999999998</v>
      </c>
      <c r="K93" s="144"/>
      <c r="L93" s="144"/>
      <c r="M93" s="144"/>
      <c r="N93" s="144"/>
      <c r="O93" s="145"/>
      <c r="P93" s="144"/>
      <c r="Q93" s="146">
        <v>66939</v>
      </c>
      <c r="R93" s="146"/>
      <c r="S93" s="141">
        <v>52</v>
      </c>
      <c r="T93" s="140" t="s">
        <v>440</v>
      </c>
      <c r="U93" s="147">
        <f>+S93*J93</f>
        <v>332.85199999999998</v>
      </c>
      <c r="V93" s="147"/>
      <c r="W93" s="148">
        <v>228153</v>
      </c>
      <c r="X93" s="140"/>
      <c r="Y93" s="149"/>
      <c r="Z93" s="149"/>
    </row>
    <row r="94" spans="2:26" s="139" customFormat="1" x14ac:dyDescent="0.2">
      <c r="B94" s="140" t="s">
        <v>235</v>
      </c>
      <c r="C94" s="141" t="s">
        <v>45</v>
      </c>
      <c r="D94" s="141" t="s">
        <v>442</v>
      </c>
      <c r="E94" s="142">
        <v>36617</v>
      </c>
      <c r="F94" s="142" t="s">
        <v>443</v>
      </c>
      <c r="G94" s="140" t="s">
        <v>444</v>
      </c>
      <c r="H94" s="140"/>
      <c r="I94" s="141" t="s">
        <v>445</v>
      </c>
      <c r="J94" s="143"/>
      <c r="K94" s="144"/>
      <c r="L94" s="144"/>
      <c r="M94" s="144"/>
      <c r="N94" s="144"/>
      <c r="O94" s="145"/>
      <c r="P94" s="144"/>
      <c r="Q94" s="146">
        <v>66917</v>
      </c>
      <c r="R94" s="146"/>
      <c r="S94" s="141"/>
      <c r="T94" s="140"/>
      <c r="U94" s="147"/>
      <c r="V94" s="147"/>
      <c r="W94" s="148">
        <v>228085</v>
      </c>
      <c r="X94" s="140"/>
      <c r="Y94" s="149"/>
      <c r="Z94" s="149"/>
    </row>
    <row r="95" spans="2:26" s="139" customFormat="1" x14ac:dyDescent="0.2">
      <c r="B95" s="140" t="s">
        <v>235</v>
      </c>
      <c r="C95" s="141" t="s">
        <v>45</v>
      </c>
      <c r="D95" s="141" t="s">
        <v>47</v>
      </c>
      <c r="E95" s="142">
        <v>36617</v>
      </c>
      <c r="F95" s="142">
        <v>36981</v>
      </c>
      <c r="G95" s="140" t="s">
        <v>248</v>
      </c>
      <c r="H95" s="140" t="s">
        <v>448</v>
      </c>
      <c r="I95" s="141" t="s">
        <v>57</v>
      </c>
      <c r="J95" s="143">
        <v>6.4009999999999998</v>
      </c>
      <c r="K95" s="144"/>
      <c r="L95" s="144"/>
      <c r="M95" s="144"/>
      <c r="N95" s="144"/>
      <c r="O95" s="145"/>
      <c r="P95" s="144"/>
      <c r="Q95" s="146">
        <v>66940</v>
      </c>
      <c r="R95" s="146"/>
      <c r="S95" s="141">
        <v>2</v>
      </c>
      <c r="T95" s="140" t="s">
        <v>449</v>
      </c>
      <c r="U95" s="147">
        <f>+S95*J95</f>
        <v>12.802</v>
      </c>
      <c r="V95" s="147"/>
      <c r="W95" s="148"/>
      <c r="X95" s="140"/>
      <c r="Y95" s="149"/>
      <c r="Z95" s="149"/>
    </row>
    <row r="96" spans="2:26" s="120" customFormat="1" x14ac:dyDescent="0.2">
      <c r="B96" s="43"/>
      <c r="C96" s="111"/>
      <c r="D96" s="111"/>
      <c r="E96" s="112"/>
      <c r="F96" s="112"/>
      <c r="G96" s="43"/>
      <c r="H96" s="138"/>
      <c r="I96" s="111"/>
      <c r="J96" s="113"/>
      <c r="K96" s="114"/>
      <c r="L96" s="114"/>
      <c r="M96" s="114"/>
      <c r="N96" s="114"/>
      <c r="O96" s="115"/>
      <c r="P96" s="114"/>
      <c r="Q96" s="116"/>
      <c r="R96" s="116"/>
      <c r="S96" s="111"/>
      <c r="T96" s="43"/>
      <c r="U96" s="117">
        <f>+S96*J96</f>
        <v>0</v>
      </c>
      <c r="V96" s="117"/>
      <c r="W96" s="118"/>
      <c r="X96" s="43"/>
      <c r="Y96" s="119"/>
      <c r="Z96" s="119"/>
    </row>
    <row r="97" spans="2:26" x14ac:dyDescent="0.2">
      <c r="U97" s="117">
        <f>+S97*J97</f>
        <v>0</v>
      </c>
    </row>
    <row r="98" spans="2:26" x14ac:dyDescent="0.2">
      <c r="B98" s="10" t="s">
        <v>3</v>
      </c>
      <c r="C98" s="11" t="s">
        <v>3</v>
      </c>
      <c r="D98" s="11" t="s">
        <v>3</v>
      </c>
      <c r="E98" s="13" t="s">
        <v>3</v>
      </c>
      <c r="F98" s="13" t="s">
        <v>3</v>
      </c>
      <c r="G98" s="10" t="s">
        <v>3</v>
      </c>
      <c r="H98" s="30" t="s">
        <v>3</v>
      </c>
      <c r="I98" s="11" t="s">
        <v>3</v>
      </c>
      <c r="J98" s="14"/>
      <c r="K98" s="15"/>
      <c r="L98" s="15"/>
      <c r="M98" s="15"/>
      <c r="N98" s="15"/>
      <c r="O98" s="48"/>
      <c r="P98" s="15"/>
      <c r="Q98" s="26" t="s">
        <v>3</v>
      </c>
      <c r="R98" s="26" t="s">
        <v>3</v>
      </c>
      <c r="S98" s="11">
        <f>SUM(S59:S96)</f>
        <v>7714019</v>
      </c>
      <c r="T98" s="10" t="s">
        <v>3</v>
      </c>
      <c r="U98" s="22">
        <f>SUM(U44:U96)</f>
        <v>1680158.7177000006</v>
      </c>
      <c r="V98" s="22">
        <f>SUM(V59:V59)</f>
        <v>0</v>
      </c>
      <c r="W98" s="58"/>
      <c r="X98" s="30"/>
      <c r="Y98" s="36"/>
      <c r="Z98" s="36"/>
    </row>
    <row r="99" spans="2:26" x14ac:dyDescent="0.2">
      <c r="B99" s="16" t="s">
        <v>4</v>
      </c>
      <c r="C99" s="17" t="s">
        <v>5</v>
      </c>
      <c r="D99" s="17" t="s">
        <v>6</v>
      </c>
      <c r="E99" s="18" t="s">
        <v>7</v>
      </c>
      <c r="F99" s="18"/>
      <c r="G99" s="16" t="s">
        <v>8</v>
      </c>
      <c r="H99" s="16" t="s">
        <v>9</v>
      </c>
      <c r="I99" s="17" t="s">
        <v>53</v>
      </c>
      <c r="J99" s="19" t="s">
        <v>10</v>
      </c>
      <c r="K99" s="17" t="s">
        <v>11</v>
      </c>
      <c r="L99" s="17" t="s">
        <v>12</v>
      </c>
      <c r="M99" s="17" t="s">
        <v>13</v>
      </c>
      <c r="N99" s="17" t="s">
        <v>14</v>
      </c>
      <c r="O99" s="47" t="s">
        <v>15</v>
      </c>
      <c r="P99" s="17" t="s">
        <v>16</v>
      </c>
      <c r="Q99" s="20" t="s">
        <v>233</v>
      </c>
      <c r="R99" s="20" t="s">
        <v>232</v>
      </c>
      <c r="S99" s="17" t="s">
        <v>17</v>
      </c>
      <c r="T99" s="16" t="s">
        <v>18</v>
      </c>
      <c r="U99" s="21" t="s">
        <v>52</v>
      </c>
      <c r="V99" s="21" t="s">
        <v>51</v>
      </c>
      <c r="W99" s="57" t="s">
        <v>234</v>
      </c>
      <c r="X99" s="62">
        <f>+X66</f>
        <v>0</v>
      </c>
      <c r="Y99" s="36"/>
      <c r="Z99" s="36"/>
    </row>
    <row r="100" spans="2:26" s="65" customFormat="1" x14ac:dyDescent="0.2">
      <c r="B100" s="1" t="s">
        <v>235</v>
      </c>
      <c r="C100" s="3" t="s">
        <v>37</v>
      </c>
      <c r="D100" s="3" t="s">
        <v>49</v>
      </c>
      <c r="E100" s="4">
        <v>36192</v>
      </c>
      <c r="F100" s="4">
        <v>36556</v>
      </c>
      <c r="G100" s="1" t="s">
        <v>38</v>
      </c>
      <c r="H100" s="1" t="s">
        <v>31</v>
      </c>
      <c r="I100" s="3" t="s">
        <v>149</v>
      </c>
      <c r="J100" s="8">
        <f t="shared" ref="J100:J114" si="10">3.145/J$1</f>
        <v>0.10483333333333333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ref="P100:P114" si="11">SUM(J100:N100)</f>
        <v>0.12023333333333333</v>
      </c>
      <c r="Q100" s="24">
        <v>62741</v>
      </c>
      <c r="R100" s="24">
        <v>62741</v>
      </c>
      <c r="S100" s="3">
        <v>2</v>
      </c>
      <c r="T100" s="1"/>
      <c r="U100" s="9">
        <f t="shared" ref="U100:U115" si="12">J100*J$1*S100</f>
        <v>6.29</v>
      </c>
      <c r="V100" s="9"/>
      <c r="W100" s="59">
        <v>140449</v>
      </c>
      <c r="X100" s="1"/>
      <c r="Y100" s="36"/>
      <c r="Z100" s="36"/>
    </row>
    <row r="101" spans="2:26" s="65" customFormat="1" x14ac:dyDescent="0.2">
      <c r="B101" s="1" t="s">
        <v>235</v>
      </c>
      <c r="C101" s="3" t="s">
        <v>37</v>
      </c>
      <c r="D101" s="3" t="s">
        <v>49</v>
      </c>
      <c r="E101" s="4">
        <v>36220</v>
      </c>
      <c r="F101" s="4">
        <v>36584</v>
      </c>
      <c r="G101" s="1" t="s">
        <v>38</v>
      </c>
      <c r="H101" s="1" t="s">
        <v>31</v>
      </c>
      <c r="I101" s="3" t="s">
        <v>149</v>
      </c>
      <c r="J101" s="8">
        <f t="shared" si="10"/>
        <v>0.10483333333333333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1"/>
        <v>0.12023333333333333</v>
      </c>
      <c r="Q101" s="24">
        <v>62979</v>
      </c>
      <c r="R101" s="24">
        <v>62979</v>
      </c>
      <c r="S101" s="3">
        <v>2</v>
      </c>
      <c r="T101" s="1"/>
      <c r="U101" s="9">
        <f t="shared" si="12"/>
        <v>6.29</v>
      </c>
      <c r="V101" s="9"/>
      <c r="W101" s="59">
        <v>156607</v>
      </c>
      <c r="X101" s="1"/>
      <c r="Y101" s="36"/>
      <c r="Z101" s="36"/>
    </row>
    <row r="102" spans="2:26" s="65" customFormat="1" x14ac:dyDescent="0.2">
      <c r="B102" s="1" t="s">
        <v>235</v>
      </c>
      <c r="C102" s="3" t="s">
        <v>37</v>
      </c>
      <c r="D102" s="3" t="s">
        <v>150</v>
      </c>
      <c r="E102" s="4">
        <v>36220</v>
      </c>
      <c r="F102" s="4">
        <v>36585</v>
      </c>
      <c r="G102" s="1" t="s">
        <v>38</v>
      </c>
      <c r="H102" s="1" t="s">
        <v>31</v>
      </c>
      <c r="I102" s="3" t="s">
        <v>149</v>
      </c>
      <c r="J102" s="8">
        <f t="shared" si="10"/>
        <v>0.10483333333333333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 t="shared" si="11"/>
        <v>0.12023333333333333</v>
      </c>
      <c r="Q102" s="24">
        <v>62981</v>
      </c>
      <c r="R102" s="24">
        <v>62981</v>
      </c>
      <c r="S102" s="3">
        <v>2</v>
      </c>
      <c r="T102" s="1"/>
      <c r="U102" s="9">
        <f t="shared" si="12"/>
        <v>6.29</v>
      </c>
      <c r="V102" s="9"/>
      <c r="W102" s="59">
        <v>156609</v>
      </c>
      <c r="X102" s="1"/>
      <c r="Y102" s="36"/>
      <c r="Z102" s="36"/>
    </row>
    <row r="103" spans="2:26" s="65" customFormat="1" x14ac:dyDescent="0.2">
      <c r="B103" s="1" t="s">
        <v>235</v>
      </c>
      <c r="C103" s="3" t="s">
        <v>37</v>
      </c>
      <c r="D103" s="3" t="s">
        <v>150</v>
      </c>
      <c r="E103" s="4">
        <v>36251</v>
      </c>
      <c r="F103" s="4">
        <v>36616</v>
      </c>
      <c r="G103" s="1" t="s">
        <v>38</v>
      </c>
      <c r="H103" s="1" t="s">
        <v>31</v>
      </c>
      <c r="I103" s="3" t="s">
        <v>149</v>
      </c>
      <c r="J103" s="8">
        <f t="shared" si="10"/>
        <v>0.10483333333333333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 t="shared" si="11"/>
        <v>0.12023333333333333</v>
      </c>
      <c r="Q103" s="24">
        <v>63285</v>
      </c>
      <c r="R103" s="24">
        <v>63285</v>
      </c>
      <c r="S103" s="3">
        <v>6</v>
      </c>
      <c r="T103" s="1"/>
      <c r="U103" s="9">
        <f t="shared" si="12"/>
        <v>18.87</v>
      </c>
      <c r="V103" s="9"/>
      <c r="W103" s="59">
        <v>156610</v>
      </c>
      <c r="X103" s="1"/>
      <c r="Y103" s="36"/>
      <c r="Z103" s="36"/>
    </row>
    <row r="104" spans="2:26" s="65" customFormat="1" x14ac:dyDescent="0.2">
      <c r="B104" s="1" t="s">
        <v>235</v>
      </c>
      <c r="C104" s="3" t="s">
        <v>37</v>
      </c>
      <c r="D104" s="3" t="s">
        <v>49</v>
      </c>
      <c r="E104" s="4">
        <v>36251</v>
      </c>
      <c r="F104" s="4">
        <v>36616</v>
      </c>
      <c r="G104" s="1" t="s">
        <v>38</v>
      </c>
      <c r="H104" s="1" t="s">
        <v>31</v>
      </c>
      <c r="I104" s="3" t="s">
        <v>149</v>
      </c>
      <c r="J104" s="8">
        <f t="shared" si="10"/>
        <v>0.10483333333333333</v>
      </c>
      <c r="K104" s="5">
        <v>1.32E-2</v>
      </c>
      <c r="L104" s="5">
        <v>2.2000000000000001E-3</v>
      </c>
      <c r="M104" s="5">
        <v>0</v>
      </c>
      <c r="N104" s="5">
        <v>0</v>
      </c>
      <c r="O104" s="46">
        <v>2.1160000000000002E-2</v>
      </c>
      <c r="P104" s="5">
        <f t="shared" si="11"/>
        <v>0.12023333333333333</v>
      </c>
      <c r="Q104" s="24">
        <v>63287</v>
      </c>
      <c r="R104" s="24">
        <v>63287</v>
      </c>
      <c r="S104" s="3">
        <v>47</v>
      </c>
      <c r="T104" s="1"/>
      <c r="U104" s="9">
        <f t="shared" si="12"/>
        <v>147.815</v>
      </c>
      <c r="V104" s="9"/>
      <c r="W104" s="59">
        <v>156612</v>
      </c>
      <c r="X104" s="1"/>
      <c r="Y104" s="36"/>
      <c r="Z104" s="36"/>
    </row>
    <row r="105" spans="2:26" s="65" customFormat="1" x14ac:dyDescent="0.2">
      <c r="B105" s="1" t="s">
        <v>235</v>
      </c>
      <c r="C105" s="3" t="s">
        <v>37</v>
      </c>
      <c r="D105" s="3" t="s">
        <v>150</v>
      </c>
      <c r="E105" s="4">
        <v>36281</v>
      </c>
      <c r="F105" s="4">
        <v>36646</v>
      </c>
      <c r="G105" s="1" t="s">
        <v>38</v>
      </c>
      <c r="H105" s="1" t="s">
        <v>31</v>
      </c>
      <c r="I105" s="3" t="s">
        <v>149</v>
      </c>
      <c r="J105" s="8">
        <f t="shared" si="10"/>
        <v>0.10483333333333333</v>
      </c>
      <c r="K105" s="5">
        <v>1.32E-2</v>
      </c>
      <c r="L105" s="5">
        <v>2.2000000000000001E-3</v>
      </c>
      <c r="M105" s="5">
        <v>0</v>
      </c>
      <c r="N105" s="5">
        <v>0</v>
      </c>
      <c r="O105" s="46">
        <v>2.1160000000000002E-2</v>
      </c>
      <c r="P105" s="5">
        <f t="shared" si="11"/>
        <v>0.12023333333333333</v>
      </c>
      <c r="Q105" s="24">
        <v>63562</v>
      </c>
      <c r="R105" s="24">
        <v>63562</v>
      </c>
      <c r="S105" s="3">
        <v>34</v>
      </c>
      <c r="T105" s="1"/>
      <c r="U105" s="9">
        <f t="shared" si="12"/>
        <v>106.93</v>
      </c>
      <c r="V105" s="9"/>
      <c r="W105" s="59">
        <v>156613</v>
      </c>
      <c r="X105" s="1"/>
      <c r="Y105" s="36"/>
      <c r="Z105" s="36"/>
    </row>
    <row r="106" spans="2:26" s="65" customFormat="1" x14ac:dyDescent="0.2">
      <c r="B106" s="1" t="s">
        <v>235</v>
      </c>
      <c r="C106" s="3" t="s">
        <v>37</v>
      </c>
      <c r="D106" s="3" t="s">
        <v>150</v>
      </c>
      <c r="E106" s="4">
        <v>36312</v>
      </c>
      <c r="F106" s="4">
        <v>36677</v>
      </c>
      <c r="G106" s="1" t="s">
        <v>38</v>
      </c>
      <c r="H106" s="1" t="s">
        <v>31</v>
      </c>
      <c r="I106" s="3" t="s">
        <v>149</v>
      </c>
      <c r="J106" s="8">
        <f t="shared" si="10"/>
        <v>0.10483333333333333</v>
      </c>
      <c r="K106" s="5">
        <v>1.32E-2</v>
      </c>
      <c r="L106" s="5">
        <v>2.2000000000000001E-3</v>
      </c>
      <c r="M106" s="5">
        <v>0</v>
      </c>
      <c r="N106" s="5">
        <v>0</v>
      </c>
      <c r="O106" s="46">
        <v>2.1160000000000002E-2</v>
      </c>
      <c r="P106" s="5">
        <f t="shared" si="11"/>
        <v>0.12023333333333333</v>
      </c>
      <c r="Q106" s="24">
        <v>63823</v>
      </c>
      <c r="R106" s="24">
        <v>63823</v>
      </c>
      <c r="S106" s="3">
        <v>310</v>
      </c>
      <c r="T106" s="1"/>
      <c r="U106" s="9">
        <f t="shared" si="12"/>
        <v>974.95</v>
      </c>
      <c r="V106" s="9"/>
      <c r="W106" s="59">
        <v>156615</v>
      </c>
      <c r="X106" s="1"/>
      <c r="Y106" s="36"/>
      <c r="Z106" s="36"/>
    </row>
    <row r="107" spans="2:26" s="65" customFormat="1" x14ac:dyDescent="0.2">
      <c r="B107" s="1" t="s">
        <v>235</v>
      </c>
      <c r="C107" s="3" t="s">
        <v>37</v>
      </c>
      <c r="D107" s="3" t="s">
        <v>49</v>
      </c>
      <c r="E107" s="4">
        <v>36312</v>
      </c>
      <c r="F107" s="4">
        <v>36677</v>
      </c>
      <c r="G107" s="1" t="s">
        <v>38</v>
      </c>
      <c r="H107" s="1" t="s">
        <v>31</v>
      </c>
      <c r="I107" s="3" t="s">
        <v>149</v>
      </c>
      <c r="J107" s="8">
        <f t="shared" si="10"/>
        <v>0.10483333333333333</v>
      </c>
      <c r="K107" s="5">
        <v>1.32E-2</v>
      </c>
      <c r="L107" s="5">
        <v>2.2000000000000001E-3</v>
      </c>
      <c r="M107" s="5">
        <v>0</v>
      </c>
      <c r="N107" s="5">
        <v>0</v>
      </c>
      <c r="O107" s="46">
        <v>2.1160000000000002E-2</v>
      </c>
      <c r="P107" s="5">
        <f t="shared" si="11"/>
        <v>0.12023333333333333</v>
      </c>
      <c r="Q107" s="24">
        <v>63826</v>
      </c>
      <c r="R107" s="24">
        <v>63826</v>
      </c>
      <c r="S107" s="3">
        <v>218</v>
      </c>
      <c r="T107" s="1"/>
      <c r="U107" s="9">
        <f t="shared" si="12"/>
        <v>685.61</v>
      </c>
      <c r="V107" s="9"/>
      <c r="W107" s="59">
        <v>156617</v>
      </c>
      <c r="X107" s="1"/>
      <c r="Y107" s="36"/>
      <c r="Z107" s="36"/>
    </row>
    <row r="108" spans="2:26" s="65" customFormat="1" x14ac:dyDescent="0.2">
      <c r="B108" s="1" t="s">
        <v>235</v>
      </c>
      <c r="C108" s="3" t="s">
        <v>37</v>
      </c>
      <c r="D108" s="3" t="s">
        <v>49</v>
      </c>
      <c r="E108" s="4">
        <v>36342</v>
      </c>
      <c r="F108" s="4">
        <v>36707</v>
      </c>
      <c r="G108" s="1" t="s">
        <v>38</v>
      </c>
      <c r="H108" s="1" t="s">
        <v>31</v>
      </c>
      <c r="I108" s="3" t="s">
        <v>149</v>
      </c>
      <c r="J108" s="8">
        <f t="shared" si="10"/>
        <v>0.10483333333333333</v>
      </c>
      <c r="K108" s="5">
        <v>1.32E-2</v>
      </c>
      <c r="L108" s="5">
        <v>2.2000000000000001E-3</v>
      </c>
      <c r="M108" s="5">
        <v>0</v>
      </c>
      <c r="N108" s="5">
        <v>0</v>
      </c>
      <c r="O108" s="46">
        <v>2.1160000000000002E-2</v>
      </c>
      <c r="P108" s="5">
        <f t="shared" si="11"/>
        <v>0.12023333333333333</v>
      </c>
      <c r="Q108" s="24">
        <v>64033</v>
      </c>
      <c r="R108" s="24">
        <v>64033</v>
      </c>
      <c r="S108" s="3">
        <v>1</v>
      </c>
      <c r="T108" s="1"/>
      <c r="U108" s="9">
        <f t="shared" si="12"/>
        <v>3.145</v>
      </c>
      <c r="V108" s="9"/>
      <c r="W108" s="59">
        <v>156618</v>
      </c>
      <c r="X108" s="1"/>
      <c r="Y108" s="36"/>
      <c r="Z108" s="36"/>
    </row>
    <row r="109" spans="2:26" s="65" customFormat="1" x14ac:dyDescent="0.2">
      <c r="B109" s="1" t="s">
        <v>235</v>
      </c>
      <c r="C109" s="3" t="s">
        <v>37</v>
      </c>
      <c r="D109" s="3" t="s">
        <v>150</v>
      </c>
      <c r="E109" s="4">
        <v>36342</v>
      </c>
      <c r="F109" s="4">
        <v>36707</v>
      </c>
      <c r="G109" s="1" t="s">
        <v>38</v>
      </c>
      <c r="H109" s="1" t="s">
        <v>31</v>
      </c>
      <c r="I109" s="3" t="s">
        <v>149</v>
      </c>
      <c r="J109" s="8">
        <f t="shared" si="10"/>
        <v>0.10483333333333333</v>
      </c>
      <c r="K109" s="5">
        <v>1.32E-2</v>
      </c>
      <c r="L109" s="5">
        <v>2.2000000000000001E-3</v>
      </c>
      <c r="M109" s="5">
        <v>0</v>
      </c>
      <c r="N109" s="5">
        <v>0</v>
      </c>
      <c r="O109" s="46">
        <v>2.1160000000000002E-2</v>
      </c>
      <c r="P109" s="5">
        <f t="shared" si="11"/>
        <v>0.12023333333333333</v>
      </c>
      <c r="Q109" s="24">
        <v>64035</v>
      </c>
      <c r="R109" s="24">
        <v>64035</v>
      </c>
      <c r="S109" s="3">
        <v>931</v>
      </c>
      <c r="T109" s="1"/>
      <c r="U109" s="9">
        <f t="shared" si="12"/>
        <v>2927.9949999999999</v>
      </c>
      <c r="V109" s="9"/>
      <c r="W109" s="59">
        <v>156620</v>
      </c>
      <c r="X109" s="1"/>
      <c r="Y109" s="36"/>
      <c r="Z109" s="36"/>
    </row>
    <row r="110" spans="2:26" s="65" customFormat="1" x14ac:dyDescent="0.2">
      <c r="B110" s="1" t="s">
        <v>235</v>
      </c>
      <c r="C110" s="3" t="s">
        <v>37</v>
      </c>
      <c r="D110" s="3" t="s">
        <v>49</v>
      </c>
      <c r="E110" s="4">
        <v>36373</v>
      </c>
      <c r="F110" s="4">
        <v>36738</v>
      </c>
      <c r="G110" s="1" t="s">
        <v>38</v>
      </c>
      <c r="H110" s="1" t="s">
        <v>31</v>
      </c>
      <c r="I110" s="3" t="s">
        <v>149</v>
      </c>
      <c r="J110" s="8">
        <f t="shared" si="10"/>
        <v>0.10483333333333333</v>
      </c>
      <c r="K110" s="5">
        <v>1.32E-2</v>
      </c>
      <c r="L110" s="5">
        <v>2.2000000000000001E-3</v>
      </c>
      <c r="M110" s="5">
        <v>0</v>
      </c>
      <c r="N110" s="5">
        <v>0</v>
      </c>
      <c r="O110" s="46">
        <v>2.1160000000000002E-2</v>
      </c>
      <c r="P110" s="5">
        <f t="shared" si="11"/>
        <v>0.12023333333333333</v>
      </c>
      <c r="Q110" s="24">
        <v>64332</v>
      </c>
      <c r="R110" s="24">
        <v>64332</v>
      </c>
      <c r="S110" s="3">
        <v>12</v>
      </c>
      <c r="T110" s="1"/>
      <c r="U110" s="9">
        <f t="shared" si="12"/>
        <v>37.74</v>
      </c>
      <c r="V110" s="9"/>
      <c r="W110" s="59">
        <v>156621</v>
      </c>
      <c r="X110" s="1"/>
      <c r="Y110" s="36"/>
      <c r="Z110" s="36"/>
    </row>
    <row r="111" spans="2:26" s="65" customFormat="1" x14ac:dyDescent="0.2">
      <c r="B111" s="1" t="s">
        <v>235</v>
      </c>
      <c r="C111" s="3" t="s">
        <v>37</v>
      </c>
      <c r="D111" s="3" t="s">
        <v>150</v>
      </c>
      <c r="E111" s="4">
        <v>36373</v>
      </c>
      <c r="F111" s="4">
        <v>36738</v>
      </c>
      <c r="G111" s="1" t="s">
        <v>38</v>
      </c>
      <c r="H111" s="1" t="s">
        <v>31</v>
      </c>
      <c r="I111" s="3" t="s">
        <v>149</v>
      </c>
      <c r="J111" s="8">
        <f t="shared" si="10"/>
        <v>0.10483333333333333</v>
      </c>
      <c r="K111" s="5">
        <v>1.32E-2</v>
      </c>
      <c r="L111" s="5">
        <v>2.2000000000000001E-3</v>
      </c>
      <c r="M111" s="5">
        <v>0</v>
      </c>
      <c r="N111" s="5">
        <v>0</v>
      </c>
      <c r="O111" s="46">
        <v>2.1160000000000002E-2</v>
      </c>
      <c r="P111" s="5">
        <f t="shared" si="11"/>
        <v>0.12023333333333333</v>
      </c>
      <c r="Q111" s="24">
        <v>64334</v>
      </c>
      <c r="R111" s="24">
        <v>64334</v>
      </c>
      <c r="S111" s="3">
        <v>52</v>
      </c>
      <c r="T111" s="1"/>
      <c r="U111" s="9">
        <f t="shared" si="12"/>
        <v>163.54</v>
      </c>
      <c r="V111" s="9"/>
      <c r="W111" s="59">
        <v>221878</v>
      </c>
      <c r="X111" s="1"/>
      <c r="Y111" s="36"/>
      <c r="Z111" s="36"/>
    </row>
    <row r="112" spans="2:26" s="65" customFormat="1" x14ac:dyDescent="0.2">
      <c r="B112" s="1" t="s">
        <v>235</v>
      </c>
      <c r="C112" s="3" t="s">
        <v>37</v>
      </c>
      <c r="D112" s="3"/>
      <c r="E112" s="4">
        <v>36373</v>
      </c>
      <c r="F112" s="4">
        <v>36738</v>
      </c>
      <c r="G112" s="1" t="s">
        <v>38</v>
      </c>
      <c r="H112" s="1" t="s">
        <v>434</v>
      </c>
      <c r="I112" s="3" t="s">
        <v>149</v>
      </c>
      <c r="J112" s="8">
        <f t="shared" si="10"/>
        <v>0.10483333333333333</v>
      </c>
      <c r="K112" s="5">
        <v>1.32E-2</v>
      </c>
      <c r="L112" s="5">
        <v>2.2000000000000001E-3</v>
      </c>
      <c r="M112" s="5">
        <v>0</v>
      </c>
      <c r="N112" s="5">
        <v>0</v>
      </c>
      <c r="O112" s="46">
        <v>2.1160000000000002E-2</v>
      </c>
      <c r="P112" s="5">
        <f>SUM(J112:N112)</f>
        <v>0.12023333333333333</v>
      </c>
      <c r="Q112" s="24">
        <v>64446</v>
      </c>
      <c r="R112" s="24"/>
      <c r="S112" s="3">
        <v>142</v>
      </c>
      <c r="T112" s="1"/>
      <c r="U112" s="9">
        <f>J112*J$1*S112</f>
        <v>446.59</v>
      </c>
      <c r="V112" s="9"/>
      <c r="W112" s="59">
        <v>221881</v>
      </c>
      <c r="X112" s="1"/>
      <c r="Y112" s="36"/>
      <c r="Z112" s="36"/>
    </row>
    <row r="113" spans="2:26" s="65" customFormat="1" x14ac:dyDescent="0.2">
      <c r="B113" s="1" t="s">
        <v>235</v>
      </c>
      <c r="C113" s="3" t="s">
        <v>37</v>
      </c>
      <c r="D113" s="3" t="s">
        <v>49</v>
      </c>
      <c r="E113" s="4">
        <v>36404</v>
      </c>
      <c r="F113" s="4">
        <v>36769</v>
      </c>
      <c r="G113" s="1" t="s">
        <v>38</v>
      </c>
      <c r="H113" s="1" t="s">
        <v>31</v>
      </c>
      <c r="I113" s="3" t="s">
        <v>149</v>
      </c>
      <c r="J113" s="8">
        <f t="shared" si="10"/>
        <v>0.10483333333333333</v>
      </c>
      <c r="K113" s="5">
        <v>1.32E-2</v>
      </c>
      <c r="L113" s="5">
        <v>2.2000000000000001E-3</v>
      </c>
      <c r="M113" s="5">
        <v>0</v>
      </c>
      <c r="N113" s="5">
        <v>0</v>
      </c>
      <c r="O113" s="46">
        <v>2.1160000000000002E-2</v>
      </c>
      <c r="P113" s="5">
        <f t="shared" si="11"/>
        <v>0.12023333333333333</v>
      </c>
      <c r="Q113" s="24">
        <v>64652</v>
      </c>
      <c r="R113" s="24">
        <v>64652</v>
      </c>
      <c r="S113" s="3">
        <v>65</v>
      </c>
      <c r="T113" s="1"/>
      <c r="U113" s="9">
        <f t="shared" si="12"/>
        <v>204.42500000000001</v>
      </c>
      <c r="V113" s="9"/>
      <c r="W113" s="59">
        <v>156623</v>
      </c>
      <c r="X113" s="1"/>
      <c r="Y113" s="36"/>
      <c r="Z113" s="36"/>
    </row>
    <row r="114" spans="2:26" s="65" customFormat="1" x14ac:dyDescent="0.2">
      <c r="B114" s="1" t="s">
        <v>235</v>
      </c>
      <c r="C114" s="3" t="s">
        <v>37</v>
      </c>
      <c r="D114" s="3" t="s">
        <v>49</v>
      </c>
      <c r="E114" s="4">
        <v>36434</v>
      </c>
      <c r="F114" s="4">
        <v>36799</v>
      </c>
      <c r="G114" s="1" t="s">
        <v>38</v>
      </c>
      <c r="H114" s="1" t="s">
        <v>31</v>
      </c>
      <c r="I114" s="3" t="s">
        <v>149</v>
      </c>
      <c r="J114" s="8">
        <f t="shared" si="10"/>
        <v>0.10483333333333333</v>
      </c>
      <c r="K114" s="5">
        <v>1.32E-2</v>
      </c>
      <c r="L114" s="5">
        <v>2.2000000000000001E-3</v>
      </c>
      <c r="M114" s="5">
        <v>0</v>
      </c>
      <c r="N114" s="5">
        <v>0</v>
      </c>
      <c r="O114" s="46">
        <v>2.1160000000000002E-2</v>
      </c>
      <c r="P114" s="5">
        <f t="shared" si="11"/>
        <v>0.12023333333333333</v>
      </c>
      <c r="Q114" s="24">
        <v>64863</v>
      </c>
      <c r="R114" s="24">
        <v>64863</v>
      </c>
      <c r="S114" s="3">
        <v>13</v>
      </c>
      <c r="T114" s="1"/>
      <c r="U114" s="9">
        <f t="shared" si="12"/>
        <v>40.884999999999998</v>
      </c>
      <c r="V114" s="9"/>
      <c r="W114" s="59">
        <v>156625</v>
      </c>
      <c r="X114" s="1"/>
      <c r="Y114" s="36"/>
      <c r="Z114" s="36"/>
    </row>
    <row r="115" spans="2:26" s="65" customFormat="1" x14ac:dyDescent="0.2">
      <c r="B115" s="1" t="s">
        <v>235</v>
      </c>
      <c r="C115" s="3" t="s">
        <v>37</v>
      </c>
      <c r="D115" s="3" t="s">
        <v>49</v>
      </c>
      <c r="E115" s="4">
        <v>36465</v>
      </c>
      <c r="F115" s="4">
        <v>36830</v>
      </c>
      <c r="G115" s="1" t="s">
        <v>38</v>
      </c>
      <c r="H115" s="1" t="s">
        <v>31</v>
      </c>
      <c r="I115" s="3"/>
      <c r="J115" s="8">
        <f>3.145/J$1</f>
        <v>0.10483333333333333</v>
      </c>
      <c r="K115" s="5">
        <v>1.32E-2</v>
      </c>
      <c r="L115" s="5">
        <v>2.2000000000000001E-3</v>
      </c>
      <c r="M115" s="5">
        <v>0</v>
      </c>
      <c r="N115" s="5">
        <v>0</v>
      </c>
      <c r="O115" s="46">
        <v>2.1160000000000002E-2</v>
      </c>
      <c r="P115" s="5">
        <f>SUM(J115:N115)</f>
        <v>0.12023333333333333</v>
      </c>
      <c r="Q115" s="24">
        <v>65027</v>
      </c>
      <c r="R115" s="24">
        <v>65027</v>
      </c>
      <c r="S115" s="3">
        <v>131</v>
      </c>
      <c r="T115" s="1" t="s">
        <v>44</v>
      </c>
      <c r="U115" s="9">
        <f t="shared" si="12"/>
        <v>411.995</v>
      </c>
      <c r="V115" s="9"/>
      <c r="W115" s="59">
        <v>156666</v>
      </c>
      <c r="X115" s="1" t="s">
        <v>43</v>
      </c>
      <c r="Y115" s="36"/>
      <c r="Z115" s="36"/>
    </row>
    <row r="116" spans="2:26" s="65" customFormat="1" x14ac:dyDescent="0.2">
      <c r="B116" s="1" t="s">
        <v>235</v>
      </c>
      <c r="C116" s="3" t="s">
        <v>37</v>
      </c>
      <c r="D116" s="3" t="s">
        <v>49</v>
      </c>
      <c r="E116" s="4">
        <v>36495</v>
      </c>
      <c r="F116" s="4">
        <v>36860</v>
      </c>
      <c r="G116" s="1" t="s">
        <v>38</v>
      </c>
      <c r="H116" s="1" t="s">
        <v>31</v>
      </c>
      <c r="I116" s="3" t="s">
        <v>149</v>
      </c>
      <c r="J116" s="8">
        <f>3.145/J$1</f>
        <v>0.10483333333333333</v>
      </c>
      <c r="K116" s="5">
        <v>1.32E-2</v>
      </c>
      <c r="L116" s="5">
        <v>2.2000000000000001E-3</v>
      </c>
      <c r="M116" s="5">
        <v>0</v>
      </c>
      <c r="N116" s="5">
        <v>0</v>
      </c>
      <c r="O116" s="46">
        <v>2.1160000000000002E-2</v>
      </c>
      <c r="P116" s="5">
        <f>SUM(J116:N116)</f>
        <v>0.12023333333333333</v>
      </c>
      <c r="Q116" s="24">
        <v>65557</v>
      </c>
      <c r="R116" s="24">
        <v>65557</v>
      </c>
      <c r="S116" s="3">
        <v>3</v>
      </c>
      <c r="T116" s="1"/>
      <c r="U116" s="9">
        <f>J116*J$1*S116</f>
        <v>9.4350000000000005</v>
      </c>
      <c r="V116" s="9"/>
      <c r="W116" s="59">
        <v>156669</v>
      </c>
      <c r="X116" s="1"/>
      <c r="Y116" s="36"/>
      <c r="Z116" s="36"/>
    </row>
    <row r="117" spans="2:26" s="91" customFormat="1" x14ac:dyDescent="0.2">
      <c r="B117" s="42" t="s">
        <v>235</v>
      </c>
      <c r="C117" s="79" t="s">
        <v>37</v>
      </c>
      <c r="D117" s="79" t="s">
        <v>137</v>
      </c>
      <c r="E117" s="80">
        <v>36617</v>
      </c>
      <c r="F117" s="80">
        <v>36646</v>
      </c>
      <c r="G117" s="42" t="s">
        <v>274</v>
      </c>
      <c r="H117" s="42" t="s">
        <v>275</v>
      </c>
      <c r="I117" s="79" t="s">
        <v>151</v>
      </c>
      <c r="J117" s="82">
        <f>1.0603/31</f>
        <v>3.4203225806451611E-2</v>
      </c>
      <c r="K117" s="83">
        <v>0</v>
      </c>
      <c r="L117" s="83">
        <v>2.2000000000000001E-3</v>
      </c>
      <c r="M117" s="83">
        <v>7.1999999999999998E-3</v>
      </c>
      <c r="N117" s="83">
        <v>0</v>
      </c>
      <c r="O117" s="84">
        <v>0</v>
      </c>
      <c r="P117" s="83">
        <f>SUM(J117:N117)</f>
        <v>4.3603225806451609E-2</v>
      </c>
      <c r="Q117" s="85">
        <v>66938</v>
      </c>
      <c r="R117" s="85">
        <v>66680</v>
      </c>
      <c r="S117" s="79">
        <v>177</v>
      </c>
      <c r="T117" s="42"/>
      <c r="U117" s="86">
        <f>J117*J$1*S117</f>
        <v>181.61912903225806</v>
      </c>
      <c r="V117" s="86"/>
      <c r="W117" s="87">
        <v>228160</v>
      </c>
      <c r="X117" s="42"/>
      <c r="Y117" s="90"/>
      <c r="Z117" s="90"/>
    </row>
    <row r="118" spans="2:26" s="91" customFormat="1" x14ac:dyDescent="0.2">
      <c r="B118" s="42" t="s">
        <v>235</v>
      </c>
      <c r="C118" s="79" t="s">
        <v>37</v>
      </c>
      <c r="D118" s="79" t="s">
        <v>137</v>
      </c>
      <c r="E118" s="80">
        <v>36617</v>
      </c>
      <c r="F118" s="80">
        <v>36646</v>
      </c>
      <c r="G118" s="42" t="s">
        <v>38</v>
      </c>
      <c r="H118" s="42" t="s">
        <v>31</v>
      </c>
      <c r="I118" s="79" t="s">
        <v>149</v>
      </c>
      <c r="J118" s="82">
        <f>3.145/J1</f>
        <v>0.10483333333333333</v>
      </c>
      <c r="K118" s="83">
        <v>0</v>
      </c>
      <c r="L118" s="83">
        <v>2.2000000000000001E-3</v>
      </c>
      <c r="M118" s="83">
        <v>7.1999999999999998E-3</v>
      </c>
      <c r="N118" s="83">
        <v>0</v>
      </c>
      <c r="O118" s="84">
        <v>0</v>
      </c>
      <c r="P118" s="83">
        <f>SUM(J118:N118)</f>
        <v>0.11423333333333333</v>
      </c>
      <c r="Q118" s="85">
        <v>66937</v>
      </c>
      <c r="R118" s="85">
        <v>66681</v>
      </c>
      <c r="S118" s="79">
        <v>172</v>
      </c>
      <c r="T118" s="42"/>
      <c r="U118" s="86">
        <f>J118*J$1*S118</f>
        <v>540.94000000000005</v>
      </c>
      <c r="V118" s="86"/>
      <c r="W118" s="87">
        <v>228163</v>
      </c>
      <c r="X118" s="42"/>
      <c r="Y118" s="90"/>
      <c r="Z118" s="90"/>
    </row>
    <row r="119" spans="2:26" s="65" customFormat="1" x14ac:dyDescent="0.2">
      <c r="B119" s="1" t="s">
        <v>235</v>
      </c>
      <c r="C119" s="3" t="s">
        <v>37</v>
      </c>
      <c r="D119" s="3" t="s">
        <v>49</v>
      </c>
      <c r="E119" s="4">
        <v>36557</v>
      </c>
      <c r="F119" s="4">
        <v>36922</v>
      </c>
      <c r="G119" s="1" t="s">
        <v>38</v>
      </c>
      <c r="H119" s="1" t="s">
        <v>31</v>
      </c>
      <c r="I119" s="3" t="s">
        <v>149</v>
      </c>
      <c r="J119" s="8">
        <f>3.145/31</f>
        <v>0.10145161290322581</v>
      </c>
      <c r="K119" s="5"/>
      <c r="L119" s="5"/>
      <c r="M119" s="5"/>
      <c r="N119" s="5"/>
      <c r="O119" s="46"/>
      <c r="P119" s="5"/>
      <c r="Q119" s="24">
        <v>66283</v>
      </c>
      <c r="R119" s="24"/>
      <c r="S119" s="3">
        <v>5</v>
      </c>
      <c r="T119" s="1"/>
      <c r="U119" s="137">
        <f>+J119*S119*31</f>
        <v>15.725000000000001</v>
      </c>
      <c r="V119" s="9"/>
      <c r="W119" s="59">
        <v>156674</v>
      </c>
      <c r="X119" s="1"/>
      <c r="Y119" s="36"/>
      <c r="Z119" s="36"/>
    </row>
    <row r="120" spans="2:26" s="91" customFormat="1" x14ac:dyDescent="0.2">
      <c r="B120" s="42" t="s">
        <v>235</v>
      </c>
      <c r="C120" s="79" t="s">
        <v>37</v>
      </c>
      <c r="D120" s="79" t="s">
        <v>446</v>
      </c>
      <c r="E120" s="80">
        <v>36617</v>
      </c>
      <c r="F120" s="80">
        <v>36981</v>
      </c>
      <c r="G120" s="42" t="s">
        <v>38</v>
      </c>
      <c r="H120" s="42" t="s">
        <v>31</v>
      </c>
      <c r="I120" s="79" t="s">
        <v>149</v>
      </c>
      <c r="J120" s="82">
        <f>3.15/J1</f>
        <v>0.105</v>
      </c>
      <c r="K120" s="83"/>
      <c r="L120" s="83"/>
      <c r="M120" s="83"/>
      <c r="N120" s="83"/>
      <c r="O120" s="84"/>
      <c r="P120" s="83"/>
      <c r="Q120" s="85">
        <v>66941</v>
      </c>
      <c r="R120" s="85"/>
      <c r="S120" s="79">
        <v>53</v>
      </c>
      <c r="T120" s="42"/>
      <c r="U120" s="93">
        <f>+J120*S120*31</f>
        <v>172.51499999999999</v>
      </c>
      <c r="V120" s="86"/>
      <c r="W120" s="87">
        <v>228122</v>
      </c>
      <c r="X120" s="42"/>
      <c r="Y120" s="90"/>
      <c r="Z120" s="90"/>
    </row>
    <row r="121" spans="2:26" s="91" customFormat="1" x14ac:dyDescent="0.2">
      <c r="B121" s="42" t="s">
        <v>235</v>
      </c>
      <c r="C121" s="79" t="s">
        <v>37</v>
      </c>
      <c r="D121" s="79" t="s">
        <v>49</v>
      </c>
      <c r="E121" s="80">
        <v>36586</v>
      </c>
      <c r="F121" s="80">
        <v>36950</v>
      </c>
      <c r="G121" s="42" t="s">
        <v>38</v>
      </c>
      <c r="H121" s="42" t="s">
        <v>31</v>
      </c>
      <c r="I121" s="79" t="s">
        <v>149</v>
      </c>
      <c r="J121" s="82">
        <v>3.145</v>
      </c>
      <c r="K121" s="83"/>
      <c r="L121" s="83"/>
      <c r="M121" s="83"/>
      <c r="N121" s="83"/>
      <c r="O121" s="84"/>
      <c r="P121" s="83"/>
      <c r="Q121" s="85">
        <v>66682</v>
      </c>
      <c r="R121" s="85"/>
      <c r="S121" s="79">
        <v>9</v>
      </c>
      <c r="T121" s="42"/>
      <c r="U121" s="86">
        <f>+J121*S121</f>
        <v>28.305</v>
      </c>
      <c r="V121" s="86"/>
      <c r="W121" s="87">
        <v>205604</v>
      </c>
      <c r="X121" s="42" t="s">
        <v>314</v>
      </c>
      <c r="Y121" s="90"/>
      <c r="Z121" s="90"/>
    </row>
    <row r="122" spans="2:26" s="91" customFormat="1" x14ac:dyDescent="0.2">
      <c r="B122" s="42"/>
      <c r="C122" s="79"/>
      <c r="D122" s="79"/>
      <c r="E122" s="80"/>
      <c r="F122" s="80"/>
      <c r="G122" s="42"/>
      <c r="H122" s="42"/>
      <c r="I122" s="79"/>
      <c r="J122" s="82"/>
      <c r="K122" s="83"/>
      <c r="L122" s="83"/>
      <c r="M122" s="83"/>
      <c r="N122" s="83"/>
      <c r="O122" s="84"/>
      <c r="P122" s="83"/>
      <c r="Q122" s="85"/>
      <c r="R122" s="85"/>
      <c r="S122" s="79"/>
      <c r="T122" s="42"/>
      <c r="U122" s="86"/>
      <c r="V122" s="86"/>
      <c r="W122" s="87"/>
      <c r="X122" s="42"/>
      <c r="Y122" s="90"/>
      <c r="Z122" s="90"/>
    </row>
    <row r="124" spans="2:26" s="65" customFormat="1" x14ac:dyDescent="0.2">
      <c r="B124" s="1"/>
      <c r="C124" s="3"/>
      <c r="D124" s="3"/>
      <c r="E124" s="4"/>
      <c r="F124" s="4"/>
      <c r="G124" s="1"/>
      <c r="H124" s="1"/>
      <c r="I124" s="3"/>
      <c r="J124" s="8"/>
      <c r="K124" s="5"/>
      <c r="L124" s="5"/>
      <c r="M124" s="5"/>
      <c r="N124" s="5"/>
      <c r="O124" s="46"/>
      <c r="P124" s="5"/>
      <c r="Q124" s="24"/>
      <c r="R124" s="24"/>
      <c r="S124" s="3"/>
      <c r="T124" s="1"/>
      <c r="U124" s="9"/>
      <c r="V124" s="9"/>
      <c r="W124" s="59"/>
      <c r="X124" s="1"/>
      <c r="Y124" s="36"/>
      <c r="Z124" s="36"/>
    </row>
    <row r="125" spans="2:26" x14ac:dyDescent="0.2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6"/>
      <c r="P125" s="5"/>
      <c r="Q125" s="24"/>
      <c r="R125" s="24"/>
      <c r="S125" s="2">
        <f>SUM(S100:S123)</f>
        <v>2387</v>
      </c>
      <c r="T125" s="3"/>
      <c r="U125" s="9">
        <f>SUM(U100:U124)</f>
        <v>7137.8991290322583</v>
      </c>
      <c r="V125" s="9"/>
      <c r="W125" s="59"/>
      <c r="X125" s="1"/>
      <c r="Y125" s="36"/>
      <c r="Z125" s="36"/>
    </row>
    <row r="126" spans="2:26" x14ac:dyDescent="0.2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53</v>
      </c>
      <c r="J126" s="19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47" t="s">
        <v>15</v>
      </c>
      <c r="P126" s="17" t="s">
        <v>16</v>
      </c>
      <c r="Q126" s="20" t="s">
        <v>233</v>
      </c>
      <c r="R126" s="20" t="s">
        <v>232</v>
      </c>
      <c r="S126" s="17" t="s">
        <v>17</v>
      </c>
      <c r="T126" s="16" t="s">
        <v>18</v>
      </c>
      <c r="U126" s="21" t="s">
        <v>52</v>
      </c>
      <c r="V126" s="21" t="s">
        <v>51</v>
      </c>
      <c r="W126" s="57" t="s">
        <v>234</v>
      </c>
      <c r="X126" s="62">
        <f>+X70</f>
        <v>0</v>
      </c>
      <c r="Y126" s="36"/>
      <c r="Z126" s="36"/>
    </row>
    <row r="127" spans="2:26" s="65" customFormat="1" ht="12" customHeight="1" x14ac:dyDescent="0.2">
      <c r="B127" s="1" t="s">
        <v>235</v>
      </c>
      <c r="C127" s="3" t="s">
        <v>365</v>
      </c>
      <c r="D127" s="3" t="s">
        <v>299</v>
      </c>
      <c r="E127" s="4">
        <v>35612</v>
      </c>
      <c r="F127" s="4">
        <v>37437</v>
      </c>
      <c r="G127" s="29" t="s">
        <v>366</v>
      </c>
      <c r="H127" s="1" t="s">
        <v>367</v>
      </c>
      <c r="I127" s="3" t="s">
        <v>57</v>
      </c>
      <c r="J127" s="82">
        <f>+(5.6195+1.3875+0.2)/J$1</f>
        <v>0.24023333333333335</v>
      </c>
      <c r="K127" s="5">
        <v>0</v>
      </c>
      <c r="L127" s="5">
        <v>2.2000000000000001E-3</v>
      </c>
      <c r="M127" s="5">
        <v>7.1999999999999998E-3</v>
      </c>
      <c r="N127" s="5">
        <v>0</v>
      </c>
      <c r="O127" s="46">
        <v>0</v>
      </c>
      <c r="P127" s="5">
        <f>SUM(J127:N127)</f>
        <v>0.24963333333333337</v>
      </c>
      <c r="Q127" s="24">
        <v>270</v>
      </c>
      <c r="R127" s="24"/>
      <c r="S127" s="3">
        <v>1000</v>
      </c>
      <c r="T127" s="1"/>
      <c r="U127" s="9">
        <f>J127*J$1*S127</f>
        <v>7207.0000000000009</v>
      </c>
      <c r="V127" s="9"/>
      <c r="W127" s="59">
        <v>149901</v>
      </c>
      <c r="X127" s="1"/>
      <c r="Y127" s="36"/>
      <c r="Z127" s="36"/>
    </row>
    <row r="128" spans="2:26" s="65" customFormat="1" ht="12" customHeight="1" x14ac:dyDescent="0.2">
      <c r="B128" s="1"/>
      <c r="C128" s="3"/>
      <c r="D128" s="3"/>
      <c r="E128" s="4"/>
      <c r="F128" s="4"/>
      <c r="G128" s="29"/>
      <c r="H128" s="29"/>
      <c r="I128" s="3"/>
      <c r="J128" s="8"/>
      <c r="K128" s="5"/>
      <c r="L128" s="5"/>
      <c r="M128" s="5"/>
      <c r="N128" s="5"/>
      <c r="O128" s="46"/>
      <c r="P128" s="5"/>
      <c r="Q128" s="24"/>
      <c r="R128" s="24"/>
      <c r="S128" s="3"/>
      <c r="T128" s="1"/>
      <c r="U128" s="9"/>
      <c r="V128" s="9"/>
      <c r="W128" s="59"/>
      <c r="X128" s="1"/>
      <c r="Y128" s="36"/>
      <c r="Z128" s="36"/>
    </row>
    <row r="129" spans="1:26" x14ac:dyDescent="0.2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53</v>
      </c>
      <c r="J129" s="19" t="s">
        <v>10</v>
      </c>
      <c r="K129" s="17" t="s">
        <v>11</v>
      </c>
      <c r="L129" s="17" t="s">
        <v>12</v>
      </c>
      <c r="M129" s="17" t="s">
        <v>13</v>
      </c>
      <c r="N129" s="17" t="s">
        <v>14</v>
      </c>
      <c r="O129" s="47" t="s">
        <v>15</v>
      </c>
      <c r="P129" s="17" t="s">
        <v>16</v>
      </c>
      <c r="Q129" s="20" t="s">
        <v>233</v>
      </c>
      <c r="R129" s="20" t="s">
        <v>232</v>
      </c>
      <c r="S129" s="17" t="s">
        <v>17</v>
      </c>
      <c r="T129" s="16" t="s">
        <v>18</v>
      </c>
      <c r="U129" s="21" t="s">
        <v>52</v>
      </c>
      <c r="V129" s="21" t="s">
        <v>51</v>
      </c>
      <c r="W129" s="57" t="s">
        <v>234</v>
      </c>
      <c r="X129" s="62">
        <f>+X73</f>
        <v>0</v>
      </c>
      <c r="Y129" s="36"/>
      <c r="Z129" s="36"/>
    </row>
    <row r="130" spans="1:26" s="91" customFormat="1" ht="12" customHeight="1" x14ac:dyDescent="0.2">
      <c r="B130" s="42" t="s">
        <v>235</v>
      </c>
      <c r="C130" s="79" t="s">
        <v>270</v>
      </c>
      <c r="D130" s="79" t="s">
        <v>271</v>
      </c>
      <c r="E130" s="80">
        <v>36586</v>
      </c>
      <c r="F130" s="80">
        <v>36616</v>
      </c>
      <c r="G130" s="81"/>
      <c r="H130" s="81"/>
      <c r="I130" s="79" t="s">
        <v>272</v>
      </c>
      <c r="J130" s="82">
        <v>3.0259999999999999E-2</v>
      </c>
      <c r="K130" s="83">
        <v>0</v>
      </c>
      <c r="L130" s="83">
        <v>2.2000000000000001E-3</v>
      </c>
      <c r="M130" s="83">
        <v>7.1999999999999998E-3</v>
      </c>
      <c r="N130" s="83">
        <v>0</v>
      </c>
      <c r="O130" s="84">
        <v>0</v>
      </c>
      <c r="P130" s="83">
        <f>SUM(J130:N130)</f>
        <v>3.9659999999999994E-2</v>
      </c>
      <c r="Q130" s="85" t="s">
        <v>273</v>
      </c>
      <c r="R130" s="85"/>
      <c r="S130" s="79">
        <v>841904</v>
      </c>
      <c r="T130" s="42"/>
      <c r="U130" s="86">
        <f>J130*J$1*S130</f>
        <v>764280.45119999989</v>
      </c>
      <c r="V130" s="86"/>
      <c r="W130" s="87">
        <v>212249</v>
      </c>
      <c r="X130" s="42" t="s">
        <v>319</v>
      </c>
      <c r="Y130" s="90"/>
      <c r="Z130" s="90"/>
    </row>
    <row r="131" spans="1:26" s="91" customFormat="1" ht="12" customHeight="1" x14ac:dyDescent="0.2">
      <c r="B131" s="42" t="s">
        <v>235</v>
      </c>
      <c r="C131" s="79" t="s">
        <v>270</v>
      </c>
      <c r="D131" s="79" t="s">
        <v>271</v>
      </c>
      <c r="E131" s="80">
        <v>36586</v>
      </c>
      <c r="F131" s="80">
        <v>36616</v>
      </c>
      <c r="G131" s="81"/>
      <c r="H131" s="81"/>
      <c r="I131" s="79" t="s">
        <v>272</v>
      </c>
      <c r="J131" s="82">
        <f>1.475/31</f>
        <v>4.7580645161290326E-2</v>
      </c>
      <c r="K131" s="83">
        <v>0</v>
      </c>
      <c r="L131" s="83">
        <v>2.2000000000000001E-3</v>
      </c>
      <c r="M131" s="83">
        <v>7.1999999999999998E-3</v>
      </c>
      <c r="N131" s="83">
        <v>0</v>
      </c>
      <c r="O131" s="84">
        <v>0</v>
      </c>
      <c r="P131" s="83">
        <f>SUM(J131:N131)</f>
        <v>5.6980645161290325E-2</v>
      </c>
      <c r="Q131" s="85" t="s">
        <v>273</v>
      </c>
      <c r="R131" s="85"/>
      <c r="S131" s="79">
        <v>16998</v>
      </c>
      <c r="T131" s="42"/>
      <c r="U131" s="86">
        <f>J131*J$1*S131</f>
        <v>24263.274193548386</v>
      </c>
      <c r="V131" s="86"/>
      <c r="W131" s="87">
        <v>212249</v>
      </c>
      <c r="X131" s="42" t="s">
        <v>319</v>
      </c>
      <c r="Y131" s="90"/>
      <c r="Z131" s="90"/>
    </row>
    <row r="132" spans="1:26" s="65" customFormat="1" ht="12" customHeight="1" x14ac:dyDescent="0.2">
      <c r="B132" s="1" t="s">
        <v>235</v>
      </c>
      <c r="C132" s="3" t="s">
        <v>270</v>
      </c>
      <c r="D132" s="3" t="s">
        <v>271</v>
      </c>
      <c r="E132" s="4">
        <v>36586</v>
      </c>
      <c r="F132" s="4">
        <v>36616</v>
      </c>
      <c r="G132" s="29"/>
      <c r="H132" s="29"/>
      <c r="I132" s="3" t="s">
        <v>162</v>
      </c>
      <c r="J132" s="8">
        <f>11.2809/30</f>
        <v>0.37603000000000003</v>
      </c>
      <c r="K132" s="5"/>
      <c r="L132" s="5"/>
      <c r="M132" s="5"/>
      <c r="N132" s="5"/>
      <c r="O132" s="46"/>
      <c r="P132" s="5"/>
      <c r="Q132" s="24" t="s">
        <v>451</v>
      </c>
      <c r="R132" s="24"/>
      <c r="S132" s="3">
        <v>31112</v>
      </c>
      <c r="T132" s="1"/>
      <c r="U132" s="86">
        <f>J132*J$1*S132</f>
        <v>350971.36080000002</v>
      </c>
      <c r="V132" s="9"/>
      <c r="W132" s="59">
        <v>226726</v>
      </c>
      <c r="X132" s="1" t="s">
        <v>452</v>
      </c>
      <c r="Y132" s="36"/>
      <c r="Z132" s="36"/>
    </row>
    <row r="133" spans="1:26" s="65" customFormat="1" ht="12" customHeight="1" x14ac:dyDescent="0.2">
      <c r="B133" s="1"/>
      <c r="C133" s="3"/>
      <c r="D133" s="3"/>
      <c r="E133" s="4"/>
      <c r="F133" s="4"/>
      <c r="G133" s="29"/>
      <c r="H133" s="29"/>
      <c r="I133" s="3"/>
      <c r="J133" s="8">
        <f>9.8771/31</f>
        <v>0.31861612903225806</v>
      </c>
      <c r="K133" s="5"/>
      <c r="L133" s="5"/>
      <c r="M133" s="5"/>
      <c r="N133" s="5"/>
      <c r="O133" s="46"/>
      <c r="P133" s="5"/>
      <c r="Q133" s="24" t="s">
        <v>451</v>
      </c>
      <c r="R133" s="24"/>
      <c r="S133" s="3">
        <f>509*1.02</f>
        <v>519.18000000000006</v>
      </c>
      <c r="T133" s="1"/>
      <c r="U133" s="86">
        <f>J133*J$1*S133</f>
        <v>4962.5736561290323</v>
      </c>
      <c r="V133" s="9"/>
      <c r="W133" s="59"/>
      <c r="X133" s="1" t="s">
        <v>320</v>
      </c>
      <c r="Y133" s="36"/>
      <c r="Z133" s="36"/>
    </row>
    <row r="134" spans="1:26" s="65" customFormat="1" ht="12" customHeight="1" x14ac:dyDescent="0.2">
      <c r="B134" s="1"/>
      <c r="C134" s="3"/>
      <c r="D134" s="3"/>
      <c r="E134" s="4"/>
      <c r="F134" s="4"/>
      <c r="G134" s="29"/>
      <c r="H134" s="29"/>
      <c r="I134" s="3"/>
      <c r="J134" s="8"/>
      <c r="K134" s="5"/>
      <c r="L134" s="5"/>
      <c r="M134" s="5"/>
      <c r="N134" s="5"/>
      <c r="O134" s="46"/>
      <c r="P134" s="5"/>
      <c r="Q134" s="24"/>
      <c r="R134" s="24"/>
      <c r="S134" s="3"/>
      <c r="T134" s="1"/>
      <c r="U134" s="86"/>
      <c r="V134" s="9"/>
      <c r="W134" s="59"/>
      <c r="X134" s="1"/>
      <c r="Y134" s="36"/>
      <c r="Z134" s="36"/>
    </row>
    <row r="135" spans="1:26" s="65" customFormat="1" ht="12" customHeight="1" x14ac:dyDescent="0.2">
      <c r="B135" s="1" t="s">
        <v>235</v>
      </c>
      <c r="C135" s="3" t="s">
        <v>321</v>
      </c>
      <c r="D135" s="3" t="s">
        <v>271</v>
      </c>
      <c r="E135" s="4">
        <v>36586</v>
      </c>
      <c r="F135" s="4">
        <v>36616</v>
      </c>
      <c r="G135" s="1" t="s">
        <v>213</v>
      </c>
      <c r="H135" s="1" t="s">
        <v>213</v>
      </c>
      <c r="I135" s="3" t="s">
        <v>162</v>
      </c>
      <c r="J135" s="8"/>
      <c r="K135" s="5"/>
      <c r="L135" s="5"/>
      <c r="M135" s="5"/>
      <c r="N135" s="5"/>
      <c r="O135" s="46"/>
      <c r="P135" s="5"/>
      <c r="Q135" s="24" t="s">
        <v>323</v>
      </c>
      <c r="R135" s="24"/>
      <c r="S135" s="3">
        <v>517</v>
      </c>
      <c r="T135" s="1"/>
      <c r="U135" s="86">
        <f>J135*J$1*S135</f>
        <v>0</v>
      </c>
      <c r="V135" s="9"/>
      <c r="W135" s="59"/>
      <c r="X135" s="1" t="s">
        <v>322</v>
      </c>
      <c r="Y135" s="36"/>
      <c r="Z135" s="36"/>
    </row>
    <row r="136" spans="1:26" s="65" customFormat="1" x14ac:dyDescent="0.2">
      <c r="B136" s="1"/>
      <c r="C136" s="3"/>
      <c r="D136" s="3"/>
      <c r="E136" s="4"/>
      <c r="F136" s="4"/>
      <c r="G136" s="29"/>
      <c r="H136" s="29"/>
      <c r="I136" s="3"/>
      <c r="J136" s="8"/>
      <c r="K136" s="5"/>
      <c r="L136" s="5"/>
      <c r="M136" s="5"/>
      <c r="N136" s="5"/>
      <c r="O136" s="46"/>
      <c r="P136" s="5"/>
      <c r="Q136" s="24"/>
      <c r="R136" s="24"/>
      <c r="S136" s="3"/>
      <c r="T136" s="1"/>
      <c r="U136" s="9">
        <f>SUM(U130:U135)</f>
        <v>1144477.6598496772</v>
      </c>
      <c r="V136" s="9"/>
      <c r="W136" s="59"/>
      <c r="X136" s="1"/>
      <c r="Y136" s="36"/>
      <c r="Z136" s="36"/>
    </row>
    <row r="137" spans="1:26" x14ac:dyDescent="0.2">
      <c r="B137" s="16" t="s">
        <v>4</v>
      </c>
      <c r="C137" s="17" t="s">
        <v>5</v>
      </c>
      <c r="D137" s="17" t="s">
        <v>6</v>
      </c>
      <c r="E137" s="18" t="s">
        <v>7</v>
      </c>
      <c r="F137" s="18"/>
      <c r="G137" s="16" t="s">
        <v>8</v>
      </c>
      <c r="H137" s="16" t="s">
        <v>9</v>
      </c>
      <c r="I137" s="17" t="s">
        <v>53</v>
      </c>
      <c r="J137" s="19" t="s">
        <v>10</v>
      </c>
      <c r="K137" s="17" t="s">
        <v>11</v>
      </c>
      <c r="L137" s="17" t="s">
        <v>12</v>
      </c>
      <c r="M137" s="17" t="s">
        <v>13</v>
      </c>
      <c r="N137" s="17" t="s">
        <v>14</v>
      </c>
      <c r="O137" s="47" t="s">
        <v>15</v>
      </c>
      <c r="P137" s="17" t="s">
        <v>16</v>
      </c>
      <c r="Q137" s="20" t="s">
        <v>233</v>
      </c>
      <c r="R137" s="20" t="s">
        <v>232</v>
      </c>
      <c r="S137" s="17" t="s">
        <v>17</v>
      </c>
      <c r="T137" s="16" t="s">
        <v>18</v>
      </c>
      <c r="U137" s="21" t="s">
        <v>52</v>
      </c>
      <c r="V137" s="21" t="s">
        <v>51</v>
      </c>
      <c r="W137" s="57" t="s">
        <v>234</v>
      </c>
      <c r="X137" s="62">
        <f>+X76</f>
        <v>0</v>
      </c>
      <c r="Y137" s="36"/>
      <c r="Z137" s="36"/>
    </row>
    <row r="138" spans="1:26" s="65" customFormat="1" x14ac:dyDescent="0.2">
      <c r="A138" s="65" t="s">
        <v>211</v>
      </c>
      <c r="B138" s="1" t="s">
        <v>235</v>
      </c>
      <c r="C138" s="3" t="s">
        <v>2</v>
      </c>
      <c r="D138" s="3" t="s">
        <v>137</v>
      </c>
      <c r="E138" s="4">
        <v>36557</v>
      </c>
      <c r="F138" s="4">
        <v>36677</v>
      </c>
      <c r="G138" s="29" t="s">
        <v>138</v>
      </c>
      <c r="H138" s="29" t="s">
        <v>139</v>
      </c>
      <c r="I138" s="3" t="s">
        <v>140</v>
      </c>
      <c r="J138" s="8">
        <f>14.76/J$1</f>
        <v>0.49199999999999999</v>
      </c>
      <c r="K138" s="5">
        <v>0</v>
      </c>
      <c r="L138" s="5">
        <v>2.2000000000000001E-3</v>
      </c>
      <c r="M138" s="5">
        <v>7.1999999999999998E-3</v>
      </c>
      <c r="N138" s="5">
        <v>0</v>
      </c>
      <c r="O138" s="46">
        <v>0</v>
      </c>
      <c r="P138" s="5">
        <f t="shared" ref="P138:P144" si="13">SUM(J138:N138)</f>
        <v>0.50139999999999996</v>
      </c>
      <c r="Q138" s="24">
        <v>32337</v>
      </c>
      <c r="R138" s="24">
        <v>31372</v>
      </c>
      <c r="S138" s="3">
        <v>431</v>
      </c>
      <c r="T138" s="1" t="s">
        <v>29</v>
      </c>
      <c r="U138" s="9">
        <f t="shared" ref="U138:U144" si="14">J138*J$1*S138</f>
        <v>6361.5599999999995</v>
      </c>
      <c r="V138" s="9"/>
      <c r="W138" s="59">
        <v>157612</v>
      </c>
      <c r="X138" s="1"/>
      <c r="Y138" s="36"/>
      <c r="Z138" s="36"/>
    </row>
    <row r="139" spans="1:26" s="65" customFormat="1" x14ac:dyDescent="0.2">
      <c r="A139" s="65" t="s">
        <v>211</v>
      </c>
      <c r="B139" s="1" t="s">
        <v>235</v>
      </c>
      <c r="C139" s="3" t="s">
        <v>2</v>
      </c>
      <c r="D139" s="3" t="s">
        <v>100</v>
      </c>
      <c r="E139" s="4">
        <v>36557</v>
      </c>
      <c r="F139" s="4">
        <v>36677</v>
      </c>
      <c r="G139" s="29" t="s">
        <v>142</v>
      </c>
      <c r="H139" s="29" t="s">
        <v>141</v>
      </c>
      <c r="I139" s="3" t="s">
        <v>140</v>
      </c>
      <c r="J139" s="8">
        <f>13.28/J$1</f>
        <v>0.44266666666666665</v>
      </c>
      <c r="K139" s="5">
        <v>0</v>
      </c>
      <c r="L139" s="5">
        <v>2.2000000000000001E-3</v>
      </c>
      <c r="M139" s="5">
        <v>7.1999999999999998E-3</v>
      </c>
      <c r="N139" s="5">
        <v>0</v>
      </c>
      <c r="O139" s="46">
        <v>0</v>
      </c>
      <c r="P139" s="5">
        <f t="shared" si="13"/>
        <v>0.45206666666666662</v>
      </c>
      <c r="Q139" s="24">
        <v>32336</v>
      </c>
      <c r="R139" s="24">
        <v>31533</v>
      </c>
      <c r="S139" s="3">
        <v>48</v>
      </c>
      <c r="T139" s="1" t="s">
        <v>29</v>
      </c>
      <c r="U139" s="9">
        <f t="shared" si="14"/>
        <v>637.43999999999994</v>
      </c>
      <c r="V139" s="9"/>
      <c r="W139" s="59">
        <v>157613</v>
      </c>
      <c r="X139" s="1"/>
      <c r="Y139" s="36"/>
      <c r="Z139" s="36"/>
    </row>
    <row r="140" spans="1:26" s="91" customFormat="1" x14ac:dyDescent="0.2">
      <c r="B140" s="42" t="s">
        <v>235</v>
      </c>
      <c r="C140" s="79" t="s">
        <v>2</v>
      </c>
      <c r="D140" s="79" t="s">
        <v>143</v>
      </c>
      <c r="E140" s="80">
        <v>36617</v>
      </c>
      <c r="F140" s="80">
        <v>36646</v>
      </c>
      <c r="G140" s="42" t="s">
        <v>144</v>
      </c>
      <c r="H140" s="81" t="s">
        <v>145</v>
      </c>
      <c r="I140" s="79" t="s">
        <v>140</v>
      </c>
      <c r="J140" s="82">
        <f>6.79/30</f>
        <v>0.22633333333333333</v>
      </c>
      <c r="K140" s="83">
        <v>7.6300000000000007E-2</v>
      </c>
      <c r="L140" s="83">
        <v>2.2000000000000001E-3</v>
      </c>
      <c r="M140" s="83">
        <v>7.1999999999999998E-3</v>
      </c>
      <c r="N140" s="83">
        <v>0</v>
      </c>
      <c r="O140" s="84">
        <v>2.7900000000000001E-2</v>
      </c>
      <c r="P140" s="83">
        <f t="shared" si="13"/>
        <v>0.31203333333333327</v>
      </c>
      <c r="Q140" s="85">
        <v>32774</v>
      </c>
      <c r="R140" s="85"/>
      <c r="S140" s="79">
        <v>3612</v>
      </c>
      <c r="T140" s="42" t="s">
        <v>29</v>
      </c>
      <c r="U140" s="86">
        <f t="shared" si="14"/>
        <v>24525.48</v>
      </c>
      <c r="V140" s="86"/>
      <c r="W140" s="87">
        <v>204555</v>
      </c>
      <c r="X140" s="42" t="s">
        <v>146</v>
      </c>
      <c r="Y140" s="90"/>
      <c r="Z140" s="90"/>
    </row>
    <row r="141" spans="1:26" s="65" customFormat="1" x14ac:dyDescent="0.2">
      <c r="B141" s="1" t="s">
        <v>235</v>
      </c>
      <c r="C141" s="3" t="s">
        <v>2</v>
      </c>
      <c r="D141" s="3"/>
      <c r="E141" s="4">
        <v>36586</v>
      </c>
      <c r="F141" s="4">
        <v>36616</v>
      </c>
      <c r="G141" s="29" t="s">
        <v>147</v>
      </c>
      <c r="H141" s="29" t="s">
        <v>148</v>
      </c>
      <c r="I141" s="3" t="s">
        <v>140</v>
      </c>
      <c r="J141" s="8">
        <v>0</v>
      </c>
      <c r="K141" s="5">
        <v>0</v>
      </c>
      <c r="L141" s="5">
        <v>2.2000000000000001E-3</v>
      </c>
      <c r="M141" s="5">
        <v>7.1999999999999998E-3</v>
      </c>
      <c r="N141" s="5">
        <v>0</v>
      </c>
      <c r="O141" s="46">
        <v>0</v>
      </c>
      <c r="P141" s="5">
        <f t="shared" si="13"/>
        <v>9.4000000000000004E-3</v>
      </c>
      <c r="Q141" s="24">
        <v>32645</v>
      </c>
      <c r="R141" s="24">
        <v>31957</v>
      </c>
      <c r="S141" s="3">
        <v>769</v>
      </c>
      <c r="T141" s="1" t="s">
        <v>29</v>
      </c>
      <c r="U141" s="9">
        <f t="shared" si="14"/>
        <v>0</v>
      </c>
      <c r="V141" s="9"/>
      <c r="W141" s="59">
        <v>204715</v>
      </c>
      <c r="X141" s="1" t="s">
        <v>146</v>
      </c>
      <c r="Y141" s="36"/>
      <c r="Z141" s="36"/>
    </row>
    <row r="142" spans="1:26" s="91" customFormat="1" x14ac:dyDescent="0.2">
      <c r="B142" s="42" t="s">
        <v>235</v>
      </c>
      <c r="C142" s="79" t="s">
        <v>207</v>
      </c>
      <c r="D142" s="79" t="s">
        <v>143</v>
      </c>
      <c r="E142" s="80">
        <v>36617</v>
      </c>
      <c r="F142" s="80">
        <v>36646</v>
      </c>
      <c r="G142" s="42" t="s">
        <v>208</v>
      </c>
      <c r="H142" s="42" t="s">
        <v>143</v>
      </c>
      <c r="I142" s="79" t="s">
        <v>140</v>
      </c>
      <c r="J142" s="82">
        <f>11.95/30</f>
        <v>0.39833333333333332</v>
      </c>
      <c r="K142" s="83">
        <v>0</v>
      </c>
      <c r="L142" s="83">
        <v>2.2000000000000001E-3</v>
      </c>
      <c r="M142" s="83">
        <v>7.1999999999999998E-3</v>
      </c>
      <c r="N142" s="83">
        <v>0</v>
      </c>
      <c r="O142" s="84">
        <v>2.2200000000000001E-2</v>
      </c>
      <c r="P142" s="83">
        <f t="shared" si="13"/>
        <v>0.40773333333333328</v>
      </c>
      <c r="Q142" s="85">
        <v>32776</v>
      </c>
      <c r="R142" s="85"/>
      <c r="S142" s="79">
        <v>4029</v>
      </c>
      <c r="T142" s="42" t="s">
        <v>29</v>
      </c>
      <c r="U142" s="86">
        <f t="shared" si="14"/>
        <v>48146.549999999996</v>
      </c>
      <c r="V142" s="86"/>
      <c r="W142" s="87">
        <v>226577</v>
      </c>
      <c r="X142" s="42" t="s">
        <v>146</v>
      </c>
      <c r="Y142" s="90"/>
      <c r="Z142" s="90"/>
    </row>
    <row r="143" spans="1:26" s="65" customFormat="1" x14ac:dyDescent="0.2">
      <c r="B143" s="1" t="s">
        <v>235</v>
      </c>
      <c r="C143" s="3" t="s">
        <v>212</v>
      </c>
      <c r="D143" s="3" t="s">
        <v>204</v>
      </c>
      <c r="E143" s="4">
        <v>36586</v>
      </c>
      <c r="F143" s="4">
        <v>36616</v>
      </c>
      <c r="G143" s="29" t="s">
        <v>205</v>
      </c>
      <c r="H143" s="29" t="s">
        <v>206</v>
      </c>
      <c r="I143" s="3" t="s">
        <v>140</v>
      </c>
      <c r="J143" s="8">
        <f>1.5/31</f>
        <v>4.8387096774193547E-2</v>
      </c>
      <c r="K143" s="5">
        <v>8.9999999999999993E-3</v>
      </c>
      <c r="L143" s="5">
        <v>2.2000000000000001E-3</v>
      </c>
      <c r="M143" s="5">
        <v>7.1999999999999998E-3</v>
      </c>
      <c r="N143" s="5">
        <v>0</v>
      </c>
      <c r="O143" s="46">
        <v>0</v>
      </c>
      <c r="P143" s="5">
        <f t="shared" si="13"/>
        <v>6.6787096774193547E-2</v>
      </c>
      <c r="Q143" s="24">
        <v>32576</v>
      </c>
      <c r="R143" s="24">
        <v>32425</v>
      </c>
      <c r="S143" s="3">
        <v>5000</v>
      </c>
      <c r="T143" s="1" t="s">
        <v>29</v>
      </c>
      <c r="U143" s="9">
        <f t="shared" si="14"/>
        <v>7258.0645161290322</v>
      </c>
      <c r="V143" s="9"/>
      <c r="W143" s="59">
        <v>203525</v>
      </c>
      <c r="X143" s="1" t="s">
        <v>146</v>
      </c>
      <c r="Y143" s="36"/>
      <c r="Z143" s="36"/>
    </row>
    <row r="144" spans="1:26" s="65" customFormat="1" x14ac:dyDescent="0.2">
      <c r="B144" s="1" t="s">
        <v>235</v>
      </c>
      <c r="C144" s="3" t="s">
        <v>212</v>
      </c>
      <c r="D144" s="3" t="s">
        <v>204</v>
      </c>
      <c r="E144" s="4">
        <v>36557</v>
      </c>
      <c r="F144" s="4">
        <v>36585</v>
      </c>
      <c r="G144" s="1" t="s">
        <v>205</v>
      </c>
      <c r="H144" s="1" t="s">
        <v>206</v>
      </c>
      <c r="I144" s="3" t="s">
        <v>140</v>
      </c>
      <c r="J144" s="8">
        <v>7.2900000000000006E-2</v>
      </c>
      <c r="K144" s="5">
        <v>8.9999999999999993E-3</v>
      </c>
      <c r="L144" s="5">
        <v>2.2000000000000001E-3</v>
      </c>
      <c r="M144" s="5">
        <v>7.1999999999999998E-3</v>
      </c>
      <c r="N144" s="5">
        <v>0</v>
      </c>
      <c r="O144" s="46">
        <v>0</v>
      </c>
      <c r="P144" s="5">
        <f t="shared" si="13"/>
        <v>9.1299999999999992E-2</v>
      </c>
      <c r="Q144" s="24">
        <v>32689</v>
      </c>
      <c r="R144" s="24">
        <v>32358</v>
      </c>
      <c r="S144" s="3">
        <v>761</v>
      </c>
      <c r="T144" s="1" t="s">
        <v>29</v>
      </c>
      <c r="U144" s="9">
        <f t="shared" si="14"/>
        <v>1664.3070000000002</v>
      </c>
      <c r="V144" s="9"/>
      <c r="W144" s="59">
        <v>206605</v>
      </c>
      <c r="X144" s="1" t="s">
        <v>146</v>
      </c>
      <c r="Y144" s="36"/>
      <c r="Z144" s="36"/>
    </row>
    <row r="145" spans="1:26" s="65" customFormat="1" x14ac:dyDescent="0.2">
      <c r="B145" s="1" t="s">
        <v>235</v>
      </c>
      <c r="C145" s="3" t="s">
        <v>2</v>
      </c>
      <c r="D145" s="3" t="s">
        <v>143</v>
      </c>
      <c r="E145" s="4">
        <v>36586</v>
      </c>
      <c r="F145" s="4">
        <v>36616</v>
      </c>
      <c r="G145" s="1" t="s">
        <v>310</v>
      </c>
      <c r="H145" s="1"/>
      <c r="I145" s="3" t="s">
        <v>311</v>
      </c>
      <c r="J145" s="8"/>
      <c r="K145" s="5"/>
      <c r="L145" s="5"/>
      <c r="M145" s="5"/>
      <c r="N145" s="5"/>
      <c r="O145" s="46"/>
      <c r="P145" s="5"/>
      <c r="Q145" s="24">
        <v>32585</v>
      </c>
      <c r="R145" s="24"/>
      <c r="S145" s="3">
        <v>1460</v>
      </c>
      <c r="T145" s="1"/>
      <c r="U145" s="9"/>
      <c r="V145" s="9"/>
      <c r="W145" s="59">
        <v>206968</v>
      </c>
      <c r="X145" s="1"/>
      <c r="Y145" s="36"/>
      <c r="Z145" s="36"/>
    </row>
    <row r="146" spans="1:26" s="65" customFormat="1" x14ac:dyDescent="0.2">
      <c r="B146" s="1" t="s">
        <v>235</v>
      </c>
      <c r="C146" s="3" t="s">
        <v>312</v>
      </c>
      <c r="D146" s="3" t="s">
        <v>143</v>
      </c>
      <c r="E146" s="4">
        <v>36586</v>
      </c>
      <c r="F146" s="4">
        <v>36616</v>
      </c>
      <c r="G146" s="1" t="s">
        <v>363</v>
      </c>
      <c r="H146" s="1"/>
      <c r="I146" s="3" t="s">
        <v>364</v>
      </c>
      <c r="J146" s="8">
        <v>1.8700000000000001E-2</v>
      </c>
      <c r="K146" s="5"/>
      <c r="L146" s="5"/>
      <c r="M146" s="5"/>
      <c r="N146" s="5"/>
      <c r="O146" s="46"/>
      <c r="P146" s="5"/>
      <c r="Q146" s="24">
        <v>32607</v>
      </c>
      <c r="R146" s="24"/>
      <c r="S146" s="150">
        <v>78000</v>
      </c>
      <c r="T146" s="1"/>
      <c r="U146" s="9">
        <f>+S146*J146</f>
        <v>1458.6000000000001</v>
      </c>
      <c r="V146" s="9"/>
      <c r="W146" s="59">
        <v>206973</v>
      </c>
      <c r="X146" s="1"/>
      <c r="Y146" s="36"/>
      <c r="Z146" s="36"/>
    </row>
    <row r="147" spans="1:26" s="65" customFormat="1" x14ac:dyDescent="0.2">
      <c r="B147" s="1" t="s">
        <v>235</v>
      </c>
      <c r="C147" s="3" t="s">
        <v>312</v>
      </c>
      <c r="D147" s="3" t="s">
        <v>143</v>
      </c>
      <c r="E147" s="4">
        <v>36586</v>
      </c>
      <c r="F147" s="4">
        <v>36616</v>
      </c>
      <c r="G147" s="1" t="s">
        <v>363</v>
      </c>
      <c r="H147" s="1"/>
      <c r="I147" s="3" t="s">
        <v>364</v>
      </c>
      <c r="J147" s="8">
        <v>1.17</v>
      </c>
      <c r="K147" s="5"/>
      <c r="L147" s="5"/>
      <c r="M147" s="5"/>
      <c r="N147" s="5"/>
      <c r="O147" s="46"/>
      <c r="P147" s="5"/>
      <c r="Q147" s="24">
        <v>32607</v>
      </c>
      <c r="R147" s="24"/>
      <c r="S147" s="150">
        <v>571</v>
      </c>
      <c r="T147" s="1"/>
      <c r="U147" s="9">
        <f>+S147*J147</f>
        <v>668.06999999999994</v>
      </c>
      <c r="V147" s="9"/>
      <c r="W147" s="59">
        <v>206973</v>
      </c>
      <c r="X147" s="1"/>
      <c r="Y147" s="36"/>
      <c r="Z147" s="36"/>
    </row>
    <row r="148" spans="1:26" x14ac:dyDescent="0.2">
      <c r="A148" s="25" t="s">
        <v>211</v>
      </c>
      <c r="B148" s="1" t="s">
        <v>235</v>
      </c>
      <c r="C148" s="3" t="s">
        <v>2</v>
      </c>
      <c r="D148" s="3" t="s">
        <v>204</v>
      </c>
      <c r="E148" s="4">
        <v>36586</v>
      </c>
      <c r="F148" s="4">
        <v>36616</v>
      </c>
      <c r="G148" s="1" t="s">
        <v>213</v>
      </c>
      <c r="H148" s="1" t="s">
        <v>205</v>
      </c>
      <c r="I148" s="3" t="s">
        <v>214</v>
      </c>
      <c r="J148" s="8">
        <v>0</v>
      </c>
      <c r="K148" s="5"/>
      <c r="L148" s="23"/>
      <c r="M148" s="5"/>
      <c r="N148" s="5"/>
      <c r="O148" s="46"/>
      <c r="P148" s="5"/>
      <c r="Q148" s="24">
        <v>32645</v>
      </c>
      <c r="R148" s="24">
        <v>32067</v>
      </c>
      <c r="S148" s="3">
        <v>769</v>
      </c>
      <c r="T148" s="3"/>
      <c r="U148" s="9"/>
      <c r="V148" s="9"/>
      <c r="W148" s="59">
        <v>204715</v>
      </c>
      <c r="X148" s="1" t="s">
        <v>146</v>
      </c>
      <c r="Y148" s="36"/>
      <c r="Z148" s="36"/>
    </row>
    <row r="149" spans="1:26" x14ac:dyDescent="0.2">
      <c r="B149" s="1"/>
      <c r="C149" s="3"/>
      <c r="D149" s="3"/>
      <c r="E149" s="4"/>
      <c r="F149" s="4"/>
      <c r="G149" s="1"/>
      <c r="H149" s="1"/>
      <c r="I149" s="3"/>
      <c r="J149" s="8"/>
      <c r="K149" s="5"/>
      <c r="L149" s="23"/>
      <c r="M149" s="5"/>
      <c r="N149" s="5"/>
      <c r="O149" s="46"/>
      <c r="P149" s="5"/>
      <c r="Q149" s="24"/>
      <c r="R149" s="24"/>
      <c r="S149" s="2"/>
      <c r="T149" s="3"/>
      <c r="U149" s="9"/>
      <c r="V149" s="9"/>
      <c r="W149" s="59"/>
      <c r="X149" s="1"/>
      <c r="Y149" s="36"/>
      <c r="Z149" s="36"/>
    </row>
    <row r="150" spans="1:26" x14ac:dyDescent="0.2">
      <c r="B150" s="1"/>
      <c r="C150" s="3"/>
      <c r="D150" s="3"/>
      <c r="E150" s="4"/>
      <c r="F150" s="4"/>
      <c r="G150" s="1"/>
      <c r="H150" s="1"/>
      <c r="I150" s="3"/>
      <c r="J150" s="8"/>
      <c r="K150" s="5"/>
      <c r="L150" s="23"/>
      <c r="M150" s="5"/>
      <c r="N150" s="5"/>
      <c r="O150" s="49"/>
      <c r="P150" s="5"/>
      <c r="Q150" s="24"/>
      <c r="R150" s="24"/>
      <c r="S150" s="3"/>
      <c r="T150" s="3"/>
      <c r="U150" s="97">
        <f>SUM(U138:U149)</f>
        <v>90720.071516129043</v>
      </c>
      <c r="X150" s="29"/>
      <c r="Y150" s="37"/>
      <c r="Z150" s="37"/>
    </row>
    <row r="151" spans="1:26" x14ac:dyDescent="0.2">
      <c r="B151" s="16" t="s">
        <v>4</v>
      </c>
      <c r="C151" s="17" t="s">
        <v>5</v>
      </c>
      <c r="D151" s="17" t="s">
        <v>6</v>
      </c>
      <c r="E151" s="18" t="s">
        <v>7</v>
      </c>
      <c r="F151" s="18"/>
      <c r="G151" s="16" t="s">
        <v>8</v>
      </c>
      <c r="H151" s="16" t="s">
        <v>9</v>
      </c>
      <c r="I151" s="17" t="s">
        <v>53</v>
      </c>
      <c r="J151" s="19" t="s">
        <v>10</v>
      </c>
      <c r="K151" s="17" t="s">
        <v>11</v>
      </c>
      <c r="L151" s="17" t="s">
        <v>12</v>
      </c>
      <c r="M151" s="17" t="s">
        <v>13</v>
      </c>
      <c r="N151" s="17" t="s">
        <v>14</v>
      </c>
      <c r="O151" s="47" t="s">
        <v>15</v>
      </c>
      <c r="P151" s="17" t="s">
        <v>16</v>
      </c>
      <c r="Q151" s="20" t="s">
        <v>233</v>
      </c>
      <c r="R151" s="20" t="s">
        <v>232</v>
      </c>
      <c r="S151" s="17" t="s">
        <v>17</v>
      </c>
      <c r="T151" s="16" t="s">
        <v>18</v>
      </c>
      <c r="U151" s="21" t="s">
        <v>52</v>
      </c>
      <c r="V151" s="21" t="s">
        <v>51</v>
      </c>
      <c r="W151" s="57" t="s">
        <v>234</v>
      </c>
      <c r="X151" s="62">
        <f>+X82</f>
        <v>0</v>
      </c>
      <c r="Y151" s="36"/>
      <c r="Z151" s="36"/>
    </row>
    <row r="152" spans="1:26" s="65" customFormat="1" x14ac:dyDescent="0.2">
      <c r="B152" s="42" t="s">
        <v>104</v>
      </c>
      <c r="C152" s="79" t="s">
        <v>25</v>
      </c>
      <c r="D152" s="79" t="s">
        <v>152</v>
      </c>
      <c r="E152" s="80">
        <v>35977</v>
      </c>
      <c r="F152" s="80">
        <v>41029</v>
      </c>
      <c r="G152" s="42" t="s">
        <v>153</v>
      </c>
      <c r="H152" s="42" t="s">
        <v>154</v>
      </c>
      <c r="I152" s="79" t="s">
        <v>22</v>
      </c>
      <c r="J152" s="82">
        <v>0</v>
      </c>
      <c r="K152" s="83">
        <v>0</v>
      </c>
      <c r="L152" s="83">
        <v>2.2000000000000001E-3</v>
      </c>
      <c r="M152" s="83">
        <v>0</v>
      </c>
      <c r="N152" s="83">
        <v>0</v>
      </c>
      <c r="O152" s="84">
        <v>0</v>
      </c>
      <c r="P152" s="83">
        <f t="shared" ref="P152:P162" si="15">SUM(J152:N152)</f>
        <v>2.2000000000000001E-3</v>
      </c>
      <c r="Q152" s="85">
        <v>892591</v>
      </c>
      <c r="R152" s="85">
        <v>886677</v>
      </c>
      <c r="S152" s="79">
        <v>74</v>
      </c>
      <c r="T152" s="42"/>
      <c r="U152" s="86">
        <f t="shared" ref="U152:U163" si="16">J152*J$1*S152</f>
        <v>0</v>
      </c>
      <c r="V152" s="86"/>
      <c r="W152" s="87">
        <v>157553</v>
      </c>
      <c r="X152" s="42" t="s">
        <v>267</v>
      </c>
      <c r="Y152" s="36"/>
      <c r="Z152" s="36"/>
    </row>
    <row r="153" spans="1:26" s="65" customFormat="1" x14ac:dyDescent="0.2">
      <c r="B153" s="42" t="s">
        <v>104</v>
      </c>
      <c r="C153" s="79" t="s">
        <v>25</v>
      </c>
      <c r="D153" s="79" t="s">
        <v>152</v>
      </c>
      <c r="E153" s="80">
        <v>36130</v>
      </c>
      <c r="F153" s="80">
        <v>41029</v>
      </c>
      <c r="G153" s="42" t="s">
        <v>153</v>
      </c>
      <c r="H153" s="42" t="s">
        <v>154</v>
      </c>
      <c r="I153" s="79" t="s">
        <v>22</v>
      </c>
      <c r="J153" s="82">
        <v>0</v>
      </c>
      <c r="K153" s="83">
        <v>0</v>
      </c>
      <c r="L153" s="83">
        <v>2.2000000000000001E-3</v>
      </c>
      <c r="M153" s="83">
        <v>0</v>
      </c>
      <c r="N153" s="83">
        <v>0</v>
      </c>
      <c r="O153" s="84">
        <v>0</v>
      </c>
      <c r="P153" s="83">
        <f t="shared" si="15"/>
        <v>2.2000000000000001E-3</v>
      </c>
      <c r="Q153" s="85" t="s">
        <v>268</v>
      </c>
      <c r="R153" s="85">
        <v>887978</v>
      </c>
      <c r="S153" s="79">
        <v>0</v>
      </c>
      <c r="T153" s="42"/>
      <c r="U153" s="86">
        <f t="shared" si="16"/>
        <v>0</v>
      </c>
      <c r="V153" s="86"/>
      <c r="W153" s="87">
        <v>143310</v>
      </c>
      <c r="X153" s="42" t="s">
        <v>265</v>
      </c>
      <c r="Y153" s="36"/>
      <c r="Z153" s="36"/>
    </row>
    <row r="154" spans="1:26" s="65" customFormat="1" x14ac:dyDescent="0.2">
      <c r="B154" s="42" t="s">
        <v>104</v>
      </c>
      <c r="C154" s="79" t="s">
        <v>25</v>
      </c>
      <c r="D154" s="79" t="s">
        <v>152</v>
      </c>
      <c r="E154" s="80">
        <v>36220</v>
      </c>
      <c r="F154" s="80">
        <v>41029</v>
      </c>
      <c r="G154" s="42" t="s">
        <v>153</v>
      </c>
      <c r="H154" s="42" t="s">
        <v>155</v>
      </c>
      <c r="I154" s="79" t="s">
        <v>22</v>
      </c>
      <c r="J154" s="82">
        <v>0</v>
      </c>
      <c r="K154" s="83">
        <v>0</v>
      </c>
      <c r="L154" s="83">
        <v>2.2000000000000001E-3</v>
      </c>
      <c r="M154" s="83">
        <v>0</v>
      </c>
      <c r="N154" s="83">
        <v>0</v>
      </c>
      <c r="O154" s="84">
        <v>0</v>
      </c>
      <c r="P154" s="83">
        <f t="shared" si="15"/>
        <v>2.2000000000000001E-3</v>
      </c>
      <c r="Q154" s="85" t="s">
        <v>268</v>
      </c>
      <c r="R154" s="85">
        <v>888786</v>
      </c>
      <c r="S154" s="79">
        <v>0</v>
      </c>
      <c r="T154" s="42"/>
      <c r="U154" s="86">
        <f t="shared" si="16"/>
        <v>0</v>
      </c>
      <c r="V154" s="86"/>
      <c r="W154" s="87">
        <v>143311</v>
      </c>
      <c r="X154" s="42" t="s">
        <v>266</v>
      </c>
      <c r="Y154" s="36"/>
      <c r="Z154" s="36"/>
    </row>
    <row r="155" spans="1:26" s="65" customFormat="1" x14ac:dyDescent="0.2">
      <c r="B155" s="42" t="s">
        <v>104</v>
      </c>
      <c r="C155" s="79" t="s">
        <v>25</v>
      </c>
      <c r="D155" s="79" t="s">
        <v>152</v>
      </c>
      <c r="E155" s="80">
        <v>36465</v>
      </c>
      <c r="F155" s="80">
        <v>39021</v>
      </c>
      <c r="G155" s="42" t="s">
        <v>21</v>
      </c>
      <c r="H155" s="42" t="s">
        <v>24</v>
      </c>
      <c r="I155" s="79" t="s">
        <v>22</v>
      </c>
      <c r="J155" s="82">
        <v>0</v>
      </c>
      <c r="K155" s="83">
        <v>0</v>
      </c>
      <c r="L155" s="83">
        <v>2.2000000000000001E-3</v>
      </c>
      <c r="M155" s="83">
        <v>0</v>
      </c>
      <c r="N155" s="83">
        <v>0</v>
      </c>
      <c r="O155" s="84">
        <v>0</v>
      </c>
      <c r="P155" s="83">
        <f t="shared" si="15"/>
        <v>2.2000000000000001E-3</v>
      </c>
      <c r="Q155" s="85">
        <v>892596</v>
      </c>
      <c r="R155" s="85">
        <v>892066</v>
      </c>
      <c r="S155" s="79">
        <v>139</v>
      </c>
      <c r="T155" s="42" t="s">
        <v>261</v>
      </c>
      <c r="U155" s="86">
        <f t="shared" si="16"/>
        <v>0</v>
      </c>
      <c r="V155" s="86"/>
      <c r="W155" s="87">
        <v>157537</v>
      </c>
      <c r="X155" s="42"/>
      <c r="Y155" s="36"/>
      <c r="Z155" s="36"/>
    </row>
    <row r="156" spans="1:26" s="65" customFormat="1" x14ac:dyDescent="0.2">
      <c r="B156" s="42" t="s">
        <v>104</v>
      </c>
      <c r="C156" s="79" t="s">
        <v>25</v>
      </c>
      <c r="D156" s="79" t="s">
        <v>152</v>
      </c>
      <c r="E156" s="80">
        <v>36465</v>
      </c>
      <c r="F156" s="80">
        <v>36830</v>
      </c>
      <c r="G156" s="42" t="s">
        <v>30</v>
      </c>
      <c r="H156" s="42" t="s">
        <v>24</v>
      </c>
      <c r="I156" s="79" t="s">
        <v>23</v>
      </c>
      <c r="J156" s="82">
        <v>0</v>
      </c>
      <c r="K156" s="83">
        <v>0</v>
      </c>
      <c r="L156" s="83">
        <v>2.2000000000000001E-3</v>
      </c>
      <c r="M156" s="83">
        <v>0</v>
      </c>
      <c r="N156" s="83">
        <v>0</v>
      </c>
      <c r="O156" s="84">
        <v>0</v>
      </c>
      <c r="P156" s="83">
        <f t="shared" si="15"/>
        <v>2.2000000000000001E-3</v>
      </c>
      <c r="Q156" s="85">
        <v>892594</v>
      </c>
      <c r="R156" s="85">
        <v>892069</v>
      </c>
      <c r="S156" s="79">
        <v>11</v>
      </c>
      <c r="T156" s="42" t="s">
        <v>262</v>
      </c>
      <c r="U156" s="86">
        <f t="shared" si="16"/>
        <v>0</v>
      </c>
      <c r="V156" s="86"/>
      <c r="W156" s="87">
        <v>157539</v>
      </c>
      <c r="X156" s="42"/>
      <c r="Y156" s="36"/>
      <c r="Z156" s="36"/>
    </row>
    <row r="157" spans="1:26" s="65" customFormat="1" x14ac:dyDescent="0.2">
      <c r="B157" s="42" t="s">
        <v>104</v>
      </c>
      <c r="C157" s="79" t="s">
        <v>25</v>
      </c>
      <c r="D157" s="79" t="s">
        <v>152</v>
      </c>
      <c r="E157" s="80">
        <v>36465</v>
      </c>
      <c r="F157" s="80">
        <v>37560</v>
      </c>
      <c r="G157" s="42" t="s">
        <v>21</v>
      </c>
      <c r="H157" s="42" t="s">
        <v>30</v>
      </c>
      <c r="I157" s="79" t="s">
        <v>22</v>
      </c>
      <c r="J157" s="82">
        <v>0</v>
      </c>
      <c r="K157" s="83">
        <v>0</v>
      </c>
      <c r="L157" s="83">
        <v>2.2000000000000001E-3</v>
      </c>
      <c r="M157" s="83">
        <v>0</v>
      </c>
      <c r="N157" s="83">
        <v>0</v>
      </c>
      <c r="O157" s="84">
        <v>0</v>
      </c>
      <c r="P157" s="83">
        <f t="shared" si="15"/>
        <v>2.2000000000000001E-3</v>
      </c>
      <c r="Q157" s="85">
        <v>892593</v>
      </c>
      <c r="R157" s="85">
        <v>892084</v>
      </c>
      <c r="S157" s="79">
        <v>18</v>
      </c>
      <c r="T157" s="42" t="s">
        <v>263</v>
      </c>
      <c r="U157" s="86">
        <f t="shared" si="16"/>
        <v>0</v>
      </c>
      <c r="V157" s="86"/>
      <c r="W157" s="87">
        <v>157543</v>
      </c>
      <c r="X157" s="42"/>
      <c r="Y157" s="36"/>
      <c r="Z157" s="36"/>
    </row>
    <row r="158" spans="1:26" s="65" customFormat="1" x14ac:dyDescent="0.2">
      <c r="B158" s="42" t="s">
        <v>104</v>
      </c>
      <c r="C158" s="79" t="s">
        <v>25</v>
      </c>
      <c r="D158" s="79" t="s">
        <v>152</v>
      </c>
      <c r="E158" s="80">
        <v>36465</v>
      </c>
      <c r="F158" s="80">
        <v>39021</v>
      </c>
      <c r="G158" s="42" t="s">
        <v>21</v>
      </c>
      <c r="H158" s="42" t="s">
        <v>24</v>
      </c>
      <c r="I158" s="79" t="s">
        <v>22</v>
      </c>
      <c r="J158" s="82">
        <v>0</v>
      </c>
      <c r="K158" s="83">
        <v>0</v>
      </c>
      <c r="L158" s="83">
        <v>2.2000000000000001E-3</v>
      </c>
      <c r="M158" s="83">
        <v>0</v>
      </c>
      <c r="N158" s="83">
        <v>0</v>
      </c>
      <c r="O158" s="84">
        <v>0</v>
      </c>
      <c r="P158" s="83">
        <f>SUM(J158:N158)</f>
        <v>2.2000000000000001E-3</v>
      </c>
      <c r="Q158" s="85">
        <v>892597</v>
      </c>
      <c r="R158" s="85">
        <v>892085</v>
      </c>
      <c r="S158" s="79">
        <v>167</v>
      </c>
      <c r="T158" s="42" t="s">
        <v>264</v>
      </c>
      <c r="U158" s="86">
        <f t="shared" si="16"/>
        <v>0</v>
      </c>
      <c r="V158" s="86"/>
      <c r="W158" s="87">
        <v>157570</v>
      </c>
      <c r="X158" s="42"/>
      <c r="Y158" s="36"/>
      <c r="Z158" s="36"/>
    </row>
    <row r="159" spans="1:26" s="65" customFormat="1" x14ac:dyDescent="0.2">
      <c r="B159" s="42" t="s">
        <v>235</v>
      </c>
      <c r="C159" s="79" t="s">
        <v>25</v>
      </c>
      <c r="D159" s="79" t="s">
        <v>152</v>
      </c>
      <c r="E159" s="80">
        <v>36586</v>
      </c>
      <c r="F159" s="80">
        <v>39021</v>
      </c>
      <c r="G159" s="42" t="s">
        <v>21</v>
      </c>
      <c r="H159" s="42" t="s">
        <v>24</v>
      </c>
      <c r="I159" s="79" t="s">
        <v>23</v>
      </c>
      <c r="J159" s="82">
        <v>0</v>
      </c>
      <c r="K159" s="83">
        <v>0</v>
      </c>
      <c r="L159" s="83">
        <v>2.2000000000000001E-3</v>
      </c>
      <c r="M159" s="83">
        <v>0</v>
      </c>
      <c r="N159" s="83">
        <v>0</v>
      </c>
      <c r="O159" s="84">
        <v>0</v>
      </c>
      <c r="P159" s="83">
        <f t="shared" si="15"/>
        <v>2.2000000000000001E-3</v>
      </c>
      <c r="Q159" s="85">
        <v>892722</v>
      </c>
      <c r="R159" s="85">
        <v>892592</v>
      </c>
      <c r="S159" s="79">
        <v>114</v>
      </c>
      <c r="T159" s="42" t="s">
        <v>307</v>
      </c>
      <c r="U159" s="86">
        <f t="shared" si="16"/>
        <v>0</v>
      </c>
      <c r="V159" s="86"/>
      <c r="W159" s="87">
        <v>207137</v>
      </c>
      <c r="X159" s="42"/>
      <c r="Y159" s="36"/>
      <c r="Z159" s="36"/>
    </row>
    <row r="160" spans="1:26" s="65" customFormat="1" x14ac:dyDescent="0.2">
      <c r="B160" s="42" t="s">
        <v>104</v>
      </c>
      <c r="C160" s="79" t="s">
        <v>25</v>
      </c>
      <c r="D160" s="79" t="s">
        <v>280</v>
      </c>
      <c r="E160" s="80">
        <v>36526</v>
      </c>
      <c r="F160" s="80">
        <v>36677</v>
      </c>
      <c r="G160" s="42" t="s">
        <v>281</v>
      </c>
      <c r="H160" s="42" t="s">
        <v>24</v>
      </c>
      <c r="I160" s="79" t="s">
        <v>23</v>
      </c>
      <c r="J160" s="82">
        <v>0.87390000000000001</v>
      </c>
      <c r="K160" s="83"/>
      <c r="L160" s="83"/>
      <c r="M160" s="83"/>
      <c r="N160" s="83"/>
      <c r="O160" s="84"/>
      <c r="P160" s="83"/>
      <c r="Q160" s="85"/>
      <c r="R160" s="85">
        <v>891719</v>
      </c>
      <c r="S160" s="79">
        <v>300</v>
      </c>
      <c r="T160" s="42" t="s">
        <v>282</v>
      </c>
      <c r="U160" s="86">
        <f>(+S160*J160)*31</f>
        <v>8127.27</v>
      </c>
      <c r="V160" s="86"/>
      <c r="W160" s="87">
        <v>202419</v>
      </c>
      <c r="X160" s="42"/>
      <c r="Y160" s="36"/>
      <c r="Z160" s="36"/>
    </row>
    <row r="161" spans="2:26" s="65" customFormat="1" x14ac:dyDescent="0.2">
      <c r="B161" s="42" t="s">
        <v>104</v>
      </c>
      <c r="C161" s="79" t="s">
        <v>25</v>
      </c>
      <c r="D161" s="79" t="s">
        <v>152</v>
      </c>
      <c r="E161" s="80">
        <v>36465</v>
      </c>
      <c r="F161" s="80">
        <v>41394</v>
      </c>
      <c r="G161" s="42" t="s">
        <v>156</v>
      </c>
      <c r="H161" s="42" t="s">
        <v>0</v>
      </c>
      <c r="I161" s="79" t="s">
        <v>156</v>
      </c>
      <c r="J161" s="82">
        <v>0</v>
      </c>
      <c r="K161" s="83">
        <v>0</v>
      </c>
      <c r="L161" s="83">
        <v>2.2000000000000001E-3</v>
      </c>
      <c r="M161" s="83">
        <v>0</v>
      </c>
      <c r="N161" s="83">
        <v>0</v>
      </c>
      <c r="O161" s="84">
        <v>0</v>
      </c>
      <c r="P161" s="83">
        <f>SUM(J161:N161)</f>
        <v>2.2000000000000001E-3</v>
      </c>
      <c r="Q161" s="85"/>
      <c r="R161" s="85">
        <v>892102</v>
      </c>
      <c r="S161" s="79">
        <v>170</v>
      </c>
      <c r="T161" s="42" t="s">
        <v>157</v>
      </c>
      <c r="U161" s="86">
        <f t="shared" si="16"/>
        <v>0</v>
      </c>
      <c r="V161" s="86"/>
      <c r="W161" s="87">
        <v>143323</v>
      </c>
      <c r="X161" s="42"/>
      <c r="Y161" s="36"/>
      <c r="Z161" s="36"/>
    </row>
    <row r="162" spans="2:26" s="65" customFormat="1" x14ac:dyDescent="0.2">
      <c r="B162" s="42" t="s">
        <v>104</v>
      </c>
      <c r="C162" s="79" t="s">
        <v>25</v>
      </c>
      <c r="D162" s="79" t="s">
        <v>152</v>
      </c>
      <c r="E162" s="80">
        <v>36465</v>
      </c>
      <c r="F162" s="80">
        <v>41394</v>
      </c>
      <c r="G162" s="42" t="s">
        <v>156</v>
      </c>
      <c r="H162" s="42" t="s">
        <v>158</v>
      </c>
      <c r="I162" s="79" t="s">
        <v>156</v>
      </c>
      <c r="J162" s="82">
        <v>0</v>
      </c>
      <c r="K162" s="83">
        <v>0</v>
      </c>
      <c r="L162" s="83">
        <v>2.2000000000000001E-3</v>
      </c>
      <c r="M162" s="83">
        <v>0</v>
      </c>
      <c r="N162" s="83">
        <v>0</v>
      </c>
      <c r="O162" s="84">
        <v>0</v>
      </c>
      <c r="P162" s="83">
        <f t="shared" si="15"/>
        <v>2.2000000000000001E-3</v>
      </c>
      <c r="Q162" s="85"/>
      <c r="R162" s="85">
        <v>892102</v>
      </c>
      <c r="S162" s="79">
        <v>12207</v>
      </c>
      <c r="T162" s="42" t="s">
        <v>157</v>
      </c>
      <c r="U162" s="86">
        <f t="shared" si="16"/>
        <v>0</v>
      </c>
      <c r="V162" s="86"/>
      <c r="W162" s="87">
        <v>143323</v>
      </c>
      <c r="X162" s="42"/>
      <c r="Y162" s="36"/>
      <c r="Z162" s="36"/>
    </row>
    <row r="163" spans="2:26" s="91" customFormat="1" x14ac:dyDescent="0.2">
      <c r="B163" s="42" t="s">
        <v>235</v>
      </c>
      <c r="C163" s="79" t="s">
        <v>25</v>
      </c>
      <c r="D163" s="79" t="s">
        <v>203</v>
      </c>
      <c r="E163" s="80">
        <v>36586</v>
      </c>
      <c r="F163" s="80">
        <v>36616</v>
      </c>
      <c r="G163" s="42" t="s">
        <v>21</v>
      </c>
      <c r="H163" s="42" t="s">
        <v>24</v>
      </c>
      <c r="I163" s="79" t="s">
        <v>23</v>
      </c>
      <c r="J163" s="82">
        <v>0.65</v>
      </c>
      <c r="K163" s="83">
        <v>0</v>
      </c>
      <c r="L163" s="83">
        <v>2.2000000000000001E-3</v>
      </c>
      <c r="M163" s="83">
        <v>0</v>
      </c>
      <c r="N163" s="83">
        <v>0</v>
      </c>
      <c r="O163" s="84">
        <v>0</v>
      </c>
      <c r="P163" s="83">
        <f>SUM(J163:N163)</f>
        <v>0.6522</v>
      </c>
      <c r="Q163" s="85">
        <v>892686</v>
      </c>
      <c r="R163" s="85" t="s">
        <v>299</v>
      </c>
      <c r="S163" s="79">
        <v>105</v>
      </c>
      <c r="T163" s="42" t="s">
        <v>298</v>
      </c>
      <c r="U163" s="86">
        <f t="shared" si="16"/>
        <v>2047.5</v>
      </c>
      <c r="V163" s="86"/>
      <c r="W163" s="87">
        <v>205504</v>
      </c>
      <c r="X163" s="42"/>
      <c r="Y163" s="90"/>
      <c r="Z163" s="90"/>
    </row>
    <row r="164" spans="2:26" s="91" customFormat="1" x14ac:dyDescent="0.2">
      <c r="B164" s="42" t="s">
        <v>235</v>
      </c>
      <c r="C164" s="79" t="s">
        <v>25</v>
      </c>
      <c r="D164" s="79" t="s">
        <v>259</v>
      </c>
      <c r="E164" s="80">
        <v>36586</v>
      </c>
      <c r="F164" s="80">
        <v>36616</v>
      </c>
      <c r="G164" s="42" t="s">
        <v>30</v>
      </c>
      <c r="H164" s="42" t="s">
        <v>30</v>
      </c>
      <c r="I164" s="79" t="s">
        <v>317</v>
      </c>
      <c r="J164" s="82">
        <f>1.2167*0.0328767</f>
        <v>4.0001080889999999E-2</v>
      </c>
      <c r="K164" s="83"/>
      <c r="L164" s="83"/>
      <c r="M164" s="83"/>
      <c r="N164" s="83"/>
      <c r="O164" s="84"/>
      <c r="P164" s="83"/>
      <c r="Q164" s="85">
        <v>892687</v>
      </c>
      <c r="R164" s="85"/>
      <c r="S164" s="79">
        <v>41</v>
      </c>
      <c r="T164" s="42" t="s">
        <v>318</v>
      </c>
      <c r="U164" s="86">
        <f>+J164*S164*J$1</f>
        <v>49.201329494700005</v>
      </c>
      <c r="V164" s="86"/>
      <c r="W164" s="87">
        <v>205587</v>
      </c>
      <c r="X164" s="42"/>
      <c r="Y164" s="90"/>
      <c r="Z164" s="90"/>
    </row>
    <row r="165" spans="2:26" s="91" customFormat="1" x14ac:dyDescent="0.2">
      <c r="B165" s="42" t="s">
        <v>235</v>
      </c>
      <c r="C165" s="79" t="s">
        <v>25</v>
      </c>
      <c r="D165" s="79" t="s">
        <v>259</v>
      </c>
      <c r="E165" s="80">
        <v>36586</v>
      </c>
      <c r="F165" s="80">
        <v>36616</v>
      </c>
      <c r="G165" s="42" t="s">
        <v>316</v>
      </c>
      <c r="H165" s="42" t="s">
        <v>30</v>
      </c>
      <c r="I165" s="79" t="s">
        <v>22</v>
      </c>
      <c r="J165" s="82">
        <f>5.075*0.0328767</f>
        <v>0.16684925250000002</v>
      </c>
      <c r="K165" s="83"/>
      <c r="L165" s="83"/>
      <c r="M165" s="83"/>
      <c r="N165" s="83"/>
      <c r="O165" s="84"/>
      <c r="P165" s="83"/>
      <c r="Q165" s="85">
        <v>892690</v>
      </c>
      <c r="R165" s="85"/>
      <c r="S165" s="79">
        <v>41</v>
      </c>
      <c r="T165" s="42" t="s">
        <v>315</v>
      </c>
      <c r="U165" s="86">
        <f>+J165*S165*J$1</f>
        <v>205.224580575</v>
      </c>
      <c r="V165" s="86"/>
      <c r="W165" s="87">
        <v>205590</v>
      </c>
      <c r="X165" s="42"/>
      <c r="Y165" s="90"/>
      <c r="Z165" s="90"/>
    </row>
    <row r="166" spans="2:26" ht="11.25" customHeight="1" x14ac:dyDescent="0.2">
      <c r="B166" s="1"/>
      <c r="C166" s="3"/>
      <c r="D166" s="3"/>
      <c r="E166" s="4"/>
      <c r="F166" s="4"/>
      <c r="G166" s="1"/>
      <c r="H166" s="1"/>
      <c r="I166" s="3"/>
      <c r="J166" s="8"/>
      <c r="K166" s="5"/>
      <c r="L166" s="23"/>
      <c r="M166" s="5"/>
      <c r="N166" s="5"/>
      <c r="O166" s="46"/>
      <c r="P166" s="5"/>
      <c r="Q166" s="24"/>
      <c r="R166" s="24"/>
      <c r="S166" s="2">
        <f>SUM(S152:S165)</f>
        <v>13387</v>
      </c>
      <c r="T166" s="3"/>
      <c r="U166" s="9">
        <f>SUM(U152:U165)</f>
        <v>10429.1959100697</v>
      </c>
      <c r="V166" s="9"/>
      <c r="W166" s="59"/>
      <c r="X166" s="1"/>
      <c r="Y166" s="36"/>
      <c r="Z166" s="36"/>
    </row>
    <row r="167" spans="2:26" x14ac:dyDescent="0.2">
      <c r="B167" s="16" t="s">
        <v>4</v>
      </c>
      <c r="C167" s="17" t="s">
        <v>5</v>
      </c>
      <c r="D167" s="17" t="s">
        <v>6</v>
      </c>
      <c r="E167" s="18" t="s">
        <v>7</v>
      </c>
      <c r="F167" s="18"/>
      <c r="G167" s="16" t="s">
        <v>8</v>
      </c>
      <c r="H167" s="16" t="s">
        <v>9</v>
      </c>
      <c r="I167" s="17" t="s">
        <v>53</v>
      </c>
      <c r="J167" s="19" t="s">
        <v>10</v>
      </c>
      <c r="K167" s="17" t="s">
        <v>11</v>
      </c>
      <c r="L167" s="17" t="s">
        <v>12</v>
      </c>
      <c r="M167" s="17" t="s">
        <v>13</v>
      </c>
      <c r="N167" s="17" t="s">
        <v>14</v>
      </c>
      <c r="O167" s="47" t="s">
        <v>15</v>
      </c>
      <c r="P167" s="17" t="s">
        <v>16</v>
      </c>
      <c r="Q167" s="20" t="s">
        <v>233</v>
      </c>
      <c r="R167" s="20" t="s">
        <v>232</v>
      </c>
      <c r="S167" s="17" t="s">
        <v>17</v>
      </c>
      <c r="T167" s="16" t="s">
        <v>18</v>
      </c>
      <c r="U167" s="21" t="s">
        <v>52</v>
      </c>
      <c r="V167" s="21" t="s">
        <v>51</v>
      </c>
      <c r="W167" s="57" t="s">
        <v>234</v>
      </c>
      <c r="X167" s="62">
        <f>+X106</f>
        <v>0</v>
      </c>
      <c r="Y167" s="36"/>
      <c r="Z167" s="36"/>
    </row>
    <row r="168" spans="2:26" s="65" customFormat="1" x14ac:dyDescent="0.2">
      <c r="B168" s="42" t="s">
        <v>104</v>
      </c>
      <c r="C168" s="79" t="s">
        <v>159</v>
      </c>
      <c r="D168" s="79" t="s">
        <v>152</v>
      </c>
      <c r="E168" s="80">
        <v>35977</v>
      </c>
      <c r="F168" s="80">
        <v>38657</v>
      </c>
      <c r="G168" s="42" t="s">
        <v>166</v>
      </c>
      <c r="H168" s="42" t="s">
        <v>160</v>
      </c>
      <c r="I168" s="79" t="s">
        <v>161</v>
      </c>
      <c r="J168" s="82">
        <v>0</v>
      </c>
      <c r="K168" s="83">
        <v>0</v>
      </c>
      <c r="L168" s="83">
        <v>2.2000000000000001E-3</v>
      </c>
      <c r="M168" s="83">
        <v>0</v>
      </c>
      <c r="N168" s="83">
        <v>0</v>
      </c>
      <c r="O168" s="84">
        <v>0</v>
      </c>
      <c r="P168" s="83">
        <f t="shared" ref="P168:P174" si="17">SUM(J168:N168)</f>
        <v>2.2000000000000001E-3</v>
      </c>
      <c r="Q168" s="85" t="s">
        <v>258</v>
      </c>
      <c r="R168" s="85" t="s">
        <v>163</v>
      </c>
      <c r="S168" s="79">
        <v>16</v>
      </c>
      <c r="T168" s="42" t="s">
        <v>256</v>
      </c>
      <c r="U168" s="86">
        <f t="shared" ref="U168:U173" si="18">J168*J$1*S168</f>
        <v>0</v>
      </c>
      <c r="V168" s="86"/>
      <c r="W168" s="87">
        <v>143324</v>
      </c>
      <c r="X168" s="1"/>
      <c r="Y168" s="36"/>
      <c r="Z168" s="36"/>
    </row>
    <row r="169" spans="2:26" s="65" customFormat="1" x14ac:dyDescent="0.2">
      <c r="B169" s="42" t="s">
        <v>104</v>
      </c>
      <c r="C169" s="79" t="s">
        <v>159</v>
      </c>
      <c r="D169" s="79" t="s">
        <v>152</v>
      </c>
      <c r="E169" s="80">
        <v>35977</v>
      </c>
      <c r="F169" s="80">
        <v>38657</v>
      </c>
      <c r="G169" s="42" t="s">
        <v>167</v>
      </c>
      <c r="H169" s="42" t="s">
        <v>160</v>
      </c>
      <c r="I169" s="79" t="s">
        <v>161</v>
      </c>
      <c r="J169" s="82">
        <v>0</v>
      </c>
      <c r="K169" s="83">
        <v>0</v>
      </c>
      <c r="L169" s="83">
        <v>2.2000000000000001E-3</v>
      </c>
      <c r="M169" s="83">
        <v>0</v>
      </c>
      <c r="N169" s="83">
        <v>0</v>
      </c>
      <c r="O169" s="84">
        <v>0</v>
      </c>
      <c r="P169" s="83">
        <f t="shared" si="17"/>
        <v>2.2000000000000001E-3</v>
      </c>
      <c r="Q169" s="85" t="s">
        <v>258</v>
      </c>
      <c r="R169" s="85" t="s">
        <v>163</v>
      </c>
      <c r="S169" s="79">
        <v>17</v>
      </c>
      <c r="T169" s="42" t="s">
        <v>256</v>
      </c>
      <c r="U169" s="86">
        <f t="shared" si="18"/>
        <v>0</v>
      </c>
      <c r="V169" s="86"/>
      <c r="W169" s="87">
        <v>143324</v>
      </c>
      <c r="X169" s="1"/>
      <c r="Y169" s="36"/>
      <c r="Z169" s="36"/>
    </row>
    <row r="170" spans="2:26" s="65" customFormat="1" x14ac:dyDescent="0.2">
      <c r="B170" s="42" t="s">
        <v>104</v>
      </c>
      <c r="C170" s="79" t="s">
        <v>159</v>
      </c>
      <c r="D170" s="79" t="s">
        <v>152</v>
      </c>
      <c r="E170" s="80">
        <v>36161</v>
      </c>
      <c r="F170" s="80">
        <v>38657</v>
      </c>
      <c r="G170" s="42" t="s">
        <v>166</v>
      </c>
      <c r="H170" s="42" t="s">
        <v>160</v>
      </c>
      <c r="I170" s="79" t="s">
        <v>162</v>
      </c>
      <c r="J170" s="82">
        <v>0</v>
      </c>
      <c r="K170" s="83">
        <v>0</v>
      </c>
      <c r="L170" s="83">
        <v>2.2000000000000001E-3</v>
      </c>
      <c r="M170" s="83">
        <v>0</v>
      </c>
      <c r="N170" s="83">
        <v>0</v>
      </c>
      <c r="O170" s="84">
        <v>0</v>
      </c>
      <c r="P170" s="83">
        <f t="shared" si="17"/>
        <v>2.2000000000000001E-3</v>
      </c>
      <c r="Q170" s="85" t="s">
        <v>258</v>
      </c>
      <c r="R170" s="85" t="s">
        <v>164</v>
      </c>
      <c r="S170" s="79">
        <v>19</v>
      </c>
      <c r="T170" s="42" t="s">
        <v>256</v>
      </c>
      <c r="U170" s="86">
        <f t="shared" si="18"/>
        <v>0</v>
      </c>
      <c r="V170" s="86"/>
      <c r="W170" s="87">
        <v>143326</v>
      </c>
      <c r="X170" s="1"/>
      <c r="Y170" s="36"/>
      <c r="Z170" s="36"/>
    </row>
    <row r="171" spans="2:26" s="65" customFormat="1" x14ac:dyDescent="0.2">
      <c r="B171" s="42" t="s">
        <v>104</v>
      </c>
      <c r="C171" s="79" t="s">
        <v>159</v>
      </c>
      <c r="D171" s="79" t="s">
        <v>152</v>
      </c>
      <c r="E171" s="80">
        <v>36161</v>
      </c>
      <c r="F171" s="80">
        <v>38657</v>
      </c>
      <c r="G171" s="42" t="s">
        <v>167</v>
      </c>
      <c r="H171" s="42" t="s">
        <v>160</v>
      </c>
      <c r="I171" s="79" t="s">
        <v>162</v>
      </c>
      <c r="J171" s="82">
        <v>0</v>
      </c>
      <c r="K171" s="83">
        <v>0</v>
      </c>
      <c r="L171" s="83">
        <v>2.2000000000000001E-3</v>
      </c>
      <c r="M171" s="83">
        <v>0</v>
      </c>
      <c r="N171" s="83">
        <v>0</v>
      </c>
      <c r="O171" s="84">
        <v>0</v>
      </c>
      <c r="P171" s="83">
        <f t="shared" si="17"/>
        <v>2.2000000000000001E-3</v>
      </c>
      <c r="Q171" s="85" t="s">
        <v>258</v>
      </c>
      <c r="R171" s="85" t="s">
        <v>164</v>
      </c>
      <c r="S171" s="79">
        <v>17</v>
      </c>
      <c r="T171" s="42" t="s">
        <v>256</v>
      </c>
      <c r="U171" s="86">
        <f t="shared" si="18"/>
        <v>0</v>
      </c>
      <c r="V171" s="86"/>
      <c r="W171" s="87">
        <v>143326</v>
      </c>
      <c r="X171" s="1"/>
      <c r="Y171" s="36"/>
      <c r="Z171" s="36"/>
    </row>
    <row r="172" spans="2:26" s="65" customFormat="1" x14ac:dyDescent="0.2">
      <c r="B172" s="42" t="s">
        <v>235</v>
      </c>
      <c r="C172" s="79" t="s">
        <v>159</v>
      </c>
      <c r="D172" s="79" t="s">
        <v>152</v>
      </c>
      <c r="E172" s="80">
        <v>36220</v>
      </c>
      <c r="F172" s="80">
        <v>38656</v>
      </c>
      <c r="G172" s="42" t="s">
        <v>166</v>
      </c>
      <c r="H172" s="42" t="s">
        <v>160</v>
      </c>
      <c r="I172" s="79" t="s">
        <v>162</v>
      </c>
      <c r="J172" s="82">
        <v>0</v>
      </c>
      <c r="K172" s="83">
        <v>0</v>
      </c>
      <c r="L172" s="83">
        <v>2.2000000000000001E-3</v>
      </c>
      <c r="M172" s="83">
        <v>0</v>
      </c>
      <c r="N172" s="83">
        <v>0</v>
      </c>
      <c r="O172" s="84">
        <v>0</v>
      </c>
      <c r="P172" s="83">
        <f t="shared" si="17"/>
        <v>2.2000000000000001E-3</v>
      </c>
      <c r="Q172" s="85" t="s">
        <v>260</v>
      </c>
      <c r="R172" s="85" t="s">
        <v>165</v>
      </c>
      <c r="S172" s="79">
        <v>25</v>
      </c>
      <c r="T172" s="42" t="s">
        <v>257</v>
      </c>
      <c r="U172" s="86">
        <f t="shared" si="18"/>
        <v>0</v>
      </c>
      <c r="V172" s="86"/>
      <c r="W172" s="87">
        <v>157260</v>
      </c>
      <c r="X172" s="1"/>
      <c r="Y172" s="36"/>
      <c r="Z172" s="36"/>
    </row>
    <row r="173" spans="2:26" s="65" customFormat="1" x14ac:dyDescent="0.2">
      <c r="B173" s="42" t="s">
        <v>235</v>
      </c>
      <c r="C173" s="79" t="s">
        <v>159</v>
      </c>
      <c r="D173" s="79" t="s">
        <v>152</v>
      </c>
      <c r="E173" s="80">
        <v>36220</v>
      </c>
      <c r="F173" s="80">
        <v>38656</v>
      </c>
      <c r="G173" s="42" t="s">
        <v>167</v>
      </c>
      <c r="H173" s="42" t="s">
        <v>160</v>
      </c>
      <c r="I173" s="79" t="s">
        <v>162</v>
      </c>
      <c r="J173" s="82">
        <v>0</v>
      </c>
      <c r="K173" s="83">
        <v>0</v>
      </c>
      <c r="L173" s="83">
        <v>2.2000000000000001E-3</v>
      </c>
      <c r="M173" s="83">
        <v>0</v>
      </c>
      <c r="N173" s="83">
        <v>0</v>
      </c>
      <c r="O173" s="84">
        <v>0</v>
      </c>
      <c r="P173" s="83">
        <f t="shared" si="17"/>
        <v>2.2000000000000001E-3</v>
      </c>
      <c r="Q173" s="85" t="s">
        <v>260</v>
      </c>
      <c r="R173" s="85" t="s">
        <v>165</v>
      </c>
      <c r="S173" s="79">
        <v>21</v>
      </c>
      <c r="T173" s="42" t="s">
        <v>257</v>
      </c>
      <c r="U173" s="86">
        <f t="shared" si="18"/>
        <v>0</v>
      </c>
      <c r="V173" s="86"/>
      <c r="W173" s="87">
        <v>157260</v>
      </c>
      <c r="X173" s="1"/>
      <c r="Y173" s="36"/>
      <c r="Z173" s="36"/>
    </row>
    <row r="174" spans="2:26" s="65" customFormat="1" x14ac:dyDescent="0.2">
      <c r="B174" s="42" t="s">
        <v>235</v>
      </c>
      <c r="C174" s="79" t="s">
        <v>159</v>
      </c>
      <c r="D174" s="79" t="s">
        <v>259</v>
      </c>
      <c r="E174" s="80">
        <v>36586</v>
      </c>
      <c r="F174" s="80">
        <v>36616</v>
      </c>
      <c r="G174" s="42" t="s">
        <v>167</v>
      </c>
      <c r="H174" s="42" t="s">
        <v>160</v>
      </c>
      <c r="I174" s="79" t="s">
        <v>162</v>
      </c>
      <c r="J174" s="94">
        <v>0.31380000000000002</v>
      </c>
      <c r="K174" s="94">
        <v>2.7900000000000001E-2</v>
      </c>
      <c r="L174" s="94">
        <v>2.2000000000000001E-3</v>
      </c>
      <c r="M174" s="94">
        <v>7.1999999999999998E-3</v>
      </c>
      <c r="N174" s="94">
        <v>0</v>
      </c>
      <c r="O174" s="84">
        <v>0</v>
      </c>
      <c r="P174" s="83">
        <f t="shared" si="17"/>
        <v>0.35109999999999997</v>
      </c>
      <c r="Q174" s="85" t="s">
        <v>297</v>
      </c>
      <c r="R174" s="85" t="s">
        <v>269</v>
      </c>
      <c r="S174" s="85">
        <v>1405</v>
      </c>
      <c r="T174" s="79" t="s">
        <v>296</v>
      </c>
      <c r="U174" s="95">
        <f>+(0.3074*S174)*31</f>
        <v>13388.806999999999</v>
      </c>
      <c r="V174" s="95"/>
      <c r="W174" s="96">
        <v>204625</v>
      </c>
      <c r="X174" s="1"/>
      <c r="Y174" s="36"/>
      <c r="Z174" s="36"/>
    </row>
    <row r="175" spans="2:26" x14ac:dyDescent="0.2">
      <c r="B175" s="1"/>
      <c r="C175" s="3"/>
      <c r="D175" s="3"/>
      <c r="E175" s="4" t="s">
        <v>3</v>
      </c>
      <c r="F175" s="4"/>
      <c r="G175" s="1"/>
      <c r="H175" s="1"/>
      <c r="I175" s="3"/>
      <c r="J175" s="8"/>
      <c r="K175" s="5"/>
      <c r="L175" s="23"/>
      <c r="M175" s="5"/>
      <c r="N175" s="5"/>
      <c r="O175" s="46"/>
      <c r="P175" s="5"/>
      <c r="Q175" s="52"/>
      <c r="R175" s="52"/>
      <c r="S175" s="53">
        <f>SUM(S168:S174)</f>
        <v>1520</v>
      </c>
      <c r="T175" s="40"/>
      <c r="U175" s="39">
        <f>SUM(U168:U174)</f>
        <v>13388.806999999999</v>
      </c>
      <c r="V175" s="39"/>
      <c r="W175" s="60"/>
      <c r="X175" s="63"/>
      <c r="Y175" s="35"/>
      <c r="Z175" s="35"/>
    </row>
    <row r="176" spans="2:26" x14ac:dyDescent="0.2">
      <c r="B176" s="16" t="s">
        <v>4</v>
      </c>
      <c r="C176" s="17" t="s">
        <v>5</v>
      </c>
      <c r="D176" s="17" t="s">
        <v>6</v>
      </c>
      <c r="E176" s="18" t="s">
        <v>7</v>
      </c>
      <c r="F176" s="18"/>
      <c r="G176" s="16" t="s">
        <v>8</v>
      </c>
      <c r="H176" s="16" t="s">
        <v>9</v>
      </c>
      <c r="I176" s="17" t="s">
        <v>53</v>
      </c>
      <c r="J176" s="19" t="s">
        <v>10</v>
      </c>
      <c r="K176" s="17" t="s">
        <v>11</v>
      </c>
      <c r="L176" s="17" t="s">
        <v>12</v>
      </c>
      <c r="M176" s="17" t="s">
        <v>13</v>
      </c>
      <c r="N176" s="17" t="s">
        <v>14</v>
      </c>
      <c r="O176" s="47" t="s">
        <v>15</v>
      </c>
      <c r="P176" s="17" t="s">
        <v>16</v>
      </c>
      <c r="Q176" s="20" t="s">
        <v>233</v>
      </c>
      <c r="R176" s="20" t="s">
        <v>232</v>
      </c>
      <c r="S176" s="17" t="s">
        <v>17</v>
      </c>
      <c r="T176" s="16" t="s">
        <v>18</v>
      </c>
      <c r="U176" s="21" t="s">
        <v>52</v>
      </c>
      <c r="V176" s="21" t="s">
        <v>51</v>
      </c>
      <c r="W176" s="57" t="s">
        <v>234</v>
      </c>
      <c r="X176" s="62" t="e">
        <f>+#REF!</f>
        <v>#REF!</v>
      </c>
      <c r="Y176" s="36"/>
      <c r="Z176" s="36"/>
    </row>
    <row r="177" spans="2:26" s="91" customFormat="1" x14ac:dyDescent="0.2">
      <c r="B177" s="42" t="s">
        <v>104</v>
      </c>
      <c r="C177" s="79" t="s">
        <v>1</v>
      </c>
      <c r="D177" s="79" t="s">
        <v>168</v>
      </c>
      <c r="E177" s="80">
        <v>36617</v>
      </c>
      <c r="F177" s="80">
        <v>36646</v>
      </c>
      <c r="G177" s="42" t="s">
        <v>33</v>
      </c>
      <c r="H177" s="42" t="s">
        <v>168</v>
      </c>
      <c r="I177" s="79" t="s">
        <v>169</v>
      </c>
      <c r="J177" s="82">
        <v>0</v>
      </c>
      <c r="K177" s="83">
        <v>0</v>
      </c>
      <c r="L177" s="83">
        <v>2.2000000000000001E-3</v>
      </c>
      <c r="M177" s="83">
        <v>0</v>
      </c>
      <c r="N177" s="83">
        <v>0</v>
      </c>
      <c r="O177" s="84">
        <v>0</v>
      </c>
      <c r="P177" s="83">
        <f>SUM(J177:N177)</f>
        <v>2.2000000000000001E-3</v>
      </c>
      <c r="Q177" s="85" t="s">
        <v>459</v>
      </c>
      <c r="R177" s="85" t="s">
        <v>304</v>
      </c>
      <c r="S177" s="79">
        <v>37</v>
      </c>
      <c r="T177" s="81" t="s">
        <v>460</v>
      </c>
      <c r="U177" s="86">
        <f t="shared" ref="U177:U197" si="19">J177*J$1*S177</f>
        <v>0</v>
      </c>
      <c r="V177" s="86"/>
      <c r="W177" s="87">
        <v>229454</v>
      </c>
      <c r="X177" s="42"/>
      <c r="Y177" s="90"/>
      <c r="Z177" s="90"/>
    </row>
    <row r="178" spans="2:26" s="91" customFormat="1" x14ac:dyDescent="0.2">
      <c r="B178" s="42" t="s">
        <v>104</v>
      </c>
      <c r="C178" s="79" t="s">
        <v>1</v>
      </c>
      <c r="D178" s="79" t="s">
        <v>168</v>
      </c>
      <c r="E178" s="80">
        <v>36617</v>
      </c>
      <c r="F178" s="80">
        <v>36646</v>
      </c>
      <c r="G178" s="42" t="s">
        <v>170</v>
      </c>
      <c r="H178" s="42" t="s">
        <v>168</v>
      </c>
      <c r="I178" s="79" t="s">
        <v>169</v>
      </c>
      <c r="J178" s="82">
        <v>0</v>
      </c>
      <c r="K178" s="83">
        <v>0</v>
      </c>
      <c r="L178" s="83">
        <v>2.2000000000000001E-3</v>
      </c>
      <c r="M178" s="83">
        <v>0</v>
      </c>
      <c r="N178" s="83">
        <v>0</v>
      </c>
      <c r="O178" s="84">
        <v>0</v>
      </c>
      <c r="P178" s="83">
        <f t="shared" ref="P178:P183" si="20">SUM(J178:N178)</f>
        <v>2.2000000000000001E-3</v>
      </c>
      <c r="Q178" s="85" t="s">
        <v>459</v>
      </c>
      <c r="R178" s="85" t="s">
        <v>304</v>
      </c>
      <c r="S178" s="79">
        <v>55</v>
      </c>
      <c r="T178" s="81" t="s">
        <v>460</v>
      </c>
      <c r="U178" s="86">
        <f t="shared" si="19"/>
        <v>0</v>
      </c>
      <c r="V178" s="86"/>
      <c r="W178" s="87">
        <v>229454</v>
      </c>
      <c r="X178" s="42"/>
      <c r="Y178" s="90"/>
      <c r="Z178" s="90"/>
    </row>
    <row r="179" spans="2:26" s="91" customFormat="1" x14ac:dyDescent="0.2">
      <c r="B179" s="42" t="s">
        <v>104</v>
      </c>
      <c r="C179" s="79" t="s">
        <v>1</v>
      </c>
      <c r="D179" s="79" t="s">
        <v>168</v>
      </c>
      <c r="E179" s="80">
        <v>36617</v>
      </c>
      <c r="F179" s="80">
        <v>36646</v>
      </c>
      <c r="G179" s="42" t="s">
        <v>171</v>
      </c>
      <c r="H179" s="42" t="s">
        <v>168</v>
      </c>
      <c r="I179" s="79" t="s">
        <v>169</v>
      </c>
      <c r="J179" s="82">
        <v>0</v>
      </c>
      <c r="K179" s="83">
        <v>0</v>
      </c>
      <c r="L179" s="83">
        <v>2.2000000000000001E-3</v>
      </c>
      <c r="M179" s="83">
        <v>0</v>
      </c>
      <c r="N179" s="83">
        <v>0</v>
      </c>
      <c r="O179" s="84">
        <v>0</v>
      </c>
      <c r="P179" s="83">
        <f t="shared" si="20"/>
        <v>2.2000000000000001E-3</v>
      </c>
      <c r="Q179" s="85" t="s">
        <v>459</v>
      </c>
      <c r="R179" s="85" t="s">
        <v>304</v>
      </c>
      <c r="S179" s="79">
        <v>127</v>
      </c>
      <c r="T179" s="81" t="s">
        <v>460</v>
      </c>
      <c r="U179" s="86">
        <f t="shared" si="19"/>
        <v>0</v>
      </c>
      <c r="V179" s="86"/>
      <c r="W179" s="87">
        <v>229454</v>
      </c>
      <c r="X179" s="42"/>
      <c r="Y179" s="90"/>
      <c r="Z179" s="90"/>
    </row>
    <row r="180" spans="2:26" s="91" customFormat="1" x14ac:dyDescent="0.2">
      <c r="B180" s="42" t="s">
        <v>235</v>
      </c>
      <c r="C180" s="79" t="s">
        <v>1</v>
      </c>
      <c r="D180" s="79" t="s">
        <v>143</v>
      </c>
      <c r="E180" s="80">
        <v>36617</v>
      </c>
      <c r="F180" s="80">
        <v>36646</v>
      </c>
      <c r="G180" s="42" t="s">
        <v>33</v>
      </c>
      <c r="H180" s="81" t="s">
        <v>172</v>
      </c>
      <c r="I180" s="79" t="s">
        <v>169</v>
      </c>
      <c r="J180" s="82">
        <f t="shared" ref="J180:J185" si="21">7.5958/J$1</f>
        <v>0.25319333333333333</v>
      </c>
      <c r="K180" s="83">
        <v>0</v>
      </c>
      <c r="L180" s="83">
        <v>2.2000000000000001E-3</v>
      </c>
      <c r="M180" s="83">
        <v>0</v>
      </c>
      <c r="N180" s="83">
        <v>0</v>
      </c>
      <c r="O180" s="84">
        <v>0</v>
      </c>
      <c r="P180" s="83">
        <f>SUM(J180:N180)</f>
        <v>0.25539333333333331</v>
      </c>
      <c r="Q180" s="85" t="s">
        <v>456</v>
      </c>
      <c r="R180" s="85" t="s">
        <v>289</v>
      </c>
      <c r="S180" s="79">
        <v>1131</v>
      </c>
      <c r="T180" s="42" t="s">
        <v>455</v>
      </c>
      <c r="U180" s="89">
        <f t="shared" si="19"/>
        <v>8590.8498</v>
      </c>
      <c r="V180" s="86"/>
      <c r="W180" s="87">
        <v>224970</v>
      </c>
      <c r="X180" s="42"/>
      <c r="Y180" s="90"/>
      <c r="Z180" s="90"/>
    </row>
    <row r="181" spans="2:26" s="91" customFormat="1" x14ac:dyDescent="0.2">
      <c r="B181" s="42" t="s">
        <v>235</v>
      </c>
      <c r="C181" s="79" t="s">
        <v>1</v>
      </c>
      <c r="D181" s="79" t="s">
        <v>143</v>
      </c>
      <c r="E181" s="80">
        <v>36617</v>
      </c>
      <c r="F181" s="80">
        <v>36646</v>
      </c>
      <c r="G181" s="42" t="s">
        <v>170</v>
      </c>
      <c r="H181" s="81" t="s">
        <v>172</v>
      </c>
      <c r="I181" s="79" t="s">
        <v>169</v>
      </c>
      <c r="J181" s="82">
        <f t="shared" si="21"/>
        <v>0.25319333333333333</v>
      </c>
      <c r="K181" s="83">
        <v>0</v>
      </c>
      <c r="L181" s="83">
        <v>2.2000000000000001E-3</v>
      </c>
      <c r="M181" s="83">
        <v>0</v>
      </c>
      <c r="N181" s="83">
        <v>0</v>
      </c>
      <c r="O181" s="84">
        <v>0</v>
      </c>
      <c r="P181" s="83">
        <f>SUM(J181:N181)</f>
        <v>0.25539333333333331</v>
      </c>
      <c r="Q181" s="85" t="s">
        <v>456</v>
      </c>
      <c r="R181" s="85" t="s">
        <v>290</v>
      </c>
      <c r="S181" s="79">
        <v>1661</v>
      </c>
      <c r="T181" s="42" t="s">
        <v>455</v>
      </c>
      <c r="U181" s="89">
        <f t="shared" si="19"/>
        <v>12616.623799999999</v>
      </c>
      <c r="V181" s="86"/>
      <c r="W181" s="87">
        <v>224970</v>
      </c>
      <c r="X181" s="42"/>
      <c r="Y181" s="90"/>
      <c r="Z181" s="90"/>
    </row>
    <row r="182" spans="2:26" s="91" customFormat="1" x14ac:dyDescent="0.2">
      <c r="B182" s="42" t="s">
        <v>235</v>
      </c>
      <c r="C182" s="79" t="s">
        <v>1</v>
      </c>
      <c r="D182" s="79" t="s">
        <v>143</v>
      </c>
      <c r="E182" s="80">
        <v>36617</v>
      </c>
      <c r="F182" s="80">
        <v>36646</v>
      </c>
      <c r="G182" s="42" t="s">
        <v>171</v>
      </c>
      <c r="H182" s="81" t="s">
        <v>172</v>
      </c>
      <c r="I182" s="79" t="s">
        <v>169</v>
      </c>
      <c r="J182" s="82">
        <f t="shared" si="21"/>
        <v>0.25319333333333333</v>
      </c>
      <c r="K182" s="83">
        <v>0</v>
      </c>
      <c r="L182" s="83">
        <v>2.2000000000000001E-3</v>
      </c>
      <c r="M182" s="83">
        <v>0</v>
      </c>
      <c r="N182" s="83">
        <v>0</v>
      </c>
      <c r="O182" s="84">
        <v>0</v>
      </c>
      <c r="P182" s="83">
        <f>SUM(J182:N182)</f>
        <v>0.25539333333333331</v>
      </c>
      <c r="Q182" s="85" t="s">
        <v>456</v>
      </c>
      <c r="R182" s="85" t="s">
        <v>291</v>
      </c>
      <c r="S182" s="79">
        <f>1264+2594</f>
        <v>3858</v>
      </c>
      <c r="T182" s="42" t="s">
        <v>455</v>
      </c>
      <c r="U182" s="89">
        <f t="shared" si="19"/>
        <v>29304.596399999999</v>
      </c>
      <c r="V182" s="86"/>
      <c r="W182" s="87">
        <v>224970</v>
      </c>
      <c r="X182" s="42"/>
      <c r="Y182" s="90"/>
      <c r="Z182" s="90"/>
    </row>
    <row r="183" spans="2:26" s="91" customFormat="1" x14ac:dyDescent="0.2">
      <c r="B183" s="42" t="s">
        <v>235</v>
      </c>
      <c r="C183" s="79" t="s">
        <v>1</v>
      </c>
      <c r="D183" s="79" t="s">
        <v>143</v>
      </c>
      <c r="E183" s="80">
        <v>36617</v>
      </c>
      <c r="F183" s="80">
        <v>36646</v>
      </c>
      <c r="G183" s="42" t="s">
        <v>33</v>
      </c>
      <c r="H183" s="81" t="s">
        <v>172</v>
      </c>
      <c r="I183" s="79" t="s">
        <v>169</v>
      </c>
      <c r="J183" s="82">
        <f t="shared" si="21"/>
        <v>0.25319333333333333</v>
      </c>
      <c r="K183" s="83">
        <v>0</v>
      </c>
      <c r="L183" s="83">
        <v>2.2000000000000001E-3</v>
      </c>
      <c r="M183" s="83">
        <v>0</v>
      </c>
      <c r="N183" s="83">
        <v>0</v>
      </c>
      <c r="O183" s="84">
        <v>0</v>
      </c>
      <c r="P183" s="83">
        <f t="shared" si="20"/>
        <v>0.25539333333333331</v>
      </c>
      <c r="Q183" s="85" t="s">
        <v>454</v>
      </c>
      <c r="R183" s="85" t="s">
        <v>295</v>
      </c>
      <c r="S183" s="152">
        <v>68</v>
      </c>
      <c r="T183" s="42" t="s">
        <v>453</v>
      </c>
      <c r="U183" s="89">
        <f t="shared" si="19"/>
        <v>516.51440000000002</v>
      </c>
      <c r="V183" s="86"/>
      <c r="W183" s="87">
        <v>224953</v>
      </c>
      <c r="X183" s="42"/>
      <c r="Y183" s="90"/>
      <c r="Z183" s="90"/>
    </row>
    <row r="184" spans="2:26" s="91" customFormat="1" x14ac:dyDescent="0.2">
      <c r="B184" s="42" t="s">
        <v>235</v>
      </c>
      <c r="C184" s="79" t="s">
        <v>1</v>
      </c>
      <c r="D184" s="79" t="s">
        <v>143</v>
      </c>
      <c r="E184" s="80">
        <v>36617</v>
      </c>
      <c r="F184" s="80">
        <v>36646</v>
      </c>
      <c r="G184" s="42" t="s">
        <v>170</v>
      </c>
      <c r="H184" s="81" t="s">
        <v>172</v>
      </c>
      <c r="I184" s="79" t="s">
        <v>169</v>
      </c>
      <c r="J184" s="82">
        <f t="shared" si="21"/>
        <v>0.25319333333333333</v>
      </c>
      <c r="K184" s="83">
        <v>0</v>
      </c>
      <c r="L184" s="83">
        <v>2.2000000000000001E-3</v>
      </c>
      <c r="M184" s="83">
        <v>0</v>
      </c>
      <c r="N184" s="83">
        <v>0</v>
      </c>
      <c r="O184" s="84">
        <v>0</v>
      </c>
      <c r="P184" s="83">
        <f>SUM(J184:N184)</f>
        <v>0.25539333333333331</v>
      </c>
      <c r="Q184" s="85" t="s">
        <v>454</v>
      </c>
      <c r="R184" s="85" t="s">
        <v>295</v>
      </c>
      <c r="S184" s="79">
        <v>100</v>
      </c>
      <c r="T184" s="42" t="s">
        <v>453</v>
      </c>
      <c r="U184" s="89">
        <f t="shared" si="19"/>
        <v>759.57999999999993</v>
      </c>
      <c r="V184" s="86"/>
      <c r="W184" s="87">
        <v>224953</v>
      </c>
      <c r="X184" s="42"/>
      <c r="Y184" s="90"/>
      <c r="Z184" s="90"/>
    </row>
    <row r="185" spans="2:26" s="91" customFormat="1" x14ac:dyDescent="0.2">
      <c r="B185" s="42" t="s">
        <v>235</v>
      </c>
      <c r="C185" s="79" t="s">
        <v>1</v>
      </c>
      <c r="D185" s="79" t="s">
        <v>143</v>
      </c>
      <c r="E185" s="80">
        <v>36617</v>
      </c>
      <c r="F185" s="80">
        <v>36646</v>
      </c>
      <c r="G185" s="42" t="s">
        <v>171</v>
      </c>
      <c r="H185" s="81" t="s">
        <v>172</v>
      </c>
      <c r="I185" s="79" t="s">
        <v>169</v>
      </c>
      <c r="J185" s="82">
        <f t="shared" si="21"/>
        <v>0.25319333333333333</v>
      </c>
      <c r="K185" s="83">
        <v>0</v>
      </c>
      <c r="L185" s="83">
        <v>2.2000000000000001E-3</v>
      </c>
      <c r="M185" s="83">
        <v>0</v>
      </c>
      <c r="N185" s="83">
        <v>0</v>
      </c>
      <c r="O185" s="84">
        <v>0</v>
      </c>
      <c r="P185" s="83">
        <f>SUM(J185:N185)</f>
        <v>0.25539333333333331</v>
      </c>
      <c r="Q185" s="85" t="s">
        <v>454</v>
      </c>
      <c r="R185" s="85" t="s">
        <v>295</v>
      </c>
      <c r="S185" s="79">
        <f>76+156</f>
        <v>232</v>
      </c>
      <c r="T185" s="42" t="s">
        <v>453</v>
      </c>
      <c r="U185" s="89">
        <f t="shared" si="19"/>
        <v>1762.2256</v>
      </c>
      <c r="V185" s="86"/>
      <c r="W185" s="87">
        <v>224953</v>
      </c>
      <c r="X185" s="42"/>
      <c r="Y185" s="90"/>
      <c r="Z185" s="90"/>
    </row>
    <row r="186" spans="2:26" s="91" customFormat="1" x14ac:dyDescent="0.2">
      <c r="B186" s="42" t="s">
        <v>235</v>
      </c>
      <c r="C186" s="79" t="s">
        <v>1</v>
      </c>
      <c r="D186" s="79" t="s">
        <v>143</v>
      </c>
      <c r="E186" s="80">
        <v>36617</v>
      </c>
      <c r="F186" s="80">
        <v>36646</v>
      </c>
      <c r="G186" s="42" t="s">
        <v>173</v>
      </c>
      <c r="H186" s="81" t="s">
        <v>172</v>
      </c>
      <c r="I186" s="79" t="s">
        <v>174</v>
      </c>
      <c r="J186" s="82">
        <f>14.1875/30</f>
        <v>0.47291666666666665</v>
      </c>
      <c r="K186" s="83">
        <v>0</v>
      </c>
      <c r="L186" s="83">
        <v>2.2000000000000001E-3</v>
      </c>
      <c r="M186" s="83">
        <v>0</v>
      </c>
      <c r="N186" s="83">
        <v>0</v>
      </c>
      <c r="O186" s="84">
        <v>0</v>
      </c>
      <c r="P186" s="83">
        <f>SUM(J186:N186)</f>
        <v>0.47511666666666663</v>
      </c>
      <c r="Q186" s="153" t="s">
        <v>457</v>
      </c>
      <c r="R186" s="85" t="s">
        <v>294</v>
      </c>
      <c r="S186" s="79">
        <v>5278</v>
      </c>
      <c r="T186" s="42" t="s">
        <v>458</v>
      </c>
      <c r="U186" s="89">
        <f t="shared" si="19"/>
        <v>74881.625</v>
      </c>
      <c r="V186" s="86"/>
      <c r="W186" s="87">
        <v>224975</v>
      </c>
      <c r="X186" s="42"/>
      <c r="Y186" s="90"/>
      <c r="Z186" s="90"/>
    </row>
    <row r="187" spans="2:26" s="65" customFormat="1" x14ac:dyDescent="0.2">
      <c r="B187" s="1" t="s">
        <v>235</v>
      </c>
      <c r="C187" s="3" t="s">
        <v>1</v>
      </c>
      <c r="D187" s="3" t="s">
        <v>143</v>
      </c>
      <c r="E187" s="4">
        <v>36586</v>
      </c>
      <c r="F187" s="4">
        <v>36616</v>
      </c>
      <c r="G187" s="1" t="s">
        <v>236</v>
      </c>
      <c r="H187" s="1" t="s">
        <v>172</v>
      </c>
      <c r="I187" s="3" t="s">
        <v>175</v>
      </c>
      <c r="J187" s="8">
        <f>15.0624/J$1</f>
        <v>0.50207999999999997</v>
      </c>
      <c r="K187" s="5"/>
      <c r="L187" s="5"/>
      <c r="M187" s="5"/>
      <c r="N187" s="5"/>
      <c r="O187" s="46"/>
      <c r="P187" s="5"/>
      <c r="R187" s="24" t="s">
        <v>308</v>
      </c>
      <c r="S187" s="3">
        <v>892</v>
      </c>
      <c r="T187" s="1" t="s">
        <v>309</v>
      </c>
      <c r="U187" s="78">
        <f t="shared" si="19"/>
        <v>13435.660799999998</v>
      </c>
      <c r="V187" s="9"/>
      <c r="W187" s="59">
        <v>207149</v>
      </c>
      <c r="X187" s="1"/>
      <c r="Y187" s="36"/>
      <c r="Z187" s="36"/>
    </row>
    <row r="188" spans="2:26" s="65" customFormat="1" x14ac:dyDescent="0.2">
      <c r="B188" s="1" t="s">
        <v>235</v>
      </c>
      <c r="C188" s="3" t="s">
        <v>1</v>
      </c>
      <c r="D188" s="3" t="s">
        <v>143</v>
      </c>
      <c r="E188" s="4">
        <v>36557</v>
      </c>
      <c r="F188" s="4">
        <v>36585</v>
      </c>
      <c r="G188" s="1" t="s">
        <v>192</v>
      </c>
      <c r="H188" s="29"/>
      <c r="I188" s="3" t="s">
        <v>191</v>
      </c>
      <c r="J188" s="8">
        <v>7.9000000000000008E-3</v>
      </c>
      <c r="K188" s="5">
        <v>0</v>
      </c>
      <c r="L188" s="5">
        <v>2.2000000000000001E-3</v>
      </c>
      <c r="M188" s="5">
        <v>0</v>
      </c>
      <c r="N188" s="5">
        <v>0</v>
      </c>
      <c r="O188" s="46">
        <v>0</v>
      </c>
      <c r="P188" s="5">
        <f t="shared" ref="P188:P195" si="22">SUM(J188:N188)</f>
        <v>1.0100000000000001E-2</v>
      </c>
      <c r="R188" s="24" t="s">
        <v>287</v>
      </c>
      <c r="S188" s="3">
        <v>396361</v>
      </c>
      <c r="T188" s="1"/>
      <c r="U188" s="151">
        <f>+S188*J188</f>
        <v>3131.2519000000002</v>
      </c>
      <c r="V188" s="9"/>
      <c r="W188" s="59">
        <v>204191</v>
      </c>
      <c r="X188" s="1"/>
      <c r="Y188" s="36"/>
      <c r="Z188" s="36"/>
    </row>
    <row r="189" spans="2:26" s="65" customFormat="1" x14ac:dyDescent="0.2">
      <c r="B189" s="1" t="s">
        <v>235</v>
      </c>
      <c r="C189" s="3" t="s">
        <v>1</v>
      </c>
      <c r="D189" s="3" t="s">
        <v>143</v>
      </c>
      <c r="E189" s="4">
        <v>36557</v>
      </c>
      <c r="F189" s="4">
        <v>36585</v>
      </c>
      <c r="G189" s="1" t="s">
        <v>190</v>
      </c>
      <c r="H189" s="29"/>
      <c r="I189" s="3" t="s">
        <v>191</v>
      </c>
      <c r="J189" s="8">
        <v>0.6673</v>
      </c>
      <c r="K189" s="5">
        <v>0</v>
      </c>
      <c r="L189" s="5">
        <v>2.2000000000000001E-3</v>
      </c>
      <c r="M189" s="5">
        <v>0</v>
      </c>
      <c r="N189" s="5">
        <v>0</v>
      </c>
      <c r="O189" s="46">
        <v>0</v>
      </c>
      <c r="P189" s="5">
        <f t="shared" si="22"/>
        <v>0.66949999999999998</v>
      </c>
      <c r="R189" s="24" t="s">
        <v>287</v>
      </c>
      <c r="S189" s="3">
        <v>4663</v>
      </c>
      <c r="T189" s="1"/>
      <c r="U189" s="151">
        <f>+S189*J189</f>
        <v>3111.6199000000001</v>
      </c>
      <c r="V189" s="9"/>
      <c r="W189" s="59">
        <v>204191</v>
      </c>
      <c r="X189" s="1"/>
      <c r="Y189" s="36"/>
      <c r="Z189" s="36"/>
    </row>
    <row r="190" spans="2:26" s="65" customFormat="1" x14ac:dyDescent="0.2">
      <c r="B190" s="1" t="s">
        <v>235</v>
      </c>
      <c r="C190" s="3" t="s">
        <v>1</v>
      </c>
      <c r="D190" s="3" t="s">
        <v>143</v>
      </c>
      <c r="E190" s="4">
        <v>36586</v>
      </c>
      <c r="F190" s="4">
        <v>36616</v>
      </c>
      <c r="G190" s="1" t="s">
        <v>193</v>
      </c>
      <c r="H190" s="29"/>
      <c r="I190" s="3" t="s">
        <v>195</v>
      </c>
      <c r="J190" s="8">
        <v>4.8099999999999997E-2</v>
      </c>
      <c r="K190" s="5">
        <v>0</v>
      </c>
      <c r="L190" s="5">
        <v>2.2000000000000001E-3</v>
      </c>
      <c r="M190" s="5">
        <v>0</v>
      </c>
      <c r="N190" s="5">
        <v>0</v>
      </c>
      <c r="O190" s="46">
        <v>0</v>
      </c>
      <c r="P190" s="5">
        <f t="shared" si="22"/>
        <v>5.0299999999999997E-2</v>
      </c>
      <c r="R190" s="24" t="s">
        <v>288</v>
      </c>
      <c r="S190" s="3">
        <v>7485</v>
      </c>
      <c r="T190" s="1" t="s">
        <v>293</v>
      </c>
      <c r="U190" s="151">
        <f t="shared" si="19"/>
        <v>10800.855</v>
      </c>
      <c r="V190" s="9"/>
      <c r="W190" s="59">
        <v>204191</v>
      </c>
      <c r="X190" s="1"/>
      <c r="Y190" s="36"/>
      <c r="Z190" s="36"/>
    </row>
    <row r="191" spans="2:26" s="65" customFormat="1" x14ac:dyDescent="0.2">
      <c r="B191" s="1" t="s">
        <v>235</v>
      </c>
      <c r="C191" s="3" t="s">
        <v>1</v>
      </c>
      <c r="D191" s="3" t="s">
        <v>143</v>
      </c>
      <c r="E191" s="4">
        <v>36586</v>
      </c>
      <c r="F191" s="4">
        <v>36616</v>
      </c>
      <c r="G191" s="1" t="s">
        <v>194</v>
      </c>
      <c r="H191" s="29"/>
      <c r="I191" s="3" t="s">
        <v>195</v>
      </c>
      <c r="J191" s="8">
        <v>0.48399999999999999</v>
      </c>
      <c r="K191" s="5">
        <v>0</v>
      </c>
      <c r="L191" s="5">
        <v>2.2000000000000001E-3</v>
      </c>
      <c r="M191" s="5">
        <v>0</v>
      </c>
      <c r="N191" s="5">
        <v>0</v>
      </c>
      <c r="O191" s="46">
        <v>0</v>
      </c>
      <c r="P191" s="5">
        <f t="shared" si="22"/>
        <v>0.48619999999999997</v>
      </c>
      <c r="R191" s="24" t="s">
        <v>276</v>
      </c>
      <c r="S191" s="3">
        <v>744</v>
      </c>
      <c r="T191" s="1" t="s">
        <v>292</v>
      </c>
      <c r="U191" s="151">
        <f t="shared" si="19"/>
        <v>10802.88</v>
      </c>
      <c r="V191" s="9"/>
      <c r="W191" s="59">
        <v>204184</v>
      </c>
      <c r="X191" s="1"/>
      <c r="Y191" s="36"/>
      <c r="Z191" s="36"/>
    </row>
    <row r="192" spans="2:26" s="65" customFormat="1" x14ac:dyDescent="0.2">
      <c r="B192" s="1" t="s">
        <v>104</v>
      </c>
      <c r="C192" s="3" t="s">
        <v>1</v>
      </c>
      <c r="D192" s="3" t="s">
        <v>152</v>
      </c>
      <c r="E192" s="4">
        <v>35977</v>
      </c>
      <c r="F192" s="4">
        <v>39599</v>
      </c>
      <c r="G192" s="1" t="s">
        <v>181</v>
      </c>
      <c r="H192" s="1" t="s">
        <v>182</v>
      </c>
      <c r="I192" s="3" t="s">
        <v>184</v>
      </c>
      <c r="J192" s="8">
        <f>4.7713/J$1</f>
        <v>0.15904333333333334</v>
      </c>
      <c r="K192" s="5">
        <v>0</v>
      </c>
      <c r="L192" s="5">
        <v>2.2000000000000001E-3</v>
      </c>
      <c r="M192" s="5">
        <v>0</v>
      </c>
      <c r="N192" s="5">
        <v>0</v>
      </c>
      <c r="O192" s="46">
        <v>0</v>
      </c>
      <c r="P192" s="5">
        <f t="shared" si="22"/>
        <v>0.16124333333333335</v>
      </c>
      <c r="Q192" s="66" t="s">
        <v>183</v>
      </c>
      <c r="R192" s="66" t="s">
        <v>183</v>
      </c>
      <c r="S192" s="3">
        <v>15</v>
      </c>
      <c r="T192" s="1" t="s">
        <v>185</v>
      </c>
      <c r="U192" s="78">
        <f t="shared" si="19"/>
        <v>71.569500000000005</v>
      </c>
      <c r="V192" s="9"/>
      <c r="W192" s="67" t="s">
        <v>196</v>
      </c>
      <c r="X192" s="1"/>
      <c r="Y192" s="36"/>
      <c r="Z192" s="36"/>
    </row>
    <row r="193" spans="2:26" s="65" customFormat="1" x14ac:dyDescent="0.2">
      <c r="B193" s="1" t="s">
        <v>104</v>
      </c>
      <c r="C193" s="3" t="s">
        <v>1</v>
      </c>
      <c r="D193" s="3" t="s">
        <v>152</v>
      </c>
      <c r="E193" s="4">
        <v>36130</v>
      </c>
      <c r="F193" s="4">
        <v>39599</v>
      </c>
      <c r="G193" s="1" t="s">
        <v>181</v>
      </c>
      <c r="H193" s="1" t="s">
        <v>182</v>
      </c>
      <c r="I193" s="3" t="s">
        <v>184</v>
      </c>
      <c r="J193" s="8">
        <f>4.7713/J$1</f>
        <v>0.15904333333333334</v>
      </c>
      <c r="K193" s="5">
        <v>0</v>
      </c>
      <c r="L193" s="5">
        <v>2.2000000000000001E-3</v>
      </c>
      <c r="M193" s="5">
        <v>0</v>
      </c>
      <c r="N193" s="5">
        <v>0</v>
      </c>
      <c r="O193" s="46">
        <v>0</v>
      </c>
      <c r="P193" s="5">
        <f t="shared" si="22"/>
        <v>0.16124333333333335</v>
      </c>
      <c r="Q193" s="66" t="s">
        <v>186</v>
      </c>
      <c r="R193" s="66" t="s">
        <v>186</v>
      </c>
      <c r="S193" s="3">
        <v>2</v>
      </c>
      <c r="T193" s="1" t="s">
        <v>187</v>
      </c>
      <c r="U193" s="78">
        <f t="shared" si="19"/>
        <v>9.5426000000000002</v>
      </c>
      <c r="V193" s="9"/>
      <c r="W193" s="67" t="s">
        <v>197</v>
      </c>
      <c r="X193" s="1"/>
      <c r="Y193" s="36"/>
      <c r="Z193" s="36"/>
    </row>
    <row r="194" spans="2:26" s="65" customFormat="1" x14ac:dyDescent="0.2">
      <c r="B194" s="1" t="s">
        <v>104</v>
      </c>
      <c r="C194" s="3" t="s">
        <v>1</v>
      </c>
      <c r="D194" s="3" t="s">
        <v>152</v>
      </c>
      <c r="E194" s="4">
        <v>36220</v>
      </c>
      <c r="F194" s="4">
        <v>39599</v>
      </c>
      <c r="G194" s="1" t="s">
        <v>181</v>
      </c>
      <c r="H194" s="1" t="s">
        <v>182</v>
      </c>
      <c r="I194" s="3" t="s">
        <v>184</v>
      </c>
      <c r="J194" s="8">
        <f>4.7713/J$1</f>
        <v>0.15904333333333334</v>
      </c>
      <c r="K194" s="5">
        <v>0</v>
      </c>
      <c r="L194" s="5">
        <v>2.2000000000000001E-3</v>
      </c>
      <c r="M194" s="5">
        <v>0</v>
      </c>
      <c r="N194" s="5">
        <v>0</v>
      </c>
      <c r="O194" s="46">
        <v>0</v>
      </c>
      <c r="P194" s="5">
        <f t="shared" si="22"/>
        <v>0.16124333333333335</v>
      </c>
      <c r="Q194" s="66" t="s">
        <v>189</v>
      </c>
      <c r="R194" s="66" t="s">
        <v>189</v>
      </c>
      <c r="S194" s="3">
        <v>5</v>
      </c>
      <c r="T194" s="1" t="s">
        <v>188</v>
      </c>
      <c r="U194" s="78">
        <f t="shared" si="19"/>
        <v>23.8565</v>
      </c>
      <c r="V194" s="9"/>
      <c r="W194" s="67" t="s">
        <v>198</v>
      </c>
      <c r="X194" s="1"/>
      <c r="Y194" s="36"/>
      <c r="Z194" s="36"/>
    </row>
    <row r="195" spans="2:26" s="91" customFormat="1" x14ac:dyDescent="0.2">
      <c r="B195" s="42" t="s">
        <v>235</v>
      </c>
      <c r="C195" s="79" t="s">
        <v>1</v>
      </c>
      <c r="D195" s="79" t="s">
        <v>177</v>
      </c>
      <c r="E195" s="80">
        <v>36586</v>
      </c>
      <c r="F195" s="80">
        <v>36616</v>
      </c>
      <c r="G195" s="42" t="s">
        <v>173</v>
      </c>
      <c r="H195" s="81" t="s">
        <v>178</v>
      </c>
      <c r="I195" s="79" t="s">
        <v>179</v>
      </c>
      <c r="J195" s="82">
        <v>0.4955</v>
      </c>
      <c r="K195" s="83">
        <v>0</v>
      </c>
      <c r="L195" s="83">
        <v>2.2000000000000001E-3</v>
      </c>
      <c r="M195" s="83">
        <v>0</v>
      </c>
      <c r="N195" s="83">
        <v>0</v>
      </c>
      <c r="O195" s="84">
        <v>0</v>
      </c>
      <c r="P195" s="83">
        <f t="shared" si="22"/>
        <v>0.49769999999999998</v>
      </c>
      <c r="Q195" s="98">
        <v>3.3908999999999998</v>
      </c>
      <c r="R195" s="88" t="s">
        <v>199</v>
      </c>
      <c r="S195" s="79">
        <v>145</v>
      </c>
      <c r="T195" s="81" t="s">
        <v>305</v>
      </c>
      <c r="U195" s="121">
        <v>0</v>
      </c>
      <c r="V195" s="86" t="s">
        <v>375</v>
      </c>
      <c r="W195" s="90">
        <v>144552</v>
      </c>
      <c r="X195" s="42"/>
      <c r="Y195" s="90"/>
      <c r="Z195" s="90"/>
    </row>
    <row r="196" spans="2:26" x14ac:dyDescent="0.2">
      <c r="B196" s="27" t="s">
        <v>104</v>
      </c>
      <c r="C196" s="3" t="s">
        <v>1</v>
      </c>
      <c r="D196" s="3" t="s">
        <v>277</v>
      </c>
      <c r="E196" s="4">
        <v>36526</v>
      </c>
      <c r="F196" s="4">
        <v>38564</v>
      </c>
      <c r="G196" s="1" t="s">
        <v>278</v>
      </c>
      <c r="H196" s="1" t="s">
        <v>279</v>
      </c>
      <c r="I196" s="3" t="s">
        <v>162</v>
      </c>
      <c r="J196" s="8">
        <v>0.13736999999999999</v>
      </c>
      <c r="K196" s="5"/>
      <c r="L196" s="5"/>
      <c r="M196" s="5"/>
      <c r="N196" s="5"/>
      <c r="O196" s="46"/>
      <c r="P196" s="5"/>
      <c r="Q196" s="77">
        <v>2.6598000000000002</v>
      </c>
      <c r="R196" s="52">
        <v>14800</v>
      </c>
      <c r="S196" s="53">
        <v>14800</v>
      </c>
      <c r="T196" s="40"/>
      <c r="U196" s="86">
        <f t="shared" si="19"/>
        <v>60992.280000000006</v>
      </c>
      <c r="V196" s="28"/>
      <c r="W196" s="55">
        <v>165423</v>
      </c>
      <c r="X196" s="61"/>
      <c r="Y196" s="35"/>
      <c r="Z196" s="35"/>
    </row>
    <row r="197" spans="2:26" x14ac:dyDescent="0.2">
      <c r="B197" s="27" t="s">
        <v>104</v>
      </c>
      <c r="C197" s="3" t="s">
        <v>1</v>
      </c>
      <c r="D197" s="3" t="s">
        <v>277</v>
      </c>
      <c r="E197" s="4">
        <v>36526</v>
      </c>
      <c r="F197" s="4">
        <v>38564</v>
      </c>
      <c r="G197" s="1" t="s">
        <v>278</v>
      </c>
      <c r="H197" s="1" t="s">
        <v>279</v>
      </c>
      <c r="I197" s="3" t="s">
        <v>162</v>
      </c>
      <c r="J197" s="8">
        <v>0.13736999999999999</v>
      </c>
      <c r="K197" s="5"/>
      <c r="L197" s="5"/>
      <c r="M197" s="5"/>
      <c r="N197" s="5"/>
      <c r="O197" s="46"/>
      <c r="P197" s="5"/>
      <c r="Q197" s="77">
        <v>2.6591999999999998</v>
      </c>
      <c r="R197" s="52">
        <v>755</v>
      </c>
      <c r="S197" s="53">
        <v>755</v>
      </c>
      <c r="T197" s="40"/>
      <c r="U197" s="86">
        <f t="shared" si="19"/>
        <v>3111.4304999999999</v>
      </c>
      <c r="V197" s="28"/>
      <c r="W197" s="55">
        <v>165415</v>
      </c>
      <c r="X197" s="61"/>
      <c r="Y197" s="35"/>
      <c r="Z197" s="35"/>
    </row>
    <row r="198" spans="2:26" x14ac:dyDescent="0.2">
      <c r="B198" s="27"/>
      <c r="C198" s="3"/>
      <c r="D198" s="3"/>
      <c r="E198" s="4"/>
      <c r="F198" s="4"/>
      <c r="G198" s="1"/>
      <c r="H198" s="1"/>
      <c r="I198" s="3"/>
      <c r="J198" s="8"/>
      <c r="K198" s="5"/>
      <c r="L198" s="5"/>
      <c r="M198" s="5"/>
      <c r="N198" s="5"/>
      <c r="O198" s="46"/>
      <c r="P198" s="5"/>
      <c r="Q198" s="52"/>
      <c r="R198" s="52"/>
      <c r="S198" s="53"/>
      <c r="T198" s="28"/>
      <c r="U198" s="28">
        <f>SUM(U177:U197)</f>
        <v>233922.96169999996</v>
      </c>
      <c r="V198" s="28"/>
      <c r="W198" s="55"/>
      <c r="X198" s="61"/>
      <c r="Y198" s="35"/>
      <c r="Z198" s="35"/>
    </row>
    <row r="199" spans="2:26" x14ac:dyDescent="0.2">
      <c r="B199" s="27"/>
      <c r="C199" s="3"/>
      <c r="D199" s="3"/>
      <c r="E199" s="4"/>
      <c r="F199" s="4"/>
      <c r="G199" s="1"/>
      <c r="H199" s="1"/>
      <c r="I199" s="3"/>
      <c r="J199" s="5"/>
      <c r="K199" s="5"/>
      <c r="L199" s="5"/>
      <c r="M199" s="5"/>
      <c r="N199" s="5"/>
      <c r="O199" s="46"/>
      <c r="P199" s="5"/>
      <c r="Q199" s="52"/>
      <c r="R199" s="52"/>
      <c r="S199" s="53"/>
      <c r="T199" s="28"/>
      <c r="U199" s="28"/>
      <c r="V199" s="28"/>
      <c r="W199" s="55"/>
      <c r="X199" s="61"/>
      <c r="Y199" s="35"/>
      <c r="Z199" s="35"/>
    </row>
    <row r="200" spans="2:26" x14ac:dyDescent="0.2">
      <c r="B200" s="27"/>
      <c r="C200" s="3"/>
      <c r="D200" s="3"/>
      <c r="E200" s="4"/>
      <c r="F200" s="4"/>
      <c r="G200" s="1"/>
      <c r="H200" s="1"/>
      <c r="I200" s="3"/>
      <c r="J200" s="8"/>
      <c r="K200" s="5"/>
      <c r="L200" s="5"/>
      <c r="M200" s="5"/>
      <c r="N200" s="5"/>
      <c r="O200" s="46"/>
      <c r="P200" s="5"/>
      <c r="Q200" s="52"/>
      <c r="R200" s="52"/>
      <c r="S200" s="53"/>
      <c r="T200" s="28"/>
      <c r="U200" s="28"/>
      <c r="V200" s="28"/>
      <c r="W200" s="55"/>
      <c r="X200" s="61"/>
      <c r="Y200" s="35"/>
      <c r="Z200" s="35"/>
    </row>
    <row r="201" spans="2:26" ht="13.5" thickBot="1" x14ac:dyDescent="0.25">
      <c r="B201" s="27"/>
      <c r="C201" s="3"/>
      <c r="D201" s="3"/>
      <c r="E201" s="4"/>
      <c r="F201" s="4"/>
      <c r="G201" s="1"/>
      <c r="H201" s="1"/>
      <c r="I201" s="3"/>
      <c r="J201" s="5"/>
      <c r="K201" s="5"/>
      <c r="L201" s="5"/>
      <c r="M201" s="5"/>
      <c r="N201" s="5"/>
      <c r="O201" s="46"/>
      <c r="P201" s="5"/>
      <c r="Q201" s="52"/>
      <c r="R201" s="52"/>
      <c r="S201" s="53"/>
      <c r="T201" s="28"/>
      <c r="U201" s="122">
        <f>SUM(U198,U175,U166,U150,U98,U42,U29)</f>
        <v>2043143.4023805978</v>
      </c>
      <c r="V201" s="28" t="s">
        <v>306</v>
      </c>
      <c r="W201" s="55"/>
      <c r="X201" s="61"/>
      <c r="Y201" s="35"/>
      <c r="Z201" s="35"/>
    </row>
    <row r="202" spans="2:26" ht="13.5" thickTop="1" x14ac:dyDescent="0.2">
      <c r="B202" s="27"/>
      <c r="C202" s="3"/>
      <c r="D202" s="3"/>
      <c r="E202" s="4"/>
      <c r="F202" s="4"/>
      <c r="G202" s="1"/>
      <c r="H202" s="1"/>
      <c r="I202" s="3"/>
      <c r="J202" s="5"/>
      <c r="K202" s="5"/>
      <c r="L202" s="5"/>
      <c r="M202" s="5"/>
      <c r="N202" s="5"/>
      <c r="O202" s="46"/>
      <c r="P202" s="5"/>
      <c r="Q202" s="52"/>
      <c r="R202" s="52"/>
      <c r="S202" s="53"/>
      <c r="T202" s="28"/>
      <c r="U202" s="28"/>
      <c r="V202" s="61" t="s">
        <v>376</v>
      </c>
      <c r="W202" s="55"/>
      <c r="X202" s="61"/>
      <c r="Y202" s="40"/>
      <c r="Z202" s="35"/>
    </row>
    <row r="203" spans="2:26" x14ac:dyDescent="0.2">
      <c r="B203" s="27"/>
      <c r="C203" s="3"/>
      <c r="D203" s="3"/>
      <c r="E203" s="4"/>
      <c r="F203" s="4"/>
      <c r="G203" s="1"/>
      <c r="H203" s="1"/>
      <c r="I203" s="3"/>
      <c r="J203" s="5"/>
      <c r="K203" s="5"/>
      <c r="L203" s="5"/>
      <c r="M203" s="5"/>
      <c r="N203" s="5"/>
      <c r="O203" s="46"/>
      <c r="P203" s="5"/>
      <c r="Q203" s="52"/>
      <c r="R203" s="52"/>
      <c r="S203" s="53"/>
      <c r="T203" s="28"/>
      <c r="U203" s="28"/>
      <c r="V203" s="28"/>
      <c r="W203" s="55"/>
      <c r="X203" s="61"/>
      <c r="Y203" s="35"/>
      <c r="Z203" s="35"/>
    </row>
    <row r="204" spans="2:26" x14ac:dyDescent="0.2">
      <c r="B204" s="27"/>
      <c r="C204" s="3"/>
      <c r="D204" s="3"/>
      <c r="E204" s="4"/>
      <c r="F204" s="4"/>
      <c r="G204" s="1"/>
      <c r="H204" s="1"/>
      <c r="I204" s="3"/>
      <c r="J204" s="5"/>
      <c r="K204" s="5"/>
      <c r="L204" s="5"/>
      <c r="M204" s="5"/>
      <c r="N204" s="5"/>
      <c r="O204" s="46"/>
      <c r="P204" s="5"/>
      <c r="Q204" s="52"/>
      <c r="R204" s="52"/>
      <c r="S204" s="53"/>
      <c r="T204" s="28"/>
      <c r="U204" s="28"/>
      <c r="V204" s="28"/>
      <c r="W204" s="55"/>
      <c r="X204" s="61"/>
      <c r="Y204" s="35"/>
      <c r="Z204" s="35"/>
    </row>
    <row r="205" spans="2:26" x14ac:dyDescent="0.2">
      <c r="B205" s="27"/>
      <c r="C205" s="3"/>
      <c r="D205" s="3"/>
      <c r="E205" s="4"/>
      <c r="F205" s="4"/>
      <c r="G205" s="1"/>
      <c r="H205" s="1"/>
      <c r="I205" s="3"/>
      <c r="J205" s="8"/>
      <c r="K205" s="5"/>
      <c r="L205" s="5"/>
      <c r="M205" s="5"/>
      <c r="N205" s="5"/>
      <c r="O205" s="46"/>
      <c r="P205" s="5"/>
      <c r="Q205" s="52"/>
      <c r="R205" s="52"/>
      <c r="S205" s="53"/>
      <c r="T205" s="40"/>
      <c r="U205" s="28"/>
      <c r="V205" s="28"/>
      <c r="W205" s="55"/>
      <c r="X205" s="61"/>
      <c r="Y205" s="35"/>
      <c r="Z205" s="35"/>
    </row>
    <row r="206" spans="2:26" x14ac:dyDescent="0.2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6"/>
      <c r="P206" s="5"/>
      <c r="Q206" s="52"/>
      <c r="R206" s="52"/>
      <c r="S206" s="53"/>
      <c r="T206" s="40"/>
      <c r="U206" s="28"/>
      <c r="V206" s="28"/>
      <c r="W206" s="55"/>
      <c r="X206" s="61"/>
      <c r="Y206" s="35"/>
      <c r="Z206" s="35"/>
    </row>
    <row r="207" spans="2:26" x14ac:dyDescent="0.2">
      <c r="Q207" s="34"/>
      <c r="R207" s="34"/>
      <c r="S207" s="34"/>
      <c r="T207" s="34"/>
      <c r="U207" s="34"/>
      <c r="V207" s="34"/>
      <c r="W207" s="54"/>
      <c r="X207" s="64"/>
      <c r="Y207" s="54"/>
    </row>
    <row r="208" spans="2:26" x14ac:dyDescent="0.2">
      <c r="Q208" s="34"/>
      <c r="R208" s="34"/>
      <c r="S208" s="34"/>
      <c r="T208" s="34"/>
      <c r="U208" s="34"/>
      <c r="V208" s="34"/>
      <c r="W208" s="54"/>
      <c r="X208" s="64"/>
      <c r="Y208" s="54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 Notes</vt:lpstr>
      <vt:lpstr>Sheet1</vt:lpstr>
      <vt:lpstr>CGAS</vt:lpstr>
      <vt:lpstr>Pricing</vt:lpstr>
      <vt:lpstr>Ces Retail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2000-03-30T18:59:37Z</cp:lastPrinted>
  <dcterms:created xsi:type="dcterms:W3CDTF">1998-07-21T12:15:25Z</dcterms:created>
  <dcterms:modified xsi:type="dcterms:W3CDTF">2014-09-03T12:33:55Z</dcterms:modified>
</cp:coreProperties>
</file>