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1340" windowHeight="9345" activeTab="1"/>
  </bookViews>
  <sheets>
    <sheet name="Model" sheetId="28" r:id="rId1"/>
    <sheet name="Sep 2001" sheetId="27" r:id="rId2"/>
    <sheet name="Oct" sheetId="15" r:id="rId3"/>
    <sheet name="Analysis" sheetId="26" r:id="rId4"/>
  </sheets>
  <definedNames>
    <definedName name="_xlnm.Print_Area" localSheetId="3">Analysis!$A$1:$M$15</definedName>
    <definedName name="_xlnm.Print_Area" localSheetId="2">Oct!$A$1:$L$56</definedName>
  </definedNames>
  <calcPr calcId="152511"/>
</workbook>
</file>

<file path=xl/calcChain.xml><?xml version="1.0" encoding="utf-8"?>
<calcChain xmlns="http://schemas.openxmlformats.org/spreadsheetml/2006/main">
  <c r="F3" i="26" l="1"/>
  <c r="I3" i="26"/>
  <c r="J3" i="26" s="1"/>
  <c r="F4" i="26"/>
  <c r="I4" i="26"/>
  <c r="L4" i="26" s="1"/>
  <c r="M4" i="26" s="1"/>
  <c r="J4" i="26"/>
  <c r="F5" i="26"/>
  <c r="I5" i="26"/>
  <c r="J5" i="26"/>
  <c r="L5" i="26"/>
  <c r="M5" i="26"/>
  <c r="F6" i="26"/>
  <c r="I6" i="26"/>
  <c r="L6" i="26" s="1"/>
  <c r="M6" i="26" s="1"/>
  <c r="J6" i="26"/>
  <c r="F7" i="26"/>
  <c r="I7" i="26"/>
  <c r="J7" i="26"/>
  <c r="L7" i="26"/>
  <c r="M7" i="26" s="1"/>
  <c r="F8" i="26"/>
  <c r="M8" i="26" s="1"/>
  <c r="I8" i="26"/>
  <c r="L8" i="26"/>
  <c r="F9" i="26"/>
  <c r="I9" i="26"/>
  <c r="J9" i="26" s="1"/>
  <c r="L9" i="26"/>
  <c r="M9" i="26" s="1"/>
  <c r="F10" i="26"/>
  <c r="I10" i="26"/>
  <c r="J10" i="26"/>
  <c r="L10" i="26"/>
  <c r="M10" i="26"/>
  <c r="F11" i="26"/>
  <c r="I11" i="26"/>
  <c r="J11" i="26" s="1"/>
  <c r="F12" i="26"/>
  <c r="I12" i="26"/>
  <c r="L12" i="26" s="1"/>
  <c r="M12" i="26" s="1"/>
  <c r="J12" i="26"/>
  <c r="F13" i="26"/>
  <c r="I13" i="26"/>
  <c r="J13" i="26"/>
  <c r="L13" i="26"/>
  <c r="M13" i="26"/>
  <c r="F14" i="26"/>
  <c r="I14" i="26"/>
  <c r="L14" i="26" s="1"/>
  <c r="M14" i="26" s="1"/>
  <c r="J64" i="26"/>
  <c r="K64" i="26" s="1"/>
  <c r="K70" i="26" s="1"/>
  <c r="J70" i="26" s="1"/>
  <c r="J65" i="26"/>
  <c r="K65" i="26"/>
  <c r="J66" i="26"/>
  <c r="K66" i="26"/>
  <c r="J67" i="26"/>
  <c r="K67" i="26"/>
  <c r="K68" i="26"/>
  <c r="I70" i="26"/>
  <c r="G9" i="28"/>
  <c r="I52" i="28" s="1"/>
  <c r="I56" i="28" s="1"/>
  <c r="I15" i="28"/>
  <c r="I17" i="28" s="1"/>
  <c r="I22" i="28"/>
  <c r="I23" i="28"/>
  <c r="F28" i="28"/>
  <c r="F46" i="28" s="1"/>
  <c r="F47" i="28" s="1"/>
  <c r="G53" i="28" s="1"/>
  <c r="I34" i="28"/>
  <c r="I36" i="28"/>
  <c r="I37" i="28"/>
  <c r="I41" i="28"/>
  <c r="I42" i="28"/>
  <c r="G9" i="15"/>
  <c r="I52" i="15" s="1"/>
  <c r="I56" i="15" s="1"/>
  <c r="I15" i="15"/>
  <c r="I17" i="15"/>
  <c r="I18" i="15"/>
  <c r="I22" i="15"/>
  <c r="I23" i="15"/>
  <c r="F28" i="15"/>
  <c r="F46" i="15" s="1"/>
  <c r="F47" i="15" s="1"/>
  <c r="G53" i="15" s="1"/>
  <c r="G56" i="15" s="1"/>
  <c r="I34" i="15"/>
  <c r="I36" i="15"/>
  <c r="I37" i="15"/>
  <c r="I41" i="15"/>
  <c r="I42" i="15"/>
  <c r="G52" i="15"/>
  <c r="G8" i="27"/>
  <c r="I9" i="27"/>
  <c r="I12" i="27"/>
  <c r="J30" i="27" s="1"/>
  <c r="G17" i="27"/>
  <c r="I18" i="27" s="1"/>
  <c r="I21" i="27" s="1"/>
  <c r="J31" i="27" s="1"/>
  <c r="J35" i="27"/>
  <c r="J36" i="27"/>
  <c r="J38" i="27"/>
  <c r="J40" i="27"/>
  <c r="J41" i="27"/>
  <c r="J14" i="26" l="1"/>
  <c r="G52" i="28"/>
  <c r="G56" i="28" s="1"/>
  <c r="I18" i="28"/>
  <c r="L11" i="26"/>
  <c r="M11" i="26" s="1"/>
  <c r="J8" i="26"/>
  <c r="L3" i="26"/>
  <c r="M3" i="26" s="1"/>
</calcChain>
</file>

<file path=xl/sharedStrings.xml><?xml version="1.0" encoding="utf-8"?>
<sst xmlns="http://schemas.openxmlformats.org/spreadsheetml/2006/main" count="159" uniqueCount="83">
  <si>
    <t>Boston Gas City Gate Price</t>
  </si>
  <si>
    <t>Surcharges</t>
  </si>
  <si>
    <t>Fuel</t>
  </si>
  <si>
    <t>Price at Waddington</t>
  </si>
  <si>
    <t>Tenn. (NET 284)</t>
  </si>
  <si>
    <t>Commodity</t>
  </si>
  <si>
    <t>Boston Gas Commodity Charges -  NET 284 Contract on TGP Plus Iroquois 1 to 1</t>
  </si>
  <si>
    <t>Tetco M3 Index</t>
  </si>
  <si>
    <t>Boston CG Adjustment</t>
  </si>
  <si>
    <t>Demand Charge</t>
  </si>
  <si>
    <t>Demand Charge Reimbursement(Canada)</t>
  </si>
  <si>
    <t>Demand Charge Reimbursement(Boston)</t>
  </si>
  <si>
    <t>Commodity Charge Reimbursement(Canada)</t>
  </si>
  <si>
    <t>Total Commodity Charges</t>
  </si>
  <si>
    <t>Iriquois</t>
  </si>
  <si>
    <t>Volume into Tennessee</t>
  </si>
  <si>
    <t>Volume at Boston CG</t>
  </si>
  <si>
    <t>Volume at Waddington</t>
  </si>
  <si>
    <t>volume at Waddington</t>
  </si>
  <si>
    <t>or</t>
  </si>
  <si>
    <t>volume at Boston CG</t>
  </si>
  <si>
    <t>fuel valued at $0</t>
  </si>
  <si>
    <t>Per TAGG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</si>
  <si>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</si>
  <si>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</si>
  <si>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</si>
  <si>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</si>
  <si>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</si>
  <si>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</si>
  <si>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</si>
  <si>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</si>
  <si>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</si>
  <si>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AUG</t>
  </si>
  <si>
    <t>Commodity Charge Reimbursement(Boston)</t>
  </si>
  <si>
    <t>Sprague</t>
  </si>
  <si>
    <t>PRICE</t>
  </si>
  <si>
    <t>VOLUME</t>
  </si>
  <si>
    <t>ACTUAL</t>
  </si>
  <si>
    <t>TETCO M3</t>
  </si>
  <si>
    <t>PG&amp;E</t>
  </si>
  <si>
    <t>EES</t>
  </si>
  <si>
    <t>T</t>
  </si>
  <si>
    <t>S</t>
  </si>
  <si>
    <t>Adams</t>
  </si>
  <si>
    <t>FIXED</t>
  </si>
  <si>
    <t>ENA</t>
  </si>
  <si>
    <t>JUL</t>
  </si>
  <si>
    <t>JUN</t>
  </si>
  <si>
    <t xml:space="preserve">JAN </t>
  </si>
  <si>
    <t>$ TOTAL</t>
  </si>
  <si>
    <t>$/MMB</t>
  </si>
  <si>
    <t>CG ADJ</t>
  </si>
  <si>
    <t xml:space="preserve">TETCO M3 </t>
  </si>
  <si>
    <t>MMB/MON</t>
  </si>
  <si>
    <t>MMB/D AT BOSTON CG</t>
  </si>
  <si>
    <t>W/O TAGG</t>
  </si>
  <si>
    <t>W/ TAGG</t>
  </si>
  <si>
    <t>Sep 2001 sales Data</t>
  </si>
  <si>
    <t>CNG IF</t>
  </si>
  <si>
    <t>NX1</t>
  </si>
  <si>
    <t>Wadd Equiv</t>
  </si>
  <si>
    <t>Iroquois</t>
  </si>
  <si>
    <t>Waddington Price  [CNG IF less Iroq variable]</t>
  </si>
  <si>
    <t>Tenn Z6 Price [CNG IF plus Tenn Variable]</t>
  </si>
  <si>
    <t>Tenn Z6 Equiv</t>
  </si>
  <si>
    <t>Monthly Baseload Sales</t>
  </si>
  <si>
    <t>Deal</t>
  </si>
  <si>
    <t>Counterparty</t>
  </si>
  <si>
    <t>Price</t>
  </si>
  <si>
    <t>Volume</t>
  </si>
  <si>
    <t>ENA - Im Ontario</t>
  </si>
  <si>
    <t>Enron Energy Services</t>
  </si>
  <si>
    <t>Location</t>
  </si>
  <si>
    <t>Waddington</t>
  </si>
  <si>
    <t>Iroq Z1</t>
  </si>
  <si>
    <t>Tenn Z6</t>
  </si>
  <si>
    <t>Dynegy Marketing &amp; Trade</t>
  </si>
  <si>
    <t>Tenn Z5</t>
  </si>
  <si>
    <t>Pricing</t>
  </si>
  <si>
    <t>NX1 + .08</t>
  </si>
  <si>
    <t>Tenn IF LA + 1.15</t>
  </si>
  <si>
    <t>NX1 + .18</t>
  </si>
  <si>
    <t>NX1 + .285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</si>
</sst>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6" formatCode="&quot;$&quot;#,##0.000"/>
    <numFmt numFmtId="168" formatCode="&quot;$&quot;#,##0.0000"/>
    <numFmt numFmtId="169" formatCode="#,##0.0000"/>
    <numFmt numFmtId="170" formatCode="0.0000"/>
    <numFmt numFmtId="171" formatCode="0.0000%"/>
    <numFmt numFmtId="172" formatCode="&quot;$&quot;#,##0;[Red]&quot;$&quot;#,##0"/>
    <numFmt numFmtId="175" formatCode="0.000;[Red]0.000"/>
    <numFmt numFmtId="176" formatCode="0.000_);[Red]\(0.000\)"/>
    <numFmt numFmtId="177" formatCode="&quot;$&quot;#,##0.000_);[Red]\(&quot;$&quot;#,##0.000\)"/>
    <numFmt numFmtId="17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 Black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0" fontId="2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4" fillId="0" borderId="0" xfId="0" applyFont="1"/>
    <xf numFmtId="168" fontId="3" fillId="0" borderId="0" xfId="0" applyNumberFormat="1" applyFont="1"/>
    <xf numFmtId="0" fontId="5" fillId="0" borderId="0" xfId="0" applyFont="1"/>
    <xf numFmtId="166" fontId="5" fillId="0" borderId="1" xfId="0" applyNumberFormat="1" applyFont="1" applyBorder="1"/>
    <xf numFmtId="0" fontId="6" fillId="0" borderId="0" xfId="0" applyFon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2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177" fontId="0" fillId="0" borderId="0" xfId="0" applyNumberFormat="1"/>
    <xf numFmtId="0" fontId="7" fillId="0" borderId="0" xfId="0" applyFont="1"/>
    <xf numFmtId="168" fontId="7" fillId="0" borderId="0" xfId="0" applyNumberFormat="1" applyFont="1"/>
    <xf numFmtId="171" fontId="7" fillId="0" borderId="0" xfId="0" applyNumberFormat="1" applyFont="1"/>
    <xf numFmtId="169" fontId="7" fillId="0" borderId="0" xfId="0" applyNumberFormat="1" applyFont="1"/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164" fontId="8" fillId="0" borderId="0" xfId="0" applyNumberFormat="1" applyFont="1"/>
    <xf numFmtId="3" fontId="8" fillId="0" borderId="0" xfId="0" applyNumberFormat="1" applyFont="1"/>
    <xf numFmtId="17" fontId="6" fillId="0" borderId="0" xfId="0" applyNumberFormat="1" applyFont="1"/>
    <xf numFmtId="179" fontId="0" fillId="0" borderId="0" xfId="1" applyNumberFormat="1" applyFont="1"/>
    <xf numFmtId="179" fontId="0" fillId="0" borderId="2" xfId="1" applyNumberFormat="1" applyFont="1" applyBorder="1"/>
    <xf numFmtId="17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4" sqref="A4"/>
    </sheetView>
  </sheetViews>
  <sheetFormatPr defaultRowHeight="12.75" x14ac:dyDescent="0.2"/>
  <cols>
    <col min="1" max="1" width="10.7109375" bestFit="1" customWidth="1"/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" customWidth="1"/>
    <col min="9" max="9" width="9.85546875" bestFit="1" customWidth="1"/>
    <col min="10" max="10" width="12.7109375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32"/>
    </row>
    <row r="5" spans="1:11" ht="15.75" x14ac:dyDescent="0.25">
      <c r="A5" s="2" t="s">
        <v>7</v>
      </c>
      <c r="G5" s="15">
        <v>5.72</v>
      </c>
    </row>
    <row r="6" spans="1:11" ht="15.75" x14ac:dyDescent="0.25">
      <c r="A6" s="2" t="s">
        <v>8</v>
      </c>
      <c r="G6" s="15">
        <v>-0.08</v>
      </c>
    </row>
    <row r="7" spans="1:11" ht="15.75" x14ac:dyDescent="0.25">
      <c r="A7" s="2" t="s">
        <v>22</v>
      </c>
      <c r="G7" s="15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G5+G6+G7</f>
        <v>5.6536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9.4000000000000004E-3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9.4000000000000004E-3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8.3913800000000004E-3</v>
      </c>
    </row>
    <row r="18" spans="2:17" x14ac:dyDescent="0.2">
      <c r="C18" t="s">
        <v>33</v>
      </c>
      <c r="F18" s="11">
        <v>0.10730000000000001</v>
      </c>
      <c r="I18" s="3">
        <f>F18*I15</f>
        <v>1.00862E-3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2.8999999999999998E-3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5.8999999999999999E-3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5.2669300000000004E-3</v>
      </c>
    </row>
    <row r="37" spans="3:9" x14ac:dyDescent="0.2">
      <c r="C37" t="s">
        <v>33</v>
      </c>
      <c r="F37" s="11">
        <v>0.10730000000000001</v>
      </c>
      <c r="I37" s="3">
        <f>F37*I34</f>
        <v>6.3307000000000001E-4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35500.086163780565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5.5604234676209217</v>
      </c>
      <c r="H52" s="13" t="s">
        <v>19</v>
      </c>
      <c r="I52" s="9">
        <f>G9-I17-I36</f>
        <v>5.6399416899999997</v>
      </c>
    </row>
    <row r="53" spans="1:11" ht="13.5" thickTop="1" x14ac:dyDescent="0.2">
      <c r="A53" t="s">
        <v>18</v>
      </c>
      <c r="G53" s="12">
        <f>F47</f>
        <v>35500.086163780565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197395.51220765023</v>
      </c>
      <c r="H56" s="14"/>
      <c r="I56" s="14">
        <f>I54*I52</f>
        <v>197397.95914999998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1" workbookViewId="0">
      <selection activeCell="F27" sqref="F27"/>
    </sheetView>
  </sheetViews>
  <sheetFormatPr defaultRowHeight="12.75" x14ac:dyDescent="0.2"/>
  <cols>
    <col min="1" max="1" width="11.28515625" bestFit="1" customWidth="1"/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" customWidth="1"/>
    <col min="9" max="9" width="9.85546875" bestFit="1" customWidth="1"/>
    <col min="10" max="10" width="12.7109375" customWidth="1"/>
  </cols>
  <sheetData>
    <row r="1" spans="1:9" ht="20.25" x14ac:dyDescent="0.3">
      <c r="A1" s="10" t="s">
        <v>6</v>
      </c>
    </row>
    <row r="2" spans="1:9" ht="20.25" x14ac:dyDescent="0.3">
      <c r="A2" s="10"/>
    </row>
    <row r="3" spans="1:9" ht="18" customHeight="1" x14ac:dyDescent="0.3">
      <c r="A3" s="32">
        <v>37135</v>
      </c>
    </row>
    <row r="4" spans="1:9" ht="18" customHeight="1" x14ac:dyDescent="0.3">
      <c r="A4" s="32"/>
      <c r="C4" t="s">
        <v>58</v>
      </c>
      <c r="I4" s="33">
        <v>2.42</v>
      </c>
    </row>
    <row r="5" spans="1:9" x14ac:dyDescent="0.2">
      <c r="I5" s="33"/>
    </row>
    <row r="6" spans="1:9" x14ac:dyDescent="0.2">
      <c r="B6" s="2" t="s">
        <v>61</v>
      </c>
      <c r="I6" s="33"/>
    </row>
    <row r="7" spans="1:9" x14ac:dyDescent="0.2">
      <c r="C7" t="s">
        <v>5</v>
      </c>
      <c r="G7" s="3">
        <v>2.8E-3</v>
      </c>
      <c r="I7" s="33"/>
    </row>
    <row r="8" spans="1:9" x14ac:dyDescent="0.2">
      <c r="C8" t="s">
        <v>1</v>
      </c>
      <c r="G8" s="4">
        <f>0.0022+0.0007</f>
        <v>2.9000000000000002E-3</v>
      </c>
      <c r="I8" s="33"/>
    </row>
    <row r="9" spans="1:9" x14ac:dyDescent="0.2">
      <c r="C9" t="s">
        <v>13</v>
      </c>
      <c r="I9" s="33">
        <f>G7+G8</f>
        <v>5.7000000000000002E-3</v>
      </c>
    </row>
    <row r="10" spans="1:9" x14ac:dyDescent="0.2">
      <c r="C10" t="s">
        <v>2</v>
      </c>
      <c r="F10" s="1">
        <v>5.0000000000000001E-3</v>
      </c>
      <c r="I10" s="33"/>
    </row>
    <row r="11" spans="1:9" x14ac:dyDescent="0.2">
      <c r="F11" s="1"/>
      <c r="I11" s="33"/>
    </row>
    <row r="12" spans="1:9" x14ac:dyDescent="0.2">
      <c r="C12" s="2" t="s">
        <v>62</v>
      </c>
      <c r="F12" s="1"/>
      <c r="I12" s="33">
        <f>ROUND((+I4-I9)*(1-F10),4)</f>
        <v>2.4022000000000001</v>
      </c>
    </row>
    <row r="13" spans="1:9" x14ac:dyDescent="0.2">
      <c r="I13" s="33"/>
    </row>
    <row r="14" spans="1:9" x14ac:dyDescent="0.2">
      <c r="I14" s="33"/>
    </row>
    <row r="15" spans="1:9" x14ac:dyDescent="0.2">
      <c r="B15" s="2" t="s">
        <v>4</v>
      </c>
      <c r="I15" s="33"/>
    </row>
    <row r="16" spans="1:9" x14ac:dyDescent="0.2">
      <c r="C16" t="s">
        <v>5</v>
      </c>
      <c r="G16" s="3">
        <v>0</v>
      </c>
      <c r="I16" s="33"/>
    </row>
    <row r="17" spans="1:10" x14ac:dyDescent="0.2">
      <c r="C17" t="s">
        <v>1</v>
      </c>
      <c r="G17" s="4">
        <f>0.007+0.0022</f>
        <v>9.1999999999999998E-3</v>
      </c>
      <c r="I17" s="33"/>
    </row>
    <row r="18" spans="1:10" x14ac:dyDescent="0.2">
      <c r="C18" t="s">
        <v>13</v>
      </c>
      <c r="I18" s="33">
        <f>G16+G17</f>
        <v>9.1999999999999998E-3</v>
      </c>
    </row>
    <row r="19" spans="1:10" x14ac:dyDescent="0.2">
      <c r="C19" t="s">
        <v>2</v>
      </c>
      <c r="F19" s="1">
        <v>1.3100000000000001E-2</v>
      </c>
      <c r="I19" s="33"/>
    </row>
    <row r="20" spans="1:10" x14ac:dyDescent="0.2">
      <c r="I20" s="33"/>
    </row>
    <row r="21" spans="1:10" ht="13.5" thickBot="1" x14ac:dyDescent="0.25">
      <c r="C21" s="2" t="s">
        <v>63</v>
      </c>
      <c r="I21" s="34">
        <f>ROUND((I4/(1-F19))+I18,4)</f>
        <v>2.4613</v>
      </c>
    </row>
    <row r="22" spans="1:10" ht="13.5" thickTop="1" x14ac:dyDescent="0.2"/>
    <row r="26" spans="1:10" x14ac:dyDescent="0.2">
      <c r="A26" s="2" t="s">
        <v>57</v>
      </c>
    </row>
    <row r="28" spans="1:10" x14ac:dyDescent="0.2">
      <c r="H28" t="s">
        <v>59</v>
      </c>
      <c r="J28" s="33">
        <v>2.2949999999999999</v>
      </c>
    </row>
    <row r="29" spans="1:10" x14ac:dyDescent="0.2">
      <c r="H29" t="s">
        <v>58</v>
      </c>
      <c r="J29" s="33">
        <v>2.42</v>
      </c>
    </row>
    <row r="30" spans="1:10" x14ac:dyDescent="0.2">
      <c r="C30" s="33"/>
      <c r="H30" t="s">
        <v>60</v>
      </c>
      <c r="J30" s="35">
        <f>+I12</f>
        <v>2.4022000000000001</v>
      </c>
    </row>
    <row r="31" spans="1:10" x14ac:dyDescent="0.2">
      <c r="C31" s="33"/>
      <c r="H31" t="s">
        <v>64</v>
      </c>
      <c r="J31" s="35">
        <f>+I21</f>
        <v>2.4613</v>
      </c>
    </row>
    <row r="33" spans="1:10" x14ac:dyDescent="0.2">
      <c r="C33" t="s">
        <v>65</v>
      </c>
    </row>
    <row r="34" spans="1:10" x14ac:dyDescent="0.2">
      <c r="A34" t="s">
        <v>66</v>
      </c>
      <c r="C34" t="s">
        <v>72</v>
      </c>
      <c r="D34" t="s">
        <v>67</v>
      </c>
      <c r="F34" t="s">
        <v>78</v>
      </c>
      <c r="H34" t="s">
        <v>69</v>
      </c>
      <c r="J34" t="s">
        <v>68</v>
      </c>
    </row>
    <row r="35" spans="1:10" x14ac:dyDescent="0.2">
      <c r="A35">
        <v>1005704</v>
      </c>
      <c r="C35" t="s">
        <v>73</v>
      </c>
      <c r="D35" t="s">
        <v>70</v>
      </c>
      <c r="F35" t="s">
        <v>79</v>
      </c>
      <c r="H35">
        <v>10000</v>
      </c>
      <c r="J35" s="35">
        <f>+J28+0.08</f>
        <v>2.375</v>
      </c>
    </row>
    <row r="36" spans="1:10" x14ac:dyDescent="0.2">
      <c r="A36">
        <v>1012990</v>
      </c>
      <c r="C36" t="s">
        <v>73</v>
      </c>
      <c r="D36" t="s">
        <v>70</v>
      </c>
      <c r="F36" t="s">
        <v>79</v>
      </c>
      <c r="H36">
        <v>19229</v>
      </c>
      <c r="J36" s="35">
        <f>+J28+0.09</f>
        <v>2.3849999999999998</v>
      </c>
    </row>
    <row r="38" spans="1:10" x14ac:dyDescent="0.2">
      <c r="A38">
        <v>1009225</v>
      </c>
      <c r="C38" t="s">
        <v>74</v>
      </c>
      <c r="D38" t="s">
        <v>71</v>
      </c>
      <c r="F38" t="s">
        <v>82</v>
      </c>
      <c r="H38">
        <v>108</v>
      </c>
      <c r="J38" s="35">
        <f>+J28+0.285</f>
        <v>2.58</v>
      </c>
    </row>
    <row r="40" spans="1:10" x14ac:dyDescent="0.2">
      <c r="A40">
        <v>1005764</v>
      </c>
      <c r="C40" t="s">
        <v>75</v>
      </c>
      <c r="D40" t="s">
        <v>76</v>
      </c>
      <c r="F40" t="s">
        <v>81</v>
      </c>
      <c r="H40">
        <v>50000</v>
      </c>
      <c r="J40" s="35">
        <f>+J28+0.18</f>
        <v>2.4750000000000001</v>
      </c>
    </row>
    <row r="41" spans="1:10" x14ac:dyDescent="0.2">
      <c r="A41">
        <v>1003036</v>
      </c>
      <c r="C41" t="s">
        <v>77</v>
      </c>
      <c r="D41" t="s">
        <v>71</v>
      </c>
      <c r="F41" t="s">
        <v>80</v>
      </c>
      <c r="H41">
        <v>1200</v>
      </c>
      <c r="J41" s="35">
        <f>2.22+1.15</f>
        <v>3.37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workbookViewId="0">
      <selection sqref="A1:IV65536"/>
    </sheetView>
  </sheetViews>
  <sheetFormatPr defaultRowHeight="12.75" x14ac:dyDescent="0.2"/>
  <cols>
    <col min="1" max="1" width="10.7109375" bestFit="1" customWidth="1"/>
    <col min="2" max="2" width="4" customWidth="1"/>
    <col min="3" max="3" width="15" customWidth="1"/>
    <col min="4" max="4" width="9.42578125" customWidth="1"/>
    <col min="5" max="5" width="15.7109375" customWidth="1"/>
    <col min="6" max="6" width="9.42578125" customWidth="1"/>
    <col min="7" max="7" width="11" customWidth="1"/>
    <col min="9" max="9" width="9.85546875" bestFit="1" customWidth="1"/>
    <col min="10" max="10" width="12.7109375" customWidth="1"/>
  </cols>
  <sheetData>
    <row r="1" spans="1:11" ht="20.25" x14ac:dyDescent="0.3">
      <c r="A1" s="10" t="s">
        <v>6</v>
      </c>
    </row>
    <row r="2" spans="1:11" ht="20.25" x14ac:dyDescent="0.3">
      <c r="A2" s="10"/>
    </row>
    <row r="3" spans="1:11" ht="18" customHeight="1" x14ac:dyDescent="0.3">
      <c r="A3" s="32">
        <v>37165</v>
      </c>
    </row>
    <row r="5" spans="1:11" ht="15.75" x14ac:dyDescent="0.25">
      <c r="A5" s="2" t="s">
        <v>7</v>
      </c>
      <c r="G5" s="15">
        <v>5.72</v>
      </c>
    </row>
    <row r="6" spans="1:11" ht="15.75" x14ac:dyDescent="0.25">
      <c r="A6" s="2" t="s">
        <v>8</v>
      </c>
      <c r="G6" s="15">
        <v>-0.08</v>
      </c>
    </row>
    <row r="7" spans="1:11" ht="15.75" x14ac:dyDescent="0.25">
      <c r="A7" s="2" t="s">
        <v>22</v>
      </c>
      <c r="G7" s="15">
        <v>1.3599999999999999E-2</v>
      </c>
    </row>
    <row r="9" spans="1:11" ht="18" x14ac:dyDescent="0.25">
      <c r="A9" s="8" t="s">
        <v>0</v>
      </c>
      <c r="B9" s="6"/>
      <c r="C9" s="6"/>
      <c r="D9" s="6"/>
      <c r="E9" s="6"/>
      <c r="G9" s="7">
        <f>G5+G6+G7</f>
        <v>5.6536</v>
      </c>
    </row>
    <row r="10" spans="1:11" x14ac:dyDescent="0.2">
      <c r="K10" s="5"/>
    </row>
    <row r="11" spans="1:11" x14ac:dyDescent="0.2">
      <c r="B11" s="2" t="s">
        <v>4</v>
      </c>
    </row>
    <row r="12" spans="1:11" x14ac:dyDescent="0.2">
      <c r="C12" t="s">
        <v>5</v>
      </c>
      <c r="G12" s="3">
        <v>0</v>
      </c>
    </row>
    <row r="13" spans="1:11" x14ac:dyDescent="0.2">
      <c r="C13" t="s">
        <v>1</v>
      </c>
      <c r="G13" s="4">
        <v>9.4000000000000004E-3</v>
      </c>
    </row>
    <row r="14" spans="1:11" x14ac:dyDescent="0.2">
      <c r="G14" s="4"/>
    </row>
    <row r="15" spans="1:11" x14ac:dyDescent="0.2">
      <c r="C15" t="s">
        <v>13</v>
      </c>
      <c r="I15" s="4">
        <f>G12+G13</f>
        <v>9.4000000000000004E-3</v>
      </c>
    </row>
    <row r="16" spans="1:11" x14ac:dyDescent="0.2">
      <c r="I16" s="4"/>
    </row>
    <row r="17" spans="2:17" x14ac:dyDescent="0.2">
      <c r="C17" t="s">
        <v>12</v>
      </c>
      <c r="F17" s="11">
        <v>0.89270000000000005</v>
      </c>
      <c r="I17" s="3">
        <f>F17*I15</f>
        <v>8.3913800000000004E-3</v>
      </c>
    </row>
    <row r="18" spans="2:17" x14ac:dyDescent="0.2">
      <c r="C18" t="s">
        <v>33</v>
      </c>
      <c r="F18" s="11">
        <v>0.10730000000000001</v>
      </c>
      <c r="I18" s="3">
        <f>F18*I15</f>
        <v>1.00862E-3</v>
      </c>
    </row>
    <row r="19" spans="2:17" x14ac:dyDescent="0.2">
      <c r="G19" s="4"/>
    </row>
    <row r="20" spans="2:17" x14ac:dyDescent="0.2">
      <c r="C20" t="s">
        <v>9</v>
      </c>
      <c r="G20" s="4"/>
      <c r="I20" s="3">
        <v>27</v>
      </c>
      <c r="M20" s="2"/>
    </row>
    <row r="21" spans="2:17" x14ac:dyDescent="0.2">
      <c r="G21" s="4"/>
      <c r="Q21" s="3"/>
    </row>
    <row r="22" spans="2:17" x14ac:dyDescent="0.2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">
      <c r="C23" t="s">
        <v>11</v>
      </c>
      <c r="F23" s="11">
        <v>0.10730000000000001</v>
      </c>
      <c r="I23" s="3">
        <f>F23*I20</f>
        <v>2.8971</v>
      </c>
    </row>
    <row r="25" spans="2:17" x14ac:dyDescent="0.2">
      <c r="C25" t="s">
        <v>2</v>
      </c>
      <c r="F25" s="1">
        <v>1.3100000000000001E-2</v>
      </c>
    </row>
    <row r="27" spans="2:17" x14ac:dyDescent="0.2">
      <c r="C27" t="s">
        <v>16</v>
      </c>
      <c r="F27">
        <v>35000</v>
      </c>
    </row>
    <row r="28" spans="2:17" x14ac:dyDescent="0.2">
      <c r="C28" t="s">
        <v>15</v>
      </c>
      <c r="F28" s="12">
        <f>F27/(1-F25)</f>
        <v>35464.586077616783</v>
      </c>
    </row>
    <row r="30" spans="2:17" x14ac:dyDescent="0.2">
      <c r="B30" s="2" t="s">
        <v>14</v>
      </c>
    </row>
    <row r="31" spans="2:17" x14ac:dyDescent="0.2">
      <c r="C31" t="s">
        <v>5</v>
      </c>
      <c r="G31" s="3">
        <v>3.0000000000000001E-3</v>
      </c>
    </row>
    <row r="32" spans="2:17" x14ac:dyDescent="0.2">
      <c r="C32" t="s">
        <v>1</v>
      </c>
      <c r="G32" s="4">
        <v>2.8999999999999998E-3</v>
      </c>
    </row>
    <row r="33" spans="3:9" x14ac:dyDescent="0.2">
      <c r="G33" s="4"/>
    </row>
    <row r="34" spans="3:9" x14ac:dyDescent="0.2">
      <c r="C34" t="s">
        <v>13</v>
      </c>
      <c r="I34" s="3">
        <f>G31+G32</f>
        <v>5.8999999999999999E-3</v>
      </c>
    </row>
    <row r="35" spans="3:9" x14ac:dyDescent="0.2">
      <c r="I35" s="4"/>
    </row>
    <row r="36" spans="3:9" x14ac:dyDescent="0.2">
      <c r="C36" t="s">
        <v>12</v>
      </c>
      <c r="F36" s="11">
        <v>0.89270000000000005</v>
      </c>
      <c r="I36" s="3">
        <f>F36*I34</f>
        <v>5.2669300000000004E-3</v>
      </c>
    </row>
    <row r="37" spans="3:9" x14ac:dyDescent="0.2">
      <c r="C37" t="s">
        <v>33</v>
      </c>
      <c r="F37" s="11">
        <v>0.10730000000000001</v>
      </c>
      <c r="I37" s="3">
        <f>F37*I34</f>
        <v>6.3307000000000001E-4</v>
      </c>
    </row>
    <row r="38" spans="3:9" x14ac:dyDescent="0.2">
      <c r="G38" s="4"/>
    </row>
    <row r="39" spans="3:9" x14ac:dyDescent="0.2">
      <c r="C39" t="s">
        <v>9</v>
      </c>
      <c r="G39" s="4"/>
      <c r="I39" s="3">
        <v>15</v>
      </c>
    </row>
    <row r="40" spans="3:9" x14ac:dyDescent="0.2">
      <c r="G40" s="4"/>
    </row>
    <row r="41" spans="3:9" x14ac:dyDescent="0.2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">
      <c r="C42" t="s">
        <v>11</v>
      </c>
      <c r="F42" s="11">
        <v>0.10730000000000001</v>
      </c>
      <c r="I42" s="3">
        <f>F42*I39</f>
        <v>1.6095000000000002</v>
      </c>
    </row>
    <row r="44" spans="3:9" x14ac:dyDescent="0.2">
      <c r="C44" t="s">
        <v>2</v>
      </c>
      <c r="F44" s="1">
        <v>1E-3</v>
      </c>
    </row>
    <row r="46" spans="3:9" x14ac:dyDescent="0.2">
      <c r="C46" t="s">
        <v>15</v>
      </c>
      <c r="F46" s="12">
        <f>F28</f>
        <v>35464.586077616783</v>
      </c>
    </row>
    <row r="47" spans="3:9" x14ac:dyDescent="0.2">
      <c r="C47" t="s">
        <v>17</v>
      </c>
      <c r="F47" s="12">
        <f>F46/(1-F44)</f>
        <v>35500.086163780565</v>
      </c>
    </row>
    <row r="51" spans="1:11" ht="13.5" thickBot="1" x14ac:dyDescent="0.25"/>
    <row r="52" spans="1:11" ht="25.5" customHeight="1" thickTop="1" thickBot="1" x14ac:dyDescent="0.3">
      <c r="A52" s="8" t="s">
        <v>3</v>
      </c>
      <c r="C52" s="2"/>
      <c r="D52" s="2"/>
      <c r="E52" s="2"/>
      <c r="G52" s="9">
        <f>(((G9-I17)*(1-F25))-I36)*(1-F44)</f>
        <v>5.5604234676209217</v>
      </c>
      <c r="H52" s="13" t="s">
        <v>19</v>
      </c>
      <c r="I52" s="9">
        <f>G9-I17-I36</f>
        <v>5.6399416899999997</v>
      </c>
    </row>
    <row r="53" spans="1:11" ht="13.5" thickTop="1" x14ac:dyDescent="0.2">
      <c r="A53" t="s">
        <v>18</v>
      </c>
      <c r="G53" s="12">
        <f>F47</f>
        <v>35500.086163780565</v>
      </c>
      <c r="K53" s="5"/>
    </row>
    <row r="54" spans="1:11" x14ac:dyDescent="0.2">
      <c r="A54" t="s">
        <v>20</v>
      </c>
      <c r="D54" t="s">
        <v>21</v>
      </c>
      <c r="I54">
        <v>35000</v>
      </c>
    </row>
    <row r="56" spans="1:11" x14ac:dyDescent="0.2">
      <c r="G56" s="14">
        <f>G53*G52</f>
        <v>197395.51220765023</v>
      </c>
      <c r="H56" s="14"/>
      <c r="I56" s="14">
        <f>I54*I52</f>
        <v>197397.95914999998</v>
      </c>
    </row>
  </sheetData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F13" sqref="F13"/>
    </sheetView>
  </sheetViews>
  <sheetFormatPr defaultRowHeight="12.75" x14ac:dyDescent="0.2"/>
  <cols>
    <col min="2" max="2" width="4" customWidth="1"/>
    <col min="3" max="3" width="15" customWidth="1"/>
    <col min="4" max="4" width="9.42578125" customWidth="1"/>
    <col min="5" max="5" width="1" customWidth="1"/>
    <col min="6" max="6" width="9.42578125" customWidth="1"/>
    <col min="7" max="7" width="11.42578125" bestFit="1" customWidth="1"/>
    <col min="9" max="9" width="11.42578125" bestFit="1" customWidth="1"/>
    <col min="10" max="10" width="13.28515625" bestFit="1" customWidth="1"/>
    <col min="11" max="11" width="11.7109375" bestFit="1" customWidth="1"/>
    <col min="13" max="13" width="14.85546875" customWidth="1"/>
  </cols>
  <sheetData>
    <row r="1" spans="1:13" x14ac:dyDescent="0.2">
      <c r="A1" s="27"/>
      <c r="B1" s="27"/>
      <c r="C1" s="27"/>
      <c r="D1" s="27"/>
      <c r="E1" s="27"/>
      <c r="F1" s="27"/>
      <c r="G1" s="27"/>
      <c r="H1" s="27"/>
      <c r="I1" s="27"/>
      <c r="J1" s="27" t="s">
        <v>55</v>
      </c>
      <c r="K1" s="27" t="s">
        <v>56</v>
      </c>
      <c r="L1" s="27" t="s">
        <v>56</v>
      </c>
      <c r="M1" s="27" t="s">
        <v>56</v>
      </c>
    </row>
    <row r="2" spans="1:13" x14ac:dyDescent="0.2">
      <c r="A2" s="27"/>
      <c r="B2" s="27"/>
      <c r="C2" s="27" t="s">
        <v>54</v>
      </c>
      <c r="D2" s="27"/>
      <c r="E2" s="27"/>
      <c r="F2" s="27" t="s">
        <v>53</v>
      </c>
      <c r="G2" s="27" t="s">
        <v>52</v>
      </c>
      <c r="H2" s="27" t="s">
        <v>51</v>
      </c>
      <c r="I2" s="27" t="s">
        <v>50</v>
      </c>
      <c r="J2" s="27" t="s">
        <v>49</v>
      </c>
      <c r="K2" s="27"/>
      <c r="L2" s="27" t="s">
        <v>50</v>
      </c>
      <c r="M2" s="27" t="s">
        <v>49</v>
      </c>
    </row>
    <row r="3" spans="1:13" ht="18" customHeight="1" x14ac:dyDescent="0.2">
      <c r="A3" s="27" t="s">
        <v>48</v>
      </c>
      <c r="B3" s="27"/>
      <c r="C3" s="31">
        <v>35000</v>
      </c>
      <c r="D3" s="31"/>
      <c r="E3" s="31">
        <v>31</v>
      </c>
      <c r="F3" s="31">
        <f t="shared" ref="F3:F14" si="0">E3*C3</f>
        <v>1085000</v>
      </c>
      <c r="G3" s="28">
        <v>2.9</v>
      </c>
      <c r="H3" s="28">
        <v>0.16</v>
      </c>
      <c r="I3" s="28">
        <f t="shared" ref="I3:I14" si="1">H3+G3</f>
        <v>3.06</v>
      </c>
      <c r="J3" s="30">
        <f t="shared" ref="J3:J14" si="2">I3*F3</f>
        <v>3320100</v>
      </c>
      <c r="K3" s="28">
        <v>1.3599999999999999E-2</v>
      </c>
      <c r="L3" s="28">
        <f>K3+I3</f>
        <v>3.0735999999999999</v>
      </c>
      <c r="M3" s="30">
        <f>L3*F3</f>
        <v>3334856</v>
      </c>
    </row>
    <row r="4" spans="1:13" x14ac:dyDescent="0.2">
      <c r="A4" s="27" t="s">
        <v>28</v>
      </c>
      <c r="B4" s="27"/>
      <c r="C4" s="31">
        <v>35000</v>
      </c>
      <c r="D4" s="31"/>
      <c r="E4" s="31">
        <v>29</v>
      </c>
      <c r="F4" s="31">
        <f t="shared" si="0"/>
        <v>1015000</v>
      </c>
      <c r="G4" s="28">
        <v>3.27</v>
      </c>
      <c r="H4" s="28">
        <v>0.3</v>
      </c>
      <c r="I4" s="28">
        <f t="shared" si="1"/>
        <v>3.57</v>
      </c>
      <c r="J4" s="30">
        <f t="shared" si="2"/>
        <v>3623550</v>
      </c>
      <c r="K4" s="28">
        <v>1.3599999999999999E-2</v>
      </c>
      <c r="L4" s="28">
        <f t="shared" ref="L4:L14" si="3">K4+I4</f>
        <v>3.5835999999999997</v>
      </c>
      <c r="M4" s="30">
        <f t="shared" ref="M4:M14" si="4">L4*F4</f>
        <v>3637353.9999999995</v>
      </c>
    </row>
    <row r="5" spans="1:13" x14ac:dyDescent="0.2">
      <c r="A5" s="27" t="s">
        <v>29</v>
      </c>
      <c r="B5" s="27"/>
      <c r="C5" s="31">
        <v>35000</v>
      </c>
      <c r="D5" s="31"/>
      <c r="E5" s="31">
        <v>31</v>
      </c>
      <c r="F5" s="31">
        <f t="shared" si="0"/>
        <v>1085000</v>
      </c>
      <c r="G5" s="28">
        <v>2.95</v>
      </c>
      <c r="H5" s="28">
        <v>0.05</v>
      </c>
      <c r="I5" s="28">
        <f t="shared" si="1"/>
        <v>3</v>
      </c>
      <c r="J5" s="30">
        <f t="shared" si="2"/>
        <v>3255000</v>
      </c>
      <c r="K5" s="28">
        <v>1.3599999999999999E-2</v>
      </c>
      <c r="L5" s="28">
        <f t="shared" si="3"/>
        <v>3.0135999999999998</v>
      </c>
      <c r="M5" s="30">
        <f t="shared" si="4"/>
        <v>3269756</v>
      </c>
    </row>
    <row r="6" spans="1:13" x14ac:dyDescent="0.2">
      <c r="A6" s="27" t="s">
        <v>30</v>
      </c>
      <c r="B6" s="27"/>
      <c r="C6" s="31">
        <v>35000</v>
      </c>
      <c r="D6" s="31"/>
      <c r="E6" s="31">
        <v>30</v>
      </c>
      <c r="F6" s="31">
        <f t="shared" si="0"/>
        <v>1050000</v>
      </c>
      <c r="G6" s="28">
        <v>3.13</v>
      </c>
      <c r="H6" s="28">
        <v>1.4999999999999999E-2</v>
      </c>
      <c r="I6" s="28">
        <f t="shared" si="1"/>
        <v>3.145</v>
      </c>
      <c r="J6" s="30">
        <f t="shared" si="2"/>
        <v>3302250</v>
      </c>
      <c r="K6" s="28">
        <v>1.3599999999999999E-2</v>
      </c>
      <c r="L6" s="28">
        <f t="shared" si="3"/>
        <v>3.1585999999999999</v>
      </c>
      <c r="M6" s="30">
        <f t="shared" si="4"/>
        <v>3316530</v>
      </c>
    </row>
    <row r="7" spans="1:13" x14ac:dyDescent="0.2">
      <c r="A7" s="27" t="s">
        <v>31</v>
      </c>
      <c r="B7" s="27"/>
      <c r="C7" s="31">
        <v>35000</v>
      </c>
      <c r="D7" s="31"/>
      <c r="E7" s="31">
        <v>31</v>
      </c>
      <c r="F7" s="31">
        <f t="shared" si="0"/>
        <v>1085000</v>
      </c>
      <c r="G7" s="28">
        <v>3.38</v>
      </c>
      <c r="H7" s="28">
        <v>1.4999999999999999E-2</v>
      </c>
      <c r="I7" s="28">
        <f t="shared" si="1"/>
        <v>3.395</v>
      </c>
      <c r="J7" s="30">
        <f t="shared" si="2"/>
        <v>3683575</v>
      </c>
      <c r="K7" s="28">
        <v>1.3599999999999999E-2</v>
      </c>
      <c r="L7" s="28">
        <f t="shared" si="3"/>
        <v>3.4085999999999999</v>
      </c>
      <c r="M7" s="30">
        <f t="shared" si="4"/>
        <v>3698331</v>
      </c>
    </row>
    <row r="8" spans="1:13" x14ac:dyDescent="0.2">
      <c r="A8" s="27" t="s">
        <v>47</v>
      </c>
      <c r="B8" s="27"/>
      <c r="C8" s="31">
        <v>35000</v>
      </c>
      <c r="D8" s="31"/>
      <c r="E8" s="31">
        <v>30</v>
      </c>
      <c r="F8" s="31">
        <f t="shared" si="0"/>
        <v>1050000</v>
      </c>
      <c r="G8" s="28">
        <v>4.67</v>
      </c>
      <c r="H8" s="28">
        <v>1.4999999999999999E-2</v>
      </c>
      <c r="I8" s="28">
        <f t="shared" si="1"/>
        <v>4.6849999999999996</v>
      </c>
      <c r="J8" s="30">
        <f t="shared" si="2"/>
        <v>4919250</v>
      </c>
      <c r="K8" s="28">
        <v>1.3599999999999999E-2</v>
      </c>
      <c r="L8" s="28">
        <f t="shared" si="3"/>
        <v>4.6985999999999999</v>
      </c>
      <c r="M8" s="30">
        <f t="shared" si="4"/>
        <v>4933530</v>
      </c>
    </row>
    <row r="9" spans="1:13" x14ac:dyDescent="0.2">
      <c r="A9" s="27" t="s">
        <v>46</v>
      </c>
      <c r="B9" s="27"/>
      <c r="C9" s="31">
        <v>35000</v>
      </c>
      <c r="D9" s="31"/>
      <c r="E9" s="31">
        <v>31</v>
      </c>
      <c r="F9" s="31">
        <f t="shared" si="0"/>
        <v>1085000</v>
      </c>
      <c r="G9" s="28">
        <v>4.72</v>
      </c>
      <c r="H9" s="28">
        <v>-0.1</v>
      </c>
      <c r="I9" s="28">
        <f t="shared" si="1"/>
        <v>4.62</v>
      </c>
      <c r="J9" s="30">
        <f t="shared" si="2"/>
        <v>5012700</v>
      </c>
      <c r="K9" s="28">
        <v>1.3599999999999999E-2</v>
      </c>
      <c r="L9" s="28">
        <f t="shared" si="3"/>
        <v>4.6336000000000004</v>
      </c>
      <c r="M9" s="30">
        <f t="shared" si="4"/>
        <v>5027456</v>
      </c>
    </row>
    <row r="10" spans="1:13" x14ac:dyDescent="0.2">
      <c r="A10" s="27" t="s">
        <v>32</v>
      </c>
      <c r="B10" s="27"/>
      <c r="C10" s="31">
        <v>35000</v>
      </c>
      <c r="D10" s="31"/>
      <c r="E10" s="31">
        <v>31</v>
      </c>
      <c r="F10" s="31">
        <f t="shared" si="0"/>
        <v>1085000</v>
      </c>
      <c r="G10" s="28">
        <v>4.12</v>
      </c>
      <c r="H10" s="28">
        <v>-0.1</v>
      </c>
      <c r="I10" s="28">
        <f t="shared" si="1"/>
        <v>4.0200000000000005</v>
      </c>
      <c r="J10" s="30">
        <f t="shared" si="2"/>
        <v>4361700.0000000009</v>
      </c>
      <c r="K10" s="28">
        <v>1.3599999999999999E-2</v>
      </c>
      <c r="L10" s="28">
        <f t="shared" si="3"/>
        <v>4.0336000000000007</v>
      </c>
      <c r="M10" s="30">
        <f t="shared" si="4"/>
        <v>4376456.0000000009</v>
      </c>
    </row>
    <row r="11" spans="1:13" x14ac:dyDescent="0.2">
      <c r="A11" s="27" t="s">
        <v>23</v>
      </c>
      <c r="B11" s="27"/>
      <c r="C11" s="31">
        <v>35000</v>
      </c>
      <c r="D11" s="31"/>
      <c r="E11" s="31">
        <v>30</v>
      </c>
      <c r="F11" s="31">
        <f t="shared" si="0"/>
        <v>1050000</v>
      </c>
      <c r="G11" s="28">
        <v>4.93</v>
      </c>
      <c r="H11" s="28">
        <v>-0.08</v>
      </c>
      <c r="I11" s="28">
        <f t="shared" si="1"/>
        <v>4.8499999999999996</v>
      </c>
      <c r="J11" s="30">
        <f t="shared" si="2"/>
        <v>5092500</v>
      </c>
      <c r="K11" s="28">
        <v>1.3599999999999999E-2</v>
      </c>
      <c r="L11" s="28">
        <f t="shared" si="3"/>
        <v>4.8635999999999999</v>
      </c>
      <c r="M11" s="30">
        <f t="shared" si="4"/>
        <v>5106780</v>
      </c>
    </row>
    <row r="12" spans="1:13" x14ac:dyDescent="0.2">
      <c r="A12" s="27" t="s">
        <v>24</v>
      </c>
      <c r="B12" s="27"/>
      <c r="C12" s="31">
        <v>35000</v>
      </c>
      <c r="D12" s="31"/>
      <c r="E12" s="31">
        <v>31</v>
      </c>
      <c r="F12" s="31">
        <f t="shared" si="0"/>
        <v>1085000</v>
      </c>
      <c r="G12" s="28">
        <v>5.72</v>
      </c>
      <c r="H12" s="28">
        <v>-0.08</v>
      </c>
      <c r="I12" s="28">
        <f t="shared" si="1"/>
        <v>5.64</v>
      </c>
      <c r="J12" s="30">
        <f t="shared" si="2"/>
        <v>6119400</v>
      </c>
      <c r="K12" s="28">
        <v>1.3599999999999999E-2</v>
      </c>
      <c r="L12" s="28">
        <f t="shared" si="3"/>
        <v>5.6536</v>
      </c>
      <c r="M12" s="30">
        <f t="shared" si="4"/>
        <v>6134156</v>
      </c>
    </row>
    <row r="13" spans="1:13" x14ac:dyDescent="0.2">
      <c r="A13" s="27" t="s">
        <v>25</v>
      </c>
      <c r="B13" s="27"/>
      <c r="C13" s="31">
        <v>35000</v>
      </c>
      <c r="D13" s="31"/>
      <c r="E13" s="31">
        <v>30</v>
      </c>
      <c r="F13" s="31">
        <f t="shared" si="0"/>
        <v>1050000</v>
      </c>
      <c r="G13" s="28">
        <v>4.96</v>
      </c>
      <c r="H13" s="28">
        <v>0.03</v>
      </c>
      <c r="I13" s="28">
        <f t="shared" si="1"/>
        <v>4.99</v>
      </c>
      <c r="J13" s="30">
        <f t="shared" si="2"/>
        <v>5239500</v>
      </c>
      <c r="K13" s="28">
        <v>1.3599999999999999E-2</v>
      </c>
      <c r="L13" s="28">
        <f t="shared" si="3"/>
        <v>5.0036000000000005</v>
      </c>
      <c r="M13" s="30">
        <f t="shared" si="4"/>
        <v>5253780.0000000009</v>
      </c>
    </row>
    <row r="14" spans="1:13" x14ac:dyDescent="0.2">
      <c r="A14" s="27" t="s">
        <v>26</v>
      </c>
      <c r="B14" s="27"/>
      <c r="C14" s="31">
        <v>35000</v>
      </c>
      <c r="D14" s="31"/>
      <c r="E14" s="31">
        <v>31</v>
      </c>
      <c r="F14" s="31">
        <f t="shared" si="0"/>
        <v>1085000</v>
      </c>
      <c r="G14" s="28">
        <v>6.74</v>
      </c>
      <c r="H14" s="28">
        <v>0.04</v>
      </c>
      <c r="I14" s="28">
        <f t="shared" si="1"/>
        <v>6.78</v>
      </c>
      <c r="J14" s="30">
        <f t="shared" si="2"/>
        <v>7356300</v>
      </c>
      <c r="K14" s="28">
        <v>1.3599999999999999E-2</v>
      </c>
      <c r="L14" s="28">
        <f t="shared" si="3"/>
        <v>6.7936000000000005</v>
      </c>
      <c r="M14" s="30">
        <f t="shared" si="4"/>
        <v>7371056.0000000009</v>
      </c>
    </row>
    <row r="15" spans="1:13" ht="14.25" x14ac:dyDescent="0.3">
      <c r="A15" s="27"/>
      <c r="B15" s="27"/>
      <c r="C15" s="27"/>
      <c r="D15" s="27"/>
      <c r="E15" s="27"/>
      <c r="F15" s="27"/>
      <c r="G15" s="27"/>
      <c r="H15" s="27"/>
      <c r="I15" s="29"/>
      <c r="J15" s="27"/>
      <c r="K15" s="23"/>
    </row>
    <row r="16" spans="1:13" ht="14.25" x14ac:dyDescent="0.3">
      <c r="A16" s="23"/>
      <c r="B16" s="23"/>
      <c r="C16" s="23"/>
      <c r="D16" s="23"/>
      <c r="E16" s="23"/>
      <c r="F16" s="23"/>
      <c r="G16" s="23"/>
      <c r="H16" s="23"/>
      <c r="I16" s="26"/>
      <c r="J16" s="23"/>
      <c r="K16" s="23"/>
    </row>
    <row r="17" spans="1:17" ht="14.25" x14ac:dyDescent="0.3">
      <c r="A17" s="23"/>
      <c r="B17" s="23"/>
      <c r="C17" s="23"/>
      <c r="D17" s="23"/>
      <c r="E17" s="23"/>
      <c r="F17" s="25"/>
      <c r="G17" s="23"/>
      <c r="H17" s="23"/>
      <c r="I17" s="24"/>
      <c r="J17" s="23"/>
      <c r="K17" s="23"/>
    </row>
    <row r="18" spans="1:17" ht="14.25" x14ac:dyDescent="0.3">
      <c r="A18" s="23"/>
      <c r="B18" s="23"/>
      <c r="C18" s="23"/>
      <c r="D18" s="23"/>
      <c r="E18" s="23"/>
      <c r="F18" s="25"/>
      <c r="G18" s="23"/>
      <c r="H18" s="23"/>
      <c r="I18" s="24"/>
      <c r="J18" s="23"/>
      <c r="K18" s="23"/>
    </row>
    <row r="19" spans="1:17" x14ac:dyDescent="0.2">
      <c r="G19" s="4"/>
    </row>
    <row r="20" spans="1:17" x14ac:dyDescent="0.2">
      <c r="G20" s="4"/>
      <c r="I20" s="3"/>
      <c r="M20" s="2"/>
    </row>
    <row r="21" spans="1:17" x14ac:dyDescent="0.2">
      <c r="G21" s="4"/>
      <c r="Q21" s="3"/>
    </row>
    <row r="22" spans="1:17" x14ac:dyDescent="0.2">
      <c r="F22" s="11"/>
      <c r="G22" s="4"/>
      <c r="I22" s="3"/>
      <c r="Q22" s="5"/>
    </row>
    <row r="23" spans="1:17" x14ac:dyDescent="0.2">
      <c r="F23" s="11"/>
      <c r="I23" s="3"/>
    </row>
    <row r="25" spans="1:17" x14ac:dyDescent="0.2">
      <c r="F25" s="1"/>
    </row>
    <row r="28" spans="1:17" x14ac:dyDescent="0.2">
      <c r="F28" s="12"/>
    </row>
    <row r="30" spans="1:17" x14ac:dyDescent="0.2">
      <c r="B30" s="2"/>
    </row>
    <row r="31" spans="1:17" x14ac:dyDescent="0.2">
      <c r="G31" s="3"/>
    </row>
    <row r="32" spans="1:17" x14ac:dyDescent="0.2">
      <c r="G32" s="4"/>
    </row>
    <row r="33" spans="6:9" x14ac:dyDescent="0.2">
      <c r="G33" s="4"/>
    </row>
    <row r="34" spans="6:9" x14ac:dyDescent="0.2">
      <c r="I34" s="3"/>
    </row>
    <row r="35" spans="6:9" x14ac:dyDescent="0.2">
      <c r="I35" s="4"/>
    </row>
    <row r="36" spans="6:9" x14ac:dyDescent="0.2">
      <c r="F36" s="11"/>
      <c r="I36" s="3"/>
    </row>
    <row r="37" spans="6:9" x14ac:dyDescent="0.2">
      <c r="F37" s="11"/>
      <c r="I37" s="3"/>
    </row>
    <row r="38" spans="6:9" x14ac:dyDescent="0.2">
      <c r="G38" s="4"/>
    </row>
    <row r="39" spans="6:9" x14ac:dyDescent="0.2">
      <c r="G39" s="4"/>
      <c r="I39" s="3"/>
    </row>
    <row r="40" spans="6:9" x14ac:dyDescent="0.2">
      <c r="G40" s="4"/>
    </row>
    <row r="41" spans="6:9" x14ac:dyDescent="0.2">
      <c r="F41" s="11"/>
      <c r="G41" s="4"/>
      <c r="I41" s="3"/>
    </row>
    <row r="42" spans="6:9" x14ac:dyDescent="0.2">
      <c r="F42" s="11"/>
      <c r="I42" s="3"/>
    </row>
    <row r="44" spans="6:9" x14ac:dyDescent="0.2">
      <c r="F44" s="1"/>
    </row>
    <row r="46" spans="6:9" x14ac:dyDescent="0.2">
      <c r="F46" s="12"/>
    </row>
    <row r="47" spans="6:9" x14ac:dyDescent="0.2">
      <c r="F47" s="12"/>
    </row>
    <row r="51" spans="1:11" ht="13.5" thickBot="1" x14ac:dyDescent="0.25"/>
    <row r="52" spans="1:11" ht="25.5" customHeight="1" thickTop="1" thickBot="1" x14ac:dyDescent="0.3">
      <c r="A52" s="8"/>
      <c r="C52" s="2"/>
      <c r="D52" s="2"/>
      <c r="E52" s="2"/>
      <c r="G52" s="9"/>
      <c r="H52" s="13"/>
      <c r="I52" s="9"/>
    </row>
    <row r="53" spans="1:11" ht="13.5" thickTop="1" x14ac:dyDescent="0.2">
      <c r="G53" s="12"/>
      <c r="K53" s="5"/>
    </row>
    <row r="56" spans="1:11" x14ac:dyDescent="0.2">
      <c r="G56" s="14"/>
      <c r="H56" s="14"/>
      <c r="I56" s="14"/>
    </row>
    <row r="63" spans="1:11" x14ac:dyDescent="0.2">
      <c r="G63" t="s">
        <v>35</v>
      </c>
      <c r="I63" t="s">
        <v>36</v>
      </c>
      <c r="J63" t="s">
        <v>37</v>
      </c>
    </row>
    <row r="64" spans="1:11" x14ac:dyDescent="0.2">
      <c r="A64" t="s">
        <v>40</v>
      </c>
      <c r="B64" t="s">
        <v>41</v>
      </c>
      <c r="C64" t="s">
        <v>27</v>
      </c>
      <c r="D64" s="16">
        <v>2001</v>
      </c>
      <c r="E64" t="s">
        <v>29</v>
      </c>
      <c r="F64" s="16">
        <v>2007</v>
      </c>
      <c r="G64" t="s">
        <v>38</v>
      </c>
      <c r="H64" s="17">
        <v>0.25</v>
      </c>
      <c r="I64" s="19">
        <v>1200</v>
      </c>
      <c r="J64" s="18" t="e">
        <f>#REF!+H64</f>
        <v>#REF!</v>
      </c>
      <c r="K64" s="20" t="e">
        <f>J64*I64</f>
        <v>#REF!</v>
      </c>
    </row>
    <row r="65" spans="1:11" x14ac:dyDescent="0.2">
      <c r="A65" t="s">
        <v>34</v>
      </c>
      <c r="B65" t="s">
        <v>41</v>
      </c>
      <c r="C65" t="s">
        <v>27</v>
      </c>
      <c r="D65" s="16">
        <v>2001</v>
      </c>
      <c r="E65" t="s">
        <v>29</v>
      </c>
      <c r="F65" s="16">
        <v>2001</v>
      </c>
      <c r="G65" t="s">
        <v>38</v>
      </c>
      <c r="H65" s="17">
        <v>0.1</v>
      </c>
      <c r="I65" s="19">
        <v>10000</v>
      </c>
      <c r="J65" s="18" t="e">
        <f>#REF!+H65</f>
        <v>#REF!</v>
      </c>
      <c r="K65" s="20" t="e">
        <f>J65*I65</f>
        <v>#REF!</v>
      </c>
    </row>
    <row r="66" spans="1:11" x14ac:dyDescent="0.2">
      <c r="A66" t="s">
        <v>39</v>
      </c>
      <c r="B66" t="s">
        <v>41</v>
      </c>
      <c r="C66" t="s">
        <v>27</v>
      </c>
      <c r="D66" s="16">
        <v>2001</v>
      </c>
      <c r="E66" t="s">
        <v>29</v>
      </c>
      <c r="F66" s="16">
        <v>2001</v>
      </c>
      <c r="G66" t="s">
        <v>38</v>
      </c>
      <c r="H66" s="17">
        <v>0.1</v>
      </c>
      <c r="I66" s="19">
        <v>5000</v>
      </c>
      <c r="J66" s="18" t="e">
        <f>#REF!+H66</f>
        <v>#REF!</v>
      </c>
      <c r="K66" s="20" t="e">
        <f>J66*I66</f>
        <v>#REF!</v>
      </c>
    </row>
    <row r="67" spans="1:11" x14ac:dyDescent="0.2">
      <c r="A67" t="s">
        <v>43</v>
      </c>
      <c r="B67" t="s">
        <v>42</v>
      </c>
      <c r="C67" t="s">
        <v>27</v>
      </c>
      <c r="D67" s="16">
        <v>2001</v>
      </c>
      <c r="G67" t="s">
        <v>44</v>
      </c>
      <c r="H67" s="17">
        <v>12</v>
      </c>
      <c r="I67" s="19">
        <v>2000</v>
      </c>
      <c r="J67" s="18">
        <f>H67</f>
        <v>12</v>
      </c>
      <c r="K67" s="20">
        <f>J67*I67</f>
        <v>24000</v>
      </c>
    </row>
    <row r="68" spans="1:11" x14ac:dyDescent="0.2">
      <c r="A68" t="s">
        <v>45</v>
      </c>
      <c r="B68" t="s">
        <v>42</v>
      </c>
      <c r="C68" t="s">
        <v>27</v>
      </c>
      <c r="D68" s="16">
        <v>2001</v>
      </c>
      <c r="G68" t="s">
        <v>44</v>
      </c>
      <c r="H68" s="17"/>
      <c r="I68" s="19">
        <v>16800</v>
      </c>
      <c r="J68" s="18">
        <v>10.91</v>
      </c>
      <c r="K68" s="20">
        <f>J68*I68</f>
        <v>183288</v>
      </c>
    </row>
    <row r="69" spans="1:11" x14ac:dyDescent="0.2">
      <c r="D69" s="16"/>
      <c r="H69" s="17"/>
      <c r="J69" s="18"/>
      <c r="K69" s="20"/>
    </row>
    <row r="70" spans="1:11" x14ac:dyDescent="0.2">
      <c r="D70" s="16"/>
      <c r="H70" s="17"/>
      <c r="I70" s="19">
        <f>SUM(I64:I69)</f>
        <v>35000</v>
      </c>
      <c r="J70" s="22" t="e">
        <f>K70/I70</f>
        <v>#REF!</v>
      </c>
      <c r="K70" s="21" t="e">
        <f>SUM(K64:K69)</f>
        <v>#REF!</v>
      </c>
    </row>
    <row r="71" spans="1:11" x14ac:dyDescent="0.2">
      <c r="D71" s="16"/>
      <c r="H71" s="17"/>
      <c r="J71" s="18"/>
      <c r="K71" s="20"/>
    </row>
    <row r="72" spans="1:11" x14ac:dyDescent="0.2">
      <c r="D72" s="16"/>
      <c r="H72" s="17"/>
      <c r="J72" s="18"/>
      <c r="K72" s="20"/>
    </row>
    <row r="73" spans="1:11" x14ac:dyDescent="0.2">
      <c r="D73" s="16"/>
      <c r="H73" s="17"/>
      <c r="J73" s="18"/>
    </row>
    <row r="74" spans="1:11" x14ac:dyDescent="0.2">
      <c r="H74" s="17"/>
      <c r="J74" s="18"/>
    </row>
    <row r="75" spans="1:11" x14ac:dyDescent="0.2">
      <c r="H75" s="17"/>
      <c r="J75" s="18"/>
    </row>
    <row r="76" spans="1:11" x14ac:dyDescent="0.2">
      <c r="H76" s="17"/>
      <c r="J76" s="18"/>
    </row>
    <row r="77" spans="1:11" x14ac:dyDescent="0.2">
      <c r="H77" s="17"/>
      <c r="J77" s="18"/>
    </row>
    <row r="78" spans="1:11" x14ac:dyDescent="0.2">
      <c r="H78" s="17"/>
      <c r="J78" s="18"/>
    </row>
    <row r="79" spans="1:11" x14ac:dyDescent="0.2">
      <c r="H79" s="17"/>
      <c r="J79" s="18"/>
    </row>
    <row r="80" spans="1:11" x14ac:dyDescent="0.2">
      <c r="H80" s="17"/>
      <c r="J80" s="18"/>
    </row>
    <row r="81" spans="8:10" x14ac:dyDescent="0.2">
      <c r="H81" s="17"/>
      <c r="J81" s="18"/>
    </row>
    <row r="82" spans="8:10" x14ac:dyDescent="0.2">
      <c r="H82" s="17"/>
      <c r="J82" s="18"/>
    </row>
    <row r="83" spans="8:10" x14ac:dyDescent="0.2">
      <c r="J83" s="18"/>
    </row>
    <row r="84" spans="8:10" x14ac:dyDescent="0.2">
      <c r="J84" s="18"/>
    </row>
    <row r="85" spans="8:10" x14ac:dyDescent="0.2">
      <c r="J85" s="18"/>
    </row>
    <row r="86" spans="8:10" x14ac:dyDescent="0.2">
      <c r="J86" s="18"/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Model</vt:lpstr>
      <vt:lpstr>Sep 2001</vt:lpstr>
      <vt:lpstr>Oct</vt:lpstr>
      <vt:lpstr>Analysis</vt:lpstr>
      <vt:lpstr>Analysis!Print_Area</vt:lpstr>
      <vt:lpstr>Oct!Print_Area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djunek</dc:creator>
  <cp:lastModifiedBy>Felienne</cp:lastModifiedBy>
  <cp:lastPrinted>2001-02-06T21:07:59Z</cp:lastPrinted>
  <dcterms:created xsi:type="dcterms:W3CDTF">2000-08-09T18:12:01Z</dcterms:created>
  <dcterms:modified xsi:type="dcterms:W3CDTF">2014-09-03T12:45:48Z</dcterms:modified>
</cp:coreProperties>
</file>