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990" yWindow="210" windowWidth="4710" windowHeight="6345" tabRatio="891" activeTab="2"/>
  </bookViews>
  <sheets>
    <sheet name="Cover" sheetId="1" r:id="rId1"/>
    <sheet name="2001_2CE to 2002" sheetId="34" state="hidden" r:id="rId2"/>
    <sheet name="North by Risk Category " sheetId="29" r:id="rId3"/>
    <sheet name="Central by Risk Category" sheetId="41" r:id="rId4"/>
    <sheet name="North Bus. Dev.by Risk Category" sheetId="36" r:id="rId5"/>
    <sheet name="P &amp; S by Risk Category" sheetId="7" r:id="rId6"/>
    <sheet name="Storage Tranche" sheetId="25" state="hidden" r:id="rId7"/>
    <sheet name="Storage by Risk Category" sheetId="48" r:id="rId8"/>
    <sheet name="NNG 00-02 Rollover" sheetId="23" state="hidden" r:id="rId9"/>
    <sheet name="Capital" sheetId="30" state="hidden" r:id="rId10"/>
    <sheet name="P&amp;S Rec2" sheetId="12" state="hidden" r:id="rId11"/>
    <sheet name="Sheet1" sheetId="15" r:id="rId12"/>
    <sheet name="Sheet2" sheetId="16" r:id="rId13"/>
    <sheet name="Sheet3" sheetId="17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A">#N/A</definedName>
    <definedName name="\B">#N/A</definedName>
    <definedName name="\C">#REF!</definedName>
    <definedName name="\H">'[4]#REF'!#REF!</definedName>
    <definedName name="\I">#REF!</definedName>
    <definedName name="\P">#REF!</definedName>
    <definedName name="\R">'[4]#REF'!#REF!</definedName>
    <definedName name="\S">'[4]#REF'!#REF!</definedName>
    <definedName name="\U">'[4]#REF'!#REF!</definedName>
    <definedName name="\Z">'[4]#REF'!#REF!</definedName>
    <definedName name="__123Graph_A" hidden="1">[6]TW!#REF!</definedName>
    <definedName name="__123Graph_B" hidden="1">[6]TW!#REF!</definedName>
    <definedName name="__123Graph_C" hidden="1">[6]TW!#REF!</definedName>
    <definedName name="__123Graph_D" hidden="1">[6]TW!#REF!</definedName>
    <definedName name="_1">#REF!</definedName>
    <definedName name="_2">#REF!</definedName>
    <definedName name="_3">#REF!</definedName>
    <definedName name="ALL">#REF!</definedName>
    <definedName name="BYYEAR">'[4]#REF'!#REF!</definedName>
    <definedName name="CAP">#REF!</definedName>
    <definedName name="CASH_FLOW">#REF!</definedName>
    <definedName name="CASH_FLOW_INPUT">#REF!</definedName>
    <definedName name="Date_Copy1">#REF!</definedName>
    <definedName name="Date_Copy2">#REF!</definedName>
    <definedName name="DIRECTORY">'[4]#REF'!#REF!</definedName>
    <definedName name="EGC">#REF!</definedName>
    <definedName name="file_date_name">#REF!</definedName>
    <definedName name="Ind_Co_Variance_Range">[3]IndCoVariance!$D$7:$AB$69,[3]IndCoVariance!$D$77:$AB$151,[3]IndCoVariance!$AH$7:$AP$69,[3]IndCoVariance!$AH$77:$AP$151,[3]IndCoVariance!$AU$7:$BA$69,[3]IndCoVariance!$AU$77:$BA$151</definedName>
    <definedName name="INSTRUCT">'[4]#REF'!#REF!</definedName>
    <definedName name="look">[5]summary!$D$8:$H$43</definedName>
    <definedName name="MGMT">#REF!</definedName>
    <definedName name="MONTHLY">#REF!</definedName>
    <definedName name="NNG">#REF!</definedName>
    <definedName name="PDTotal">#REF!</definedName>
    <definedName name="_xlnm.Print_Area" localSheetId="1">'2001_2CE to 2002'!$A$1:$H$55</definedName>
    <definedName name="_xlnm.Print_Area" localSheetId="3">'Central by Risk Category'!$B$1:$N$98</definedName>
    <definedName name="_xlnm.Print_Area" localSheetId="4">'North Bus. Dev.by Risk Category'!$A$1:$L$49</definedName>
    <definedName name="_xlnm.Print_Area" localSheetId="2">'North by Risk Category '!$A$1:$K$99</definedName>
    <definedName name="_xlnm.Print_Area" localSheetId="5">'P &amp; S by Risk Category'!$A$1:$P$64</definedName>
    <definedName name="_xlnm.Print_Area" localSheetId="10">'P&amp;S Rec2'!$A$1:$H$28</definedName>
    <definedName name="_xlnm.Print_Area" localSheetId="7">'Storage by Risk Category'!$A$1:$R$103</definedName>
    <definedName name="Print_Area_MI">#REF!</definedName>
    <definedName name="_xlnm.Print_Titles" localSheetId="3">'Central by Risk Category'!$1:$7</definedName>
    <definedName name="_xlnm.Print_Titles" localSheetId="4">'North Bus. Dev.by Risk Category'!$1:$2</definedName>
    <definedName name="_xlnm.Print_Titles" localSheetId="2">'North by Risk Category '!$1:$8</definedName>
    <definedName name="_xlnm.Print_Titles" localSheetId="5">'P &amp; S by Risk Category'!$1:$8</definedName>
    <definedName name="_xlnm.Print_Titles" localSheetId="7">'Storage by Risk Category'!$1:$2</definedName>
    <definedName name="Print_Titles_MI">#REF!</definedName>
    <definedName name="Rules_for_Obligations">'[4]#REF'!#REF!</definedName>
    <definedName name="SJ">[6]TW!#REF!</definedName>
    <definedName name="SUMMARY">#REF!</definedName>
    <definedName name="SYS">[6]TW!#REF!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[3]Variance!$D$7,[3]Variance!$D$7:$AB$70,[3]Variance!$D$77:$AB$153</definedName>
    <definedName name="_YR1992">#N/A</definedName>
    <definedName name="_YR9296">#REF!</definedName>
  </definedNames>
  <calcPr calcId="152511" fullCalcOnLoad="1"/>
</workbook>
</file>

<file path=xl/calcChain.xml><?xml version="1.0" encoding="utf-8"?>
<calcChain xmlns="http://schemas.openxmlformats.org/spreadsheetml/2006/main">
  <c r="F15" i="34" l="1"/>
  <c r="E19" i="34"/>
  <c r="E20" i="34"/>
  <c r="F22" i="34"/>
  <c r="F27" i="34"/>
  <c r="F32" i="34"/>
  <c r="F42" i="34"/>
  <c r="F48" i="34"/>
  <c r="F51" i="34" s="1"/>
  <c r="J9" i="30"/>
  <c r="J10" i="30"/>
  <c r="J11" i="30"/>
  <c r="J22" i="30" s="1"/>
  <c r="J12" i="30"/>
  <c r="J13" i="30"/>
  <c r="J14" i="30"/>
  <c r="J15" i="30"/>
  <c r="J16" i="30"/>
  <c r="F22" i="30"/>
  <c r="H22" i="30"/>
  <c r="F11" i="41"/>
  <c r="G11" i="41"/>
  <c r="I11" i="41"/>
  <c r="F15" i="41"/>
  <c r="G15" i="41" s="1"/>
  <c r="I15" i="41" s="1"/>
  <c r="F16" i="41"/>
  <c r="G16" i="41"/>
  <c r="I16" i="41" s="1"/>
  <c r="F18" i="41"/>
  <c r="G18" i="41"/>
  <c r="I18" i="41"/>
  <c r="E20" i="41"/>
  <c r="G20" i="41"/>
  <c r="I20" i="41" s="1"/>
  <c r="E24" i="41"/>
  <c r="G24" i="41"/>
  <c r="I24" i="41"/>
  <c r="F26" i="41"/>
  <c r="G26" i="41" s="1"/>
  <c r="I26" i="41" s="1"/>
  <c r="F27" i="41"/>
  <c r="G27" i="41"/>
  <c r="I27" i="41" s="1"/>
  <c r="F29" i="41"/>
  <c r="G29" i="41"/>
  <c r="I29" i="41"/>
  <c r="D31" i="41"/>
  <c r="G31" i="41" s="1"/>
  <c r="I31" i="41" s="1"/>
  <c r="E31" i="41"/>
  <c r="G33" i="41"/>
  <c r="F33" i="41" s="1"/>
  <c r="E33" i="41" s="1"/>
  <c r="E35" i="41"/>
  <c r="F35" i="41"/>
  <c r="G35" i="41"/>
  <c r="I35" i="41" s="1"/>
  <c r="E36" i="41"/>
  <c r="F36" i="41"/>
  <c r="G36" i="41"/>
  <c r="I36" i="41"/>
  <c r="E40" i="41"/>
  <c r="G40" i="41"/>
  <c r="I42" i="41"/>
  <c r="G42" i="41" s="1"/>
  <c r="F42" i="41" s="1"/>
  <c r="E42" i="41" s="1"/>
  <c r="E44" i="41"/>
  <c r="G44" i="41"/>
  <c r="I44" i="41" s="1"/>
  <c r="G46" i="41"/>
  <c r="F46" i="41" s="1"/>
  <c r="E46" i="41" s="1"/>
  <c r="F50" i="41"/>
  <c r="I50" i="41"/>
  <c r="F51" i="41"/>
  <c r="G51" i="41"/>
  <c r="I51" i="41"/>
  <c r="E53" i="41"/>
  <c r="G53" i="41"/>
  <c r="I53" i="41"/>
  <c r="E55" i="41"/>
  <c r="G55" i="41"/>
  <c r="I55" i="41" s="1"/>
  <c r="E57" i="41"/>
  <c r="G57" i="41"/>
  <c r="I57" i="41"/>
  <c r="E58" i="41"/>
  <c r="G58" i="41"/>
  <c r="I58" i="41"/>
  <c r="E60" i="41"/>
  <c r="G60" i="41"/>
  <c r="I60" i="41"/>
  <c r="E61" i="41"/>
  <c r="G61" i="41"/>
  <c r="I61" i="41" s="1"/>
  <c r="F72" i="41"/>
  <c r="G72" i="41" s="1"/>
  <c r="I72" i="41" s="1"/>
  <c r="K72" i="41" s="1"/>
  <c r="K86" i="41" s="1"/>
  <c r="K93" i="41" s="1"/>
  <c r="F73" i="41"/>
  <c r="G73" i="41" s="1"/>
  <c r="I73" i="41" s="1"/>
  <c r="K73" i="41" s="1"/>
  <c r="G76" i="41"/>
  <c r="F76" i="41" s="1"/>
  <c r="E76" i="41" s="1"/>
  <c r="K76" i="41"/>
  <c r="E81" i="41"/>
  <c r="F81" i="41"/>
  <c r="K81" i="41"/>
  <c r="F82" i="41"/>
  <c r="G82" i="41"/>
  <c r="I82" i="41" s="1"/>
  <c r="K82" i="41" s="1"/>
  <c r="B95" i="41"/>
  <c r="A38" i="1"/>
  <c r="G17" i="23"/>
  <c r="I17" i="23"/>
  <c r="O17" i="23" s="1"/>
  <c r="K17" i="23"/>
  <c r="M17" i="23"/>
  <c r="I19" i="23"/>
  <c r="O19" i="23"/>
  <c r="I21" i="23"/>
  <c r="O21" i="23" s="1"/>
  <c r="C23" i="23"/>
  <c r="E23" i="23"/>
  <c r="G23" i="23"/>
  <c r="K23" i="23"/>
  <c r="K30" i="23" s="1"/>
  <c r="K38" i="23" s="1"/>
  <c r="L23" i="23"/>
  <c r="L30" i="23" s="1"/>
  <c r="L38" i="23" s="1"/>
  <c r="M23" i="23"/>
  <c r="M38" i="23" s="1"/>
  <c r="I25" i="23"/>
  <c r="O25" i="23" s="1"/>
  <c r="I28" i="23"/>
  <c r="O28" i="23" s="1"/>
  <c r="C30" i="23"/>
  <c r="E30" i="23"/>
  <c r="E38" i="23" s="1"/>
  <c r="G30" i="23"/>
  <c r="G38" i="23" s="1"/>
  <c r="M30" i="23"/>
  <c r="I32" i="23"/>
  <c r="O32" i="23"/>
  <c r="I33" i="23"/>
  <c r="O33" i="23" s="1"/>
  <c r="I34" i="23"/>
  <c r="O34" i="23" s="1"/>
  <c r="I35" i="23"/>
  <c r="O35" i="23" s="1"/>
  <c r="I36" i="23"/>
  <c r="O36" i="23"/>
  <c r="C38" i="23"/>
  <c r="C43" i="23"/>
  <c r="G50" i="23"/>
  <c r="M50" i="23"/>
  <c r="F12" i="36"/>
  <c r="H12" i="36"/>
  <c r="J12" i="36"/>
  <c r="F14" i="36"/>
  <c r="H14" i="36" s="1"/>
  <c r="J21" i="36"/>
  <c r="J31" i="36"/>
  <c r="F33" i="36"/>
  <c r="H33" i="36"/>
  <c r="J33" i="36" s="1"/>
  <c r="A45" i="36"/>
  <c r="J48" i="36"/>
  <c r="D12" i="29"/>
  <c r="F12" i="29"/>
  <c r="H12" i="29"/>
  <c r="E14" i="29"/>
  <c r="D14" i="29" s="1"/>
  <c r="F14" i="29"/>
  <c r="H14" i="29" s="1"/>
  <c r="E16" i="29"/>
  <c r="F16" i="29" s="1"/>
  <c r="H16" i="29" s="1"/>
  <c r="D18" i="29"/>
  <c r="F18" i="29"/>
  <c r="H18" i="29"/>
  <c r="F20" i="29"/>
  <c r="H20" i="29"/>
  <c r="F21" i="29"/>
  <c r="H21" i="29" s="1"/>
  <c r="E23" i="29"/>
  <c r="F23" i="29"/>
  <c r="F24" i="29"/>
  <c r="E24" i="29" s="1"/>
  <c r="F26" i="29"/>
  <c r="E26" i="29" s="1"/>
  <c r="D28" i="29"/>
  <c r="F28" i="29"/>
  <c r="H28" i="29"/>
  <c r="E30" i="29"/>
  <c r="F30" i="29"/>
  <c r="E32" i="29"/>
  <c r="E33" i="29"/>
  <c r="E35" i="29"/>
  <c r="D35" i="29" s="1"/>
  <c r="F35" i="29"/>
  <c r="D37" i="29"/>
  <c r="F37" i="29"/>
  <c r="F39" i="29"/>
  <c r="E39" i="29" s="1"/>
  <c r="D39" i="29" s="1"/>
  <c r="E41" i="29"/>
  <c r="D41" i="29" s="1"/>
  <c r="F41" i="29"/>
  <c r="F58" i="29"/>
  <c r="H58" i="29"/>
  <c r="J58" i="29"/>
  <c r="F60" i="29"/>
  <c r="H60" i="29"/>
  <c r="J60" i="29"/>
  <c r="D62" i="29"/>
  <c r="F62" i="29"/>
  <c r="H62" i="29" s="1"/>
  <c r="H64" i="29"/>
  <c r="J64" i="29"/>
  <c r="H66" i="29"/>
  <c r="J66" i="29"/>
  <c r="H68" i="29"/>
  <c r="J68" i="29" s="1"/>
  <c r="D70" i="29"/>
  <c r="F70" i="29"/>
  <c r="H70" i="29"/>
  <c r="J70" i="29"/>
  <c r="D72" i="29"/>
  <c r="F72" i="29"/>
  <c r="H72" i="29"/>
  <c r="J72" i="29" s="1"/>
  <c r="F74" i="29"/>
  <c r="H74" i="29" s="1"/>
  <c r="F76" i="29"/>
  <c r="H76" i="29"/>
  <c r="J76" i="29"/>
  <c r="D78" i="29"/>
  <c r="F78" i="29"/>
  <c r="H78" i="29" s="1"/>
  <c r="H80" i="29"/>
  <c r="J80" i="29" s="1"/>
  <c r="A91" i="29"/>
  <c r="D10" i="7"/>
  <c r="E10" i="7"/>
  <c r="I10" i="7"/>
  <c r="L10" i="7"/>
  <c r="L39" i="7" s="1"/>
  <c r="P10" i="7"/>
  <c r="I11" i="7"/>
  <c r="L11" i="7"/>
  <c r="P11" i="7" s="1"/>
  <c r="I12" i="7"/>
  <c r="L12" i="7"/>
  <c r="P12" i="7"/>
  <c r="E14" i="7"/>
  <c r="D14" i="7" s="1"/>
  <c r="L14" i="7"/>
  <c r="P14" i="7" s="1"/>
  <c r="I15" i="7"/>
  <c r="L15" i="7"/>
  <c r="P15" i="7"/>
  <c r="I16" i="7"/>
  <c r="L16" i="7"/>
  <c r="P16" i="7"/>
  <c r="I17" i="7"/>
  <c r="L17" i="7"/>
  <c r="P17" i="7"/>
  <c r="E19" i="7"/>
  <c r="D19" i="7" s="1"/>
  <c r="L19" i="7"/>
  <c r="R22" i="7" s="1"/>
  <c r="P19" i="7"/>
  <c r="I20" i="7"/>
  <c r="L20" i="7"/>
  <c r="P20" i="7"/>
  <c r="I21" i="7"/>
  <c r="L21" i="7"/>
  <c r="P21" i="7"/>
  <c r="I22" i="7"/>
  <c r="L22" i="7"/>
  <c r="P22" i="7"/>
  <c r="D25" i="7"/>
  <c r="E25" i="7"/>
  <c r="L25" i="7"/>
  <c r="R27" i="7" s="1"/>
  <c r="P25" i="7"/>
  <c r="I26" i="7"/>
  <c r="L26" i="7"/>
  <c r="P26" i="7"/>
  <c r="I27" i="7"/>
  <c r="L27" i="7"/>
  <c r="P27" i="7" s="1"/>
  <c r="E29" i="7"/>
  <c r="D29" i="7" s="1"/>
  <c r="L29" i="7"/>
  <c r="R30" i="7" s="1"/>
  <c r="P29" i="7"/>
  <c r="P30" i="7"/>
  <c r="E33" i="7"/>
  <c r="D33" i="7" s="1"/>
  <c r="L33" i="7"/>
  <c r="P33" i="7"/>
  <c r="I34" i="7"/>
  <c r="L34" i="7"/>
  <c r="P34" i="7" s="1"/>
  <c r="I35" i="7"/>
  <c r="L35" i="7"/>
  <c r="P35" i="7"/>
  <c r="I36" i="7"/>
  <c r="L36" i="7"/>
  <c r="P36" i="7"/>
  <c r="I38" i="7"/>
  <c r="L38" i="7"/>
  <c r="P38" i="7" s="1"/>
  <c r="R38" i="7"/>
  <c r="C39" i="7"/>
  <c r="F39" i="7"/>
  <c r="H39" i="7"/>
  <c r="J39" i="7"/>
  <c r="E45" i="7"/>
  <c r="D45" i="7" s="1"/>
  <c r="I45" i="7"/>
  <c r="L45" i="7"/>
  <c r="P45" i="7"/>
  <c r="P53" i="7" s="1"/>
  <c r="R53" i="7" s="1"/>
  <c r="E47" i="7"/>
  <c r="D47" i="7" s="1"/>
  <c r="L47" i="7"/>
  <c r="P47" i="7"/>
  <c r="E49" i="7"/>
  <c r="D49" i="7" s="1"/>
  <c r="I49" i="7"/>
  <c r="L49" i="7"/>
  <c r="P49" i="7" s="1"/>
  <c r="I51" i="7"/>
  <c r="L51" i="7"/>
  <c r="P51" i="7"/>
  <c r="L52" i="7"/>
  <c r="F53" i="7"/>
  <c r="J53" i="7"/>
  <c r="L53" i="7"/>
  <c r="T55" i="7"/>
  <c r="X56" i="7"/>
  <c r="A59" i="7"/>
  <c r="L61" i="7"/>
  <c r="AA61" i="7"/>
  <c r="AA63" i="7" s="1"/>
  <c r="AA62" i="7"/>
  <c r="D22" i="12"/>
  <c r="F22" i="12"/>
  <c r="H22" i="12"/>
  <c r="D24" i="12"/>
  <c r="F24" i="12"/>
  <c r="H24" i="12"/>
  <c r="J10" i="48"/>
  <c r="J14" i="48" s="1"/>
  <c r="J16" i="48" s="1"/>
  <c r="L10" i="48"/>
  <c r="N10" i="48"/>
  <c r="P10" i="48"/>
  <c r="J11" i="48"/>
  <c r="R11" i="48" s="1"/>
  <c r="Q11" i="48" s="1"/>
  <c r="L11" i="48"/>
  <c r="L14" i="48" s="1"/>
  <c r="N11" i="48"/>
  <c r="N14" i="48" s="1"/>
  <c r="N16" i="48" s="1"/>
  <c r="P11" i="48"/>
  <c r="J12" i="48"/>
  <c r="P12" i="48"/>
  <c r="R12" i="48"/>
  <c r="Q12" i="48" s="1"/>
  <c r="J13" i="48"/>
  <c r="R13" i="48" s="1"/>
  <c r="P14" i="48"/>
  <c r="J15" i="48"/>
  <c r="R15" i="48" s="1"/>
  <c r="N15" i="48"/>
  <c r="J19" i="48"/>
  <c r="R19" i="48" s="1"/>
  <c r="N19" i="48"/>
  <c r="N25" i="48" s="1"/>
  <c r="P19" i="48"/>
  <c r="J20" i="48"/>
  <c r="N20" i="48"/>
  <c r="P20" i="48"/>
  <c r="R20" i="48"/>
  <c r="Q20" i="48" s="1"/>
  <c r="J22" i="48"/>
  <c r="R22" i="48" s="1"/>
  <c r="Q22" i="48" s="1"/>
  <c r="N22" i="48"/>
  <c r="J23" i="48"/>
  <c r="N23" i="48"/>
  <c r="P23" i="48"/>
  <c r="R23" i="48"/>
  <c r="Q23" i="48" s="1"/>
  <c r="J24" i="48"/>
  <c r="N24" i="48"/>
  <c r="P24" i="48"/>
  <c r="R24" i="48"/>
  <c r="Q24" i="48" s="1"/>
  <c r="H25" i="48"/>
  <c r="L25" i="48"/>
  <c r="R27" i="48"/>
  <c r="R30" i="48" s="1"/>
  <c r="R28" i="48"/>
  <c r="J30" i="48"/>
  <c r="L30" i="48"/>
  <c r="N30" i="48"/>
  <c r="L31" i="48"/>
  <c r="P31" i="48"/>
  <c r="J33" i="48"/>
  <c r="N33" i="48"/>
  <c r="N38" i="48" s="1"/>
  <c r="P33" i="48"/>
  <c r="R33" i="48"/>
  <c r="Q33" i="48" s="1"/>
  <c r="J34" i="48"/>
  <c r="J38" i="48" s="1"/>
  <c r="N34" i="48"/>
  <c r="J35" i="48"/>
  <c r="R35" i="48" s="1"/>
  <c r="Q35" i="48" s="1"/>
  <c r="N35" i="48"/>
  <c r="P35" i="48"/>
  <c r="N36" i="48"/>
  <c r="P37" i="48"/>
  <c r="R37" i="48"/>
  <c r="Q37" i="48" s="1"/>
  <c r="L38" i="48"/>
  <c r="J42" i="48"/>
  <c r="R42" i="48" s="1"/>
  <c r="N42" i="48"/>
  <c r="N45" i="48" s="1"/>
  <c r="P42" i="48"/>
  <c r="P45" i="48" s="1"/>
  <c r="P47" i="48" s="1"/>
  <c r="J43" i="48"/>
  <c r="N43" i="48"/>
  <c r="P43" i="48"/>
  <c r="R43" i="48"/>
  <c r="Q43" i="48" s="1"/>
  <c r="J44" i="48"/>
  <c r="R44" i="48" s="1"/>
  <c r="Q44" i="48" s="1"/>
  <c r="N44" i="48"/>
  <c r="P44" i="48"/>
  <c r="H45" i="48"/>
  <c r="L45" i="48"/>
  <c r="H47" i="48"/>
  <c r="L47" i="48"/>
  <c r="R49" i="48"/>
  <c r="R51" i="48"/>
  <c r="F53" i="48"/>
  <c r="F78" i="48" s="1"/>
  <c r="D56" i="48"/>
  <c r="D57" i="48"/>
  <c r="H57" i="48"/>
  <c r="L57" i="48"/>
  <c r="P63" i="48"/>
  <c r="R63" i="48"/>
  <c r="P65" i="48"/>
  <c r="R65" i="48"/>
  <c r="Q65" i="48" s="1"/>
  <c r="J67" i="48"/>
  <c r="P67" i="48"/>
  <c r="R67" i="48"/>
  <c r="R75" i="48" s="1"/>
  <c r="J69" i="48"/>
  <c r="P69" i="48"/>
  <c r="R69" i="48"/>
  <c r="Q69" i="48" s="1"/>
  <c r="J71" i="48"/>
  <c r="P71" i="48"/>
  <c r="R71" i="48"/>
  <c r="Q71" i="48" s="1"/>
  <c r="F75" i="48"/>
  <c r="J75" i="48"/>
  <c r="N75" i="48"/>
  <c r="D64" i="25"/>
  <c r="U94" i="25"/>
  <c r="U96" i="25"/>
  <c r="U99" i="25"/>
  <c r="U101" i="25"/>
  <c r="Q103" i="25"/>
  <c r="U103" i="25" s="1"/>
  <c r="J14" i="36" l="1"/>
  <c r="J26" i="36" s="1"/>
  <c r="J44" i="36" s="1"/>
  <c r="H26" i="36"/>
  <c r="M25" i="48"/>
  <c r="N31" i="48"/>
  <c r="M31" i="48" s="1"/>
  <c r="M45" i="48"/>
  <c r="N47" i="48"/>
  <c r="M47" i="48" s="1"/>
  <c r="Q19" i="48"/>
  <c r="R25" i="48"/>
  <c r="R31" i="48" s="1"/>
  <c r="R12" i="7"/>
  <c r="I21" i="41"/>
  <c r="I62" i="41"/>
  <c r="H53" i="29"/>
  <c r="J94" i="29" s="1"/>
  <c r="J98" i="29" s="1"/>
  <c r="Q42" i="48"/>
  <c r="R45" i="48"/>
  <c r="J88" i="29"/>
  <c r="J96" i="29" s="1"/>
  <c r="J36" i="36"/>
  <c r="J46" i="36" s="1"/>
  <c r="H88" i="29"/>
  <c r="I37" i="41"/>
  <c r="I67" i="41" s="1"/>
  <c r="K91" i="41" s="1"/>
  <c r="K89" i="41" s="1"/>
  <c r="G50" i="41"/>
  <c r="J25" i="48"/>
  <c r="R36" i="7"/>
  <c r="Q67" i="48"/>
  <c r="D16" i="29"/>
  <c r="J45" i="48"/>
  <c r="I23" i="23"/>
  <c r="I47" i="41"/>
  <c r="R10" i="48"/>
  <c r="R17" i="7"/>
  <c r="P39" i="7"/>
  <c r="H36" i="36"/>
  <c r="R38" i="48"/>
  <c r="Q10" i="48" l="1"/>
  <c r="R14" i="48"/>
  <c r="O23" i="23"/>
  <c r="I30" i="23"/>
  <c r="J47" i="48"/>
  <c r="I47" i="48" s="1"/>
  <c r="I45" i="48"/>
  <c r="Q45" i="48"/>
  <c r="R47" i="48"/>
  <c r="Q47" i="48" s="1"/>
  <c r="J31" i="48"/>
  <c r="J53" i="48" s="1"/>
  <c r="J78" i="48" s="1"/>
  <c r="I25" i="48"/>
  <c r="N53" i="48"/>
  <c r="N78" i="48" s="1"/>
  <c r="R39" i="7"/>
  <c r="I38" i="23" l="1"/>
  <c r="O30" i="23"/>
  <c r="Q14" i="48"/>
  <c r="R16" i="48"/>
  <c r="R53" i="48" s="1"/>
  <c r="R78" i="48" s="1"/>
  <c r="I43" i="23" l="1"/>
  <c r="O38" i="23"/>
  <c r="O43" i="23" s="1"/>
</calcChain>
</file>

<file path=xl/sharedStrings.xml><?xml version="1.0" encoding="utf-8"?>
<sst xmlns="http://schemas.openxmlformats.org/spreadsheetml/2006/main" count="700" uniqueCount="390">
  <si>
    <t>NORTHERN NATURAL GAS COMPANY</t>
  </si>
  <si>
    <t>Total</t>
  </si>
  <si>
    <t>Variance</t>
  </si>
  <si>
    <t>Demand</t>
  </si>
  <si>
    <t>Commodity</t>
  </si>
  <si>
    <t>Plan</t>
  </si>
  <si>
    <t>Storage</t>
  </si>
  <si>
    <t>Other - Penalties</t>
  </si>
  <si>
    <t>TOTAL REVENUES</t>
  </si>
  <si>
    <t>Margin</t>
  </si>
  <si>
    <t>North</t>
  </si>
  <si>
    <t>Monthly</t>
  </si>
  <si>
    <t>Risk</t>
  </si>
  <si>
    <t xml:space="preserve">Net </t>
  </si>
  <si>
    <t>Customer</t>
  </si>
  <si>
    <t>Type</t>
  </si>
  <si>
    <t>Capacity</t>
  </si>
  <si>
    <t>Rate</t>
  </si>
  <si>
    <t>Revenue</t>
  </si>
  <si>
    <t>Months</t>
  </si>
  <si>
    <t>Factor</t>
  </si>
  <si>
    <t>Comments</t>
  </si>
  <si>
    <t>Tranche 2</t>
  </si>
  <si>
    <t>Various</t>
  </si>
  <si>
    <t>TF/TFX Overrun</t>
  </si>
  <si>
    <t>Tranche 3</t>
  </si>
  <si>
    <t>Pricing &amp; Structuring Team</t>
  </si>
  <si>
    <t>Daily</t>
  </si>
  <si>
    <t xml:space="preserve">Commodity </t>
  </si>
  <si>
    <t>Utility</t>
  </si>
  <si>
    <t>Units</t>
  </si>
  <si>
    <t>Volume</t>
  </si>
  <si>
    <t>Glenwood</t>
  </si>
  <si>
    <t>MGO-NGPL storage</t>
  </si>
  <si>
    <t>OK-KS East</t>
  </si>
  <si>
    <t>PEPL  demand</t>
  </si>
  <si>
    <t>Capacity release</t>
  </si>
  <si>
    <t>TFX commodity</t>
  </si>
  <si>
    <t>TI commodity</t>
  </si>
  <si>
    <t>Capacity Release</t>
  </si>
  <si>
    <t>Plants</t>
  </si>
  <si>
    <t>Pools</t>
  </si>
  <si>
    <t>Demarc</t>
  </si>
  <si>
    <t>Millions of Dollars</t>
  </si>
  <si>
    <t>Revenues</t>
  </si>
  <si>
    <t>Other</t>
  </si>
  <si>
    <t>Total Variance</t>
  </si>
  <si>
    <t>Storage Team</t>
  </si>
  <si>
    <t>NWPS</t>
  </si>
  <si>
    <t>CCI</t>
  </si>
  <si>
    <t>TFXM</t>
  </si>
  <si>
    <t>Commodity                        TFX</t>
  </si>
  <si>
    <t>Unattached</t>
  </si>
  <si>
    <t>Other - Discretionary Capital Pool</t>
  </si>
  <si>
    <t>Overrun</t>
  </si>
  <si>
    <t xml:space="preserve">TFXM    </t>
  </si>
  <si>
    <t>Koch Hydrocarbon</t>
  </si>
  <si>
    <t>Reliant MGO</t>
  </si>
  <si>
    <t>Reliant Energy Retail</t>
  </si>
  <si>
    <t>NSP-Generation</t>
  </si>
  <si>
    <t>Midwest Natural</t>
  </si>
  <si>
    <t>NSP-MN</t>
  </si>
  <si>
    <t>NSP-WI</t>
  </si>
  <si>
    <t>Structured Products</t>
  </si>
  <si>
    <t>Capital</t>
  </si>
  <si>
    <t>Subtotal</t>
  </si>
  <si>
    <t>TOTAL</t>
  </si>
  <si>
    <t>2000-2002 OPERATING &amp; STRATEGIC PLAN</t>
  </si>
  <si>
    <t>MARGIN ANALYSIS</t>
  </si>
  <si>
    <t>INCREMENTAL CHANGES 2000 TO 2001</t>
  </si>
  <si>
    <t>INCREMENTAL CHANGES 2001 TO 2002</t>
  </si>
  <si>
    <t xml:space="preserve"> </t>
  </si>
  <si>
    <t>2000</t>
  </si>
  <si>
    <t>TRANCHE 3</t>
  </si>
  <si>
    <t>2002</t>
  </si>
  <si>
    <t>MARGIN</t>
  </si>
  <si>
    <t>CAPITAL</t>
  </si>
  <si>
    <t>MIDWEST</t>
  </si>
  <si>
    <t>SOUTH OFFSHORE</t>
  </si>
  <si>
    <t>STORAGE</t>
  </si>
  <si>
    <t xml:space="preserve"> OTHER:</t>
  </si>
  <si>
    <t>DDVC/Penalties</t>
  </si>
  <si>
    <t xml:space="preserve">Subtotal </t>
  </si>
  <si>
    <t>Revenue Management</t>
  </si>
  <si>
    <t>Business Devel. Projects</t>
  </si>
  <si>
    <t>Volumetric Rate Design</t>
  </si>
  <si>
    <t>Struct. Products Recur.</t>
  </si>
  <si>
    <t>Carlton Termination</t>
  </si>
  <si>
    <t xml:space="preserve">   LESS CARLTON</t>
  </si>
  <si>
    <t>TOTAL MARGINS</t>
  </si>
  <si>
    <t>Peak Day 2000</t>
  </si>
  <si>
    <t>Koch Hydrogen Plant</t>
  </si>
  <si>
    <t>Black Dog Power Plt</t>
  </si>
  <si>
    <t>GRE Power Plant</t>
  </si>
  <si>
    <t>Discretionary Pool</t>
  </si>
  <si>
    <t>ASSET</t>
  </si>
  <si>
    <t>SALE</t>
  </si>
  <si>
    <t xml:space="preserve">Risk </t>
  </si>
  <si>
    <t>Adj</t>
  </si>
  <si>
    <t>ET&amp;S</t>
  </si>
  <si>
    <t xml:space="preserve">2001 Storage Plan  </t>
  </si>
  <si>
    <t>Last Updated:</t>
  </si>
  <si>
    <t>Tranche 1</t>
  </si>
  <si>
    <t>Total Plan</t>
  </si>
  <si>
    <t>Category</t>
  </si>
  <si>
    <t>Quantity (BCF)</t>
  </si>
  <si>
    <t>Revenue ($ 000's)</t>
  </si>
  <si>
    <t>Risk Weighted</t>
  </si>
  <si>
    <t>Risk Adj Revenues</t>
  </si>
  <si>
    <t>IDD</t>
  </si>
  <si>
    <t>Seasonal</t>
  </si>
  <si>
    <t xml:space="preserve">Traditional </t>
  </si>
  <si>
    <t>Withdrawal Dec 2001</t>
  </si>
  <si>
    <t>Withdrawal Jan 2002</t>
  </si>
  <si>
    <t>Back side of '00 deals</t>
  </si>
  <si>
    <t>Sub-total - Traditional</t>
  </si>
  <si>
    <t>Nov - Dec</t>
  </si>
  <si>
    <t>Total Seasonal</t>
  </si>
  <si>
    <t>Backdraft</t>
  </si>
  <si>
    <t xml:space="preserve"> W/D Winter 00/01</t>
  </si>
  <si>
    <t>Traditional</t>
  </si>
  <si>
    <t>Incremental capacity - Feb 01</t>
  </si>
  <si>
    <t>Traditional w/ Call Back Rights</t>
  </si>
  <si>
    <t>Traditional - Regression Model</t>
  </si>
  <si>
    <t>Traditional w/ Expense SBA</t>
  </si>
  <si>
    <t>SBA Peaking</t>
  </si>
  <si>
    <t>Sub-total - Winter 00/01</t>
  </si>
  <si>
    <t xml:space="preserve"> W/D Winter 01/02</t>
  </si>
  <si>
    <t>Sub-total - Winter 01/02</t>
  </si>
  <si>
    <t>Total Backdraft</t>
  </si>
  <si>
    <t>Month-to-Month</t>
  </si>
  <si>
    <t xml:space="preserve">    Back side of '00 deals</t>
  </si>
  <si>
    <t xml:space="preserve">    Value Deals</t>
  </si>
  <si>
    <t>Total Month-to-Month</t>
  </si>
  <si>
    <t xml:space="preserve">Power Pac </t>
  </si>
  <si>
    <t>Summer</t>
  </si>
  <si>
    <t>Winter</t>
  </si>
  <si>
    <t>Great River Energy</t>
  </si>
  <si>
    <t>Sub-total - Power Pac</t>
  </si>
  <si>
    <t>Total Other</t>
  </si>
  <si>
    <t>Park n Ride</t>
  </si>
  <si>
    <t>12 mos * $82.5m/mo =</t>
  </si>
  <si>
    <t xml:space="preserve"> Expense SBA</t>
  </si>
  <si>
    <t>Total IDD</t>
  </si>
  <si>
    <t xml:space="preserve">2001 Storage Plan First Pass </t>
  </si>
  <si>
    <t>FDD</t>
  </si>
  <si>
    <t>Reservation</t>
  </si>
  <si>
    <t>Injection/Withdrawal</t>
  </si>
  <si>
    <t>Penalties (UMM, etc.)</t>
  </si>
  <si>
    <t>Total FDD</t>
  </si>
  <si>
    <t>Total Storage</t>
  </si>
  <si>
    <t>Backdraft - Regression Analysis</t>
  </si>
  <si>
    <t>Backdraft - SBA Peaking Capacity</t>
  </si>
  <si>
    <t>Northern Natural Gas Company</t>
  </si>
  <si>
    <t>Capital Plan - 2001 Last Year To 2001 This Year</t>
  </si>
  <si>
    <t>Margin Summary  ($Millions)</t>
  </si>
  <si>
    <t>Capital Projects:</t>
  </si>
  <si>
    <t>Region</t>
  </si>
  <si>
    <t>2000 &amp;2001   from 99</t>
  </si>
  <si>
    <t>2000 &amp;2001   from 00</t>
  </si>
  <si>
    <t>Comments:</t>
  </si>
  <si>
    <t xml:space="preserve">Other </t>
  </si>
  <si>
    <t>La Crosse</t>
  </si>
  <si>
    <t>Zone EF</t>
  </si>
  <si>
    <t>Sale of MOPS</t>
  </si>
  <si>
    <t>Sale of Seagull</t>
  </si>
  <si>
    <t>PRICING &amp; STRUCTURING</t>
  </si>
  <si>
    <t>Operational Storage "Puts" or "Calls"</t>
  </si>
  <si>
    <t>Resell intra-month put volume when GDD&gt;Index;</t>
  </si>
  <si>
    <t>take increase through Storage</t>
  </si>
  <si>
    <t>Line Pack Storage</t>
  </si>
  <si>
    <t>Storage Asset Manage - WBI</t>
  </si>
  <si>
    <t>Total Structured Products</t>
  </si>
  <si>
    <t>Storage Desk - 2001 Structured Products Ideas</t>
  </si>
  <si>
    <t>(millions of dollars)</t>
  </si>
  <si>
    <t>Midwest Region</t>
  </si>
  <si>
    <t>Alliant TFF Termination</t>
  </si>
  <si>
    <t>Surcharges - GRI</t>
  </si>
  <si>
    <t>Surcharges - Carlton Surcharge Decrease in Revenue</t>
  </si>
  <si>
    <t>Total North Region</t>
  </si>
  <si>
    <t>Pricing/Structuring</t>
  </si>
  <si>
    <t>South Offshore</t>
  </si>
  <si>
    <t>Production Decline</t>
  </si>
  <si>
    <t>IDD Capacity</t>
  </si>
  <si>
    <t>UCU Partnering</t>
  </si>
  <si>
    <t xml:space="preserve">Pricing/Structuring </t>
  </si>
  <si>
    <t xml:space="preserve">Storage Asset Management </t>
  </si>
  <si>
    <t>Belleville - Grundy</t>
  </si>
  <si>
    <t>Resell intra-month Put Volume</t>
  </si>
  <si>
    <t>Unallocated/Other</t>
  </si>
  <si>
    <t>Other - Bus. Dev., RM, Carlton</t>
  </si>
  <si>
    <t>Total Revenue Variance</t>
  </si>
  <si>
    <t>Other - Carlton Surcharge Decrease (Increases Margin)</t>
  </si>
  <si>
    <t>ENA/Demarc Strategy</t>
  </si>
  <si>
    <t xml:space="preserve"> unattached</t>
  </si>
  <si>
    <t>Reconciliation Of 2002 Plan to 2001 2nd Current Estimate</t>
  </si>
  <si>
    <t>2001 2nd Current Estimate</t>
  </si>
  <si>
    <t>2001 2nd Current Estimate Margin</t>
  </si>
  <si>
    <t>2002 Plan Margin</t>
  </si>
  <si>
    <t>North Team</t>
  </si>
  <si>
    <t>NNG Business Development - North</t>
  </si>
  <si>
    <t>New Ulm</t>
  </si>
  <si>
    <t>Recontract short-term winter TFX (Dec-02)</t>
  </si>
  <si>
    <t>Winter 01-02 already under contract</t>
  </si>
  <si>
    <t>TFX contract in exchange for Hastings branchline sale</t>
  </si>
  <si>
    <t>TFX contract for capacity at Winnebego/Anoka</t>
  </si>
  <si>
    <t>Winter propane TFX or Zone EF open season</t>
  </si>
  <si>
    <t>SMS on capacity release (summer)</t>
  </si>
  <si>
    <t>SMS on capacity release (winter)</t>
  </si>
  <si>
    <t>IT service</t>
  </si>
  <si>
    <t>Volumetric contract - avg demand rate reflected</t>
  </si>
  <si>
    <t>SWL&amp;P</t>
  </si>
  <si>
    <t>TFX contract with enduser behind NSP</t>
  </si>
  <si>
    <t>Winter powerpak TFX</t>
  </si>
  <si>
    <t>Summer powerpak TFX</t>
  </si>
  <si>
    <t>Recontract 38,518/MMBtu TF</t>
  </si>
  <si>
    <t>TFX contract extension (Oct-Dec)</t>
  </si>
  <si>
    <t>Axia (Koch)</t>
  </si>
  <si>
    <t>TI contract usage @ 20% load factor (winter)</t>
  </si>
  <si>
    <t>TI contract usage @ 40% load factor (summer)</t>
  </si>
  <si>
    <t>Remaining load on TFX cr 20510</t>
  </si>
  <si>
    <t>Transco-74038</t>
  </si>
  <si>
    <t>SBA-TI's (Tenaska &amp; Texaco)</t>
  </si>
  <si>
    <t>Transport to Storage</t>
  </si>
  <si>
    <t>Midcontinent</t>
  </si>
  <si>
    <t>Permian</t>
  </si>
  <si>
    <t>Plants - depletion</t>
  </si>
  <si>
    <t xml:space="preserve">Virginia Pwr and CMS </t>
  </si>
  <si>
    <t>Volatility Adj.</t>
  </si>
  <si>
    <t>Other (ExxonMobil reduction)</t>
  </si>
  <si>
    <t>Tall Corn Ethanol</t>
  </si>
  <si>
    <t>In-service July 1, 2002</t>
  </si>
  <si>
    <t>Little Sioux Ethanol</t>
  </si>
  <si>
    <t>In-service Nov. 1, 2002</t>
  </si>
  <si>
    <t xml:space="preserve">LES </t>
  </si>
  <si>
    <t>Construction and Operation Consulting Agreement</t>
  </si>
  <si>
    <t xml:space="preserve">TFXM </t>
  </si>
  <si>
    <t>North Business Development Stretch</t>
  </si>
  <si>
    <t>2002 Plan - Pricing &amp; Structuring</t>
  </si>
  <si>
    <t>Heartland Corn</t>
  </si>
  <si>
    <t>TF12 contract from Willmar open season</t>
  </si>
  <si>
    <t>US Energy</t>
  </si>
  <si>
    <t>TFX5 contract from Willmar open season</t>
  </si>
  <si>
    <t>AlCorn</t>
  </si>
  <si>
    <t>TF12 contract from Willmar open season (Nov-Dec 02)</t>
  </si>
  <si>
    <t>Semco</t>
  </si>
  <si>
    <t>Volumetric 1-pt to Semco pt</t>
  </si>
  <si>
    <t>Avg annual demand rate</t>
  </si>
  <si>
    <t>Avg annual demand rate for various entitlement &amp; rates</t>
  </si>
  <si>
    <t>Austin</t>
  </si>
  <si>
    <t>Entitlement increase opportunity</t>
  </si>
  <si>
    <t>Owatonna</t>
  </si>
  <si>
    <t>TFX contract from Willmar open season (Nov-Dec 02)</t>
  </si>
  <si>
    <t>TFX peak shaving service for 8 days total (Nov-Mar)</t>
  </si>
  <si>
    <t>TFX winter volumetric for 18 days total (Jan,Feb,Dec)</t>
  </si>
  <si>
    <t>TI for Viking-Wheaton power plant powerpak</t>
  </si>
  <si>
    <t>TFX revenue for Red Wing branchline sale</t>
  </si>
  <si>
    <t>Recontract 15,000/MMBtu terminated from NSP-WI (Nov-Dec 02)</t>
  </si>
  <si>
    <t>Sheehan's</t>
  </si>
  <si>
    <t>TFX capacity release displacement</t>
  </si>
  <si>
    <t>Short-term TFX capacity</t>
  </si>
  <si>
    <t>Two Harbors</t>
  </si>
  <si>
    <t>MN Power</t>
  </si>
  <si>
    <t>TI to serve Blandin paper plant</t>
  </si>
  <si>
    <t>Seasonal Deals</t>
  </si>
  <si>
    <t>Potential Turnbacks</t>
  </si>
  <si>
    <t>Taconites/Industrials</t>
  </si>
  <si>
    <t>Central Team 2002 Plan</t>
  </si>
  <si>
    <t>#2200</t>
  </si>
  <si>
    <t>East Dubuque - (Apr - Oct)</t>
  </si>
  <si>
    <t>Chicago Pricing</t>
  </si>
  <si>
    <t>#2210</t>
  </si>
  <si>
    <t>East Dubuque - (Nov - Dec) See Tranche 3</t>
  </si>
  <si>
    <t>#2201</t>
  </si>
  <si>
    <t>Belleville Available Capacity - Summer</t>
  </si>
  <si>
    <t>Michcon Pricing</t>
  </si>
  <si>
    <t>(Apr - Oct)</t>
  </si>
  <si>
    <t>#106980</t>
  </si>
  <si>
    <t>MidAm</t>
  </si>
  <si>
    <t>MidAm Winter TFX - (Jan - Mar, Nov, Dec)</t>
  </si>
  <si>
    <t>#107071</t>
  </si>
  <si>
    <t>UCU</t>
  </si>
  <si>
    <t>subtotal</t>
  </si>
  <si>
    <t>#23844</t>
  </si>
  <si>
    <t>MidAm Cedar Rapids</t>
  </si>
  <si>
    <t>#105341/</t>
  </si>
  <si>
    <t>Nicor</t>
  </si>
  <si>
    <t>Nicor - (Apr - Oct) Term. @ 3/31/01 (20/d)</t>
  </si>
  <si>
    <t xml:space="preserve">Potential turnback of capacity.  Valued at the </t>
  </si>
  <si>
    <t>#107275</t>
  </si>
  <si>
    <t>Nicor - (Nov, Dec) Term. @ 3/31/01 (20/d)</t>
  </si>
  <si>
    <t>Chicago spread.</t>
  </si>
  <si>
    <t>#21527</t>
  </si>
  <si>
    <t>Nicor Potential 10% Contract Reduction (Nov, Dec)</t>
  </si>
  <si>
    <t>18,600/d reduction. Nicor must notify Northern by 2/1/01.</t>
  </si>
  <si>
    <t>#21340</t>
  </si>
  <si>
    <t>Madison</t>
  </si>
  <si>
    <t>Madison Gas Contract Reduction (Nov, Dec)</t>
  </si>
  <si>
    <t>Chicago plus 10</t>
  </si>
  <si>
    <t>#102944</t>
  </si>
  <si>
    <t>Renewal of Expiring TFX</t>
  </si>
  <si>
    <t>#21374</t>
  </si>
  <si>
    <t>Market Area TF to Replace 10% TFF Turnback</t>
  </si>
  <si>
    <t>#102423</t>
  </si>
  <si>
    <t>Eveleth</t>
  </si>
  <si>
    <t>Eveleth Mine (Taconite)</t>
  </si>
  <si>
    <t>#22585</t>
  </si>
  <si>
    <t>UCU - CCI</t>
  </si>
  <si>
    <t>#104684</t>
  </si>
  <si>
    <t>Terra</t>
  </si>
  <si>
    <t>Terra 50% of Reservation</t>
  </si>
  <si>
    <t>50% Tranche 1, 50% Tranche 2</t>
  </si>
  <si>
    <t>#103032</t>
  </si>
  <si>
    <t>Farmland</t>
  </si>
  <si>
    <t>Farmland 50% of Reservation</t>
  </si>
  <si>
    <t>Renewal of Expiring Contracts</t>
  </si>
  <si>
    <t>#106977</t>
  </si>
  <si>
    <t>MAPCO</t>
  </si>
  <si>
    <t>MAPCO Contracts Expiring (Nov, Dec)</t>
  </si>
  <si>
    <t>#106978</t>
  </si>
  <si>
    <t>#105597</t>
  </si>
  <si>
    <t>Wisconsin Gas</t>
  </si>
  <si>
    <t>Wisconsin Gas #105597 Contract Termination</t>
  </si>
  <si>
    <t>#105794</t>
  </si>
  <si>
    <t>WEPCO</t>
  </si>
  <si>
    <t>WEPCO #105794 Contract Termination</t>
  </si>
  <si>
    <t>#106082</t>
  </si>
  <si>
    <t>Interstate Power</t>
  </si>
  <si>
    <t>Interstate Power #106082 Contract Termination (Nov)</t>
  </si>
  <si>
    <t>Interstate Power #106082 Contract Termination (Dec)</t>
  </si>
  <si>
    <t>#106917</t>
  </si>
  <si>
    <t>WPS</t>
  </si>
  <si>
    <t>WPS Zone EF #106917 Contract Expires (Oct)</t>
  </si>
  <si>
    <t>WPS Zone EF #106917 Contract Expires (Nov, Dec)</t>
  </si>
  <si>
    <t>Incremental Zone ABC - East  (Jan - Mar)</t>
  </si>
  <si>
    <t>Incremental Zone ABC - East  (Nov, Dec)</t>
  </si>
  <si>
    <t>#102968</t>
  </si>
  <si>
    <t>Manning</t>
  </si>
  <si>
    <t>Manning Turnback of Capacity  - TFX (Nov - Mar)</t>
  </si>
  <si>
    <t>#23614</t>
  </si>
  <si>
    <t>Utilicorp Partnering Agreement</t>
  </si>
  <si>
    <t>COMMERCIAL GROUP</t>
  </si>
  <si>
    <t>Duke demand</t>
  </si>
  <si>
    <t>NOTE ADD VERN0N'S BULLETS</t>
  </si>
  <si>
    <t>2002 PLAN MARGIN</t>
  </si>
  <si>
    <t>Total Revenue</t>
  </si>
  <si>
    <t>Avg annual demand max rate for TF12 and TF5</t>
  </si>
  <si>
    <t>Tranche 2 Commodity (Taconites, Industrials, Overrun)</t>
  </si>
  <si>
    <t>Utilicorp Incremental TFX (Nov - Mar)</t>
  </si>
  <si>
    <t xml:space="preserve"> Total Pricing &amp; Structuring</t>
  </si>
  <si>
    <t>TF commodity @ 1.5% of 2001 volumes</t>
  </si>
  <si>
    <t>Contracted</t>
  </si>
  <si>
    <t>Uncontracted</t>
  </si>
  <si>
    <t>Stretch</t>
  </si>
  <si>
    <t>Summary Of Risk Categories</t>
  </si>
  <si>
    <t>Total Contracted</t>
  </si>
  <si>
    <t>Total Uncontracted</t>
  </si>
  <si>
    <t>Total Stretch</t>
  </si>
  <si>
    <t>TI Commodity</t>
  </si>
  <si>
    <t>BP Amoco/Various West Sales</t>
  </si>
  <si>
    <t xml:space="preserve">TFX and other </t>
  </si>
  <si>
    <t>Total presented to Dave</t>
  </si>
  <si>
    <t>New Total</t>
  </si>
  <si>
    <t>Subtract from Categ I</t>
  </si>
  <si>
    <t>Categ I</t>
  </si>
  <si>
    <t>Categ II</t>
  </si>
  <si>
    <t>Categ III</t>
  </si>
  <si>
    <t>Tot Dem</t>
  </si>
  <si>
    <t>Tot Comm</t>
  </si>
  <si>
    <t>Total All</t>
  </si>
  <si>
    <t xml:space="preserve">Pools </t>
  </si>
  <si>
    <t>Anadarko</t>
  </si>
  <si>
    <t>UNIDENTIFIED STRETCH</t>
  </si>
  <si>
    <t>Withdrawal Dec 2002</t>
  </si>
  <si>
    <t>Withdrawal Jan 2003</t>
  </si>
  <si>
    <t>Incremental Seasonal - Lyons</t>
  </si>
  <si>
    <t>Back side of '01 deals</t>
  </si>
  <si>
    <t>Traditional - Model Increment</t>
  </si>
  <si>
    <t xml:space="preserve"> W/D Winter 02/03</t>
  </si>
  <si>
    <t>Sub-total - Winter 02/03</t>
  </si>
  <si>
    <t xml:space="preserve">    Back side of '01 deals</t>
  </si>
  <si>
    <t xml:space="preserve">Incremental Spring / Summer deals        </t>
  </si>
  <si>
    <t>OTHER MARGIN</t>
  </si>
  <si>
    <t>East Leg - (Nov - Dec)</t>
  </si>
  <si>
    <t>East Leg - (Jan - Mar)</t>
  </si>
  <si>
    <t>Grundy/White</t>
  </si>
  <si>
    <t>Unidentified Stretch</t>
  </si>
  <si>
    <t>Summary of Risk Categories</t>
  </si>
  <si>
    <t>AS OF 9/20 NOT UPDATED TO MATCH HIGH LEVEL SCHEDULES</t>
  </si>
  <si>
    <t>Risk II upd'd 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</si>
</sst>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_(&quot;$&quot;* #,##0_);_(&quot;$&quot;* \(#,##0\);_(&quot;$&quot;* &quot;-&quot;??_);_(@_)"/>
    <numFmt numFmtId="169" formatCode="_(* #,##0_);_(* \(#,##0\);_(* &quot;-&quot;??_);_(@_)"/>
    <numFmt numFmtId="170" formatCode="_(* #,##0.000_);_(* \(#,##0.000\);_(* &quot;-&quot;??_);_(@_)"/>
    <numFmt numFmtId="171" formatCode="_(* #,##0.0000_);_(* \(#,##0.0000\);_(* &quot;-&quot;??_);_(@_)"/>
    <numFmt numFmtId="172" formatCode="0.0000"/>
    <numFmt numFmtId="173" formatCode="_(&quot;$&quot;* #,##0.000_);_(&quot;$&quot;* \(#,##0.000\);_(&quot;$&quot;* &quot;-&quot;??_);_(@_)"/>
    <numFmt numFmtId="174" formatCode="_(&quot;$&quot;* #,##0.0000_);_(&quot;$&quot;* \(#,##0.0000\);_(&quot;$&quot;* &quot;-&quot;??_);_(@_)"/>
    <numFmt numFmtId="176" formatCode="mmmm\ d\,\ yyyy"/>
    <numFmt numFmtId="177" formatCode="0.0_);[Red]\(0.0\)"/>
    <numFmt numFmtId="178" formatCode="mm/dd/yy"/>
    <numFmt numFmtId="179" formatCode="_(&quot;$&quot;* #,##0.00000_);_(&quot;$&quot;* \(#,##0.00000\);_(&quot;$&quot;* &quot;-&quot;??_);_(@_)"/>
    <numFmt numFmtId="182" formatCode="0.00_)"/>
    <numFmt numFmtId="183" formatCode="General_)"/>
  </numFmts>
  <fonts count="34">
    <font>
      <sz val="10"/>
      <name val="Arial"/>
    </font>
    <font>
      <sz val="10"/>
      <name val="Arial"/>
    </font>
    <font>
      <sz val="12"/>
      <name val="Arial MT"/>
    </font>
    <font>
      <b/>
      <sz val="2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u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u/>
      <sz val="16"/>
      <name val="Arial"/>
      <family val="2"/>
    </font>
    <font>
      <b/>
      <u val="singleAccounting"/>
      <sz val="10"/>
      <name val="Arial"/>
      <family val="2"/>
    </font>
    <font>
      <b/>
      <sz val="10"/>
      <name val="Arial"/>
    </font>
    <font>
      <b/>
      <i/>
      <sz val="14"/>
      <name val="Arial"/>
      <family val="2"/>
    </font>
    <font>
      <b/>
      <sz val="11"/>
      <name val="Arial"/>
    </font>
    <font>
      <b/>
      <u/>
      <sz val="10"/>
      <name val="Arial"/>
    </font>
    <font>
      <b/>
      <sz val="11"/>
      <name val="Arial"/>
      <family val="2"/>
    </font>
    <font>
      <b/>
      <u/>
      <sz val="10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6"/>
      <name val="Arial MT"/>
    </font>
    <font>
      <sz val="11"/>
      <name val="Arial"/>
      <family val="2"/>
    </font>
    <font>
      <b/>
      <sz val="36"/>
      <name val="Arial"/>
      <family val="2"/>
    </font>
    <font>
      <sz val="8"/>
      <name val="Times New Roman"/>
    </font>
    <font>
      <sz val="8"/>
      <name val="Arial"/>
      <family val="2"/>
    </font>
    <font>
      <b/>
      <i/>
      <sz val="16"/>
      <name val="Helv"/>
    </font>
    <font>
      <sz val="10"/>
      <name val="Arial MT"/>
    </font>
    <font>
      <b/>
      <sz val="10"/>
      <name val="Arial MT"/>
    </font>
    <font>
      <sz val="36"/>
      <name val="Arial"/>
      <family val="2"/>
    </font>
    <font>
      <b/>
      <sz val="12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27" fillId="0" borderId="0" applyBorder="0" applyAlignment="0"/>
    <xf numFmtId="38" fontId="28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28" fillId="3" borderId="3" applyNumberFormat="0" applyBorder="0" applyAlignment="0" applyProtection="0"/>
    <xf numFmtId="182" fontId="29" fillId="0" borderId="0"/>
    <xf numFmtId="183" fontId="30" fillId="0" borderId="0"/>
    <xf numFmtId="37" fontId="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0" fillId="0" borderId="0" xfId="0" applyBorder="1"/>
    <xf numFmtId="0" fontId="6" fillId="0" borderId="0" xfId="0" applyFont="1"/>
    <xf numFmtId="0" fontId="4" fillId="0" borderId="0" xfId="0" applyFont="1" applyBorder="1"/>
    <xf numFmtId="166" fontId="1" fillId="0" borderId="0" xfId="2" applyNumberFormat="1"/>
    <xf numFmtId="0" fontId="10" fillId="0" borderId="0" xfId="0" applyFont="1"/>
    <xf numFmtId="0" fontId="10" fillId="0" borderId="0" xfId="0" applyFont="1" applyBorder="1"/>
    <xf numFmtId="0" fontId="0" fillId="0" borderId="4" xfId="0" applyBorder="1"/>
    <xf numFmtId="0" fontId="0" fillId="0" borderId="5" xfId="0" applyBorder="1"/>
    <xf numFmtId="165" fontId="4" fillId="0" borderId="6" xfId="1" applyNumberFormat="1" applyFont="1" applyBorder="1"/>
    <xf numFmtId="165" fontId="4" fillId="0" borderId="0" xfId="1" applyNumberFormat="1" applyFont="1" applyBorder="1"/>
    <xf numFmtId="164" fontId="4" fillId="0" borderId="0" xfId="0" applyNumberFormat="1" applyFont="1" applyBorder="1"/>
    <xf numFmtId="0" fontId="0" fillId="0" borderId="7" xfId="0" applyBorder="1"/>
    <xf numFmtId="0" fontId="0" fillId="0" borderId="6" xfId="0" applyBorder="1"/>
    <xf numFmtId="0" fontId="11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166" fontId="4" fillId="0" borderId="0" xfId="2" applyNumberFormat="1" applyFont="1"/>
    <xf numFmtId="165" fontId="1" fillId="0" borderId="0" xfId="1" applyNumberFormat="1"/>
    <xf numFmtId="0" fontId="0" fillId="0" borderId="0" xfId="0" applyAlignment="1">
      <alignment horizontal="left"/>
    </xf>
    <xf numFmtId="165" fontId="1" fillId="0" borderId="6" xfId="1" applyNumberFormat="1" applyBorder="1"/>
    <xf numFmtId="0" fontId="4" fillId="0" borderId="0" xfId="0" applyFont="1" applyAlignment="1">
      <alignment horizontal="left"/>
    </xf>
    <xf numFmtId="166" fontId="4" fillId="0" borderId="8" xfId="2" applyNumberFormat="1" applyFont="1" applyBorder="1"/>
    <xf numFmtId="0" fontId="11" fillId="0" borderId="0" xfId="0" applyFont="1" applyAlignment="1">
      <alignment horizontal="centerContinuous" vertical="justify"/>
    </xf>
    <xf numFmtId="0" fontId="0" fillId="0" borderId="0" xfId="0" applyAlignment="1">
      <alignment horizontal="centerContinuous" vertical="justify"/>
    </xf>
    <xf numFmtId="166" fontId="4" fillId="0" borderId="0" xfId="0" applyNumberFormat="1" applyFont="1"/>
    <xf numFmtId="165" fontId="0" fillId="0" borderId="0" xfId="0" applyNumberFormat="1"/>
    <xf numFmtId="167" fontId="0" fillId="0" borderId="0" xfId="0" applyNumberFormat="1"/>
    <xf numFmtId="165" fontId="0" fillId="0" borderId="6" xfId="0" applyNumberFormat="1" applyBorder="1"/>
    <xf numFmtId="166" fontId="4" fillId="0" borderId="0" xfId="2" applyNumberFormat="1" applyFont="1" applyBorder="1"/>
    <xf numFmtId="0" fontId="12" fillId="0" borderId="0" xfId="0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8" fontId="1" fillId="0" borderId="0" xfId="2" applyNumberFormat="1"/>
    <xf numFmtId="0" fontId="14" fillId="0" borderId="0" xfId="0" applyFont="1" applyAlignment="1">
      <alignment horizontal="centerContinuous"/>
    </xf>
    <xf numFmtId="44" fontId="1" fillId="0" borderId="0" xfId="2" applyFont="1"/>
    <xf numFmtId="169" fontId="1" fillId="0" borderId="0" xfId="1" applyNumberFormat="1"/>
    <xf numFmtId="44" fontId="1" fillId="0" borderId="0" xfId="2"/>
    <xf numFmtId="173" fontId="1" fillId="0" borderId="0" xfId="2" applyNumberFormat="1"/>
    <xf numFmtId="9" fontId="1" fillId="0" borderId="0" xfId="11" applyAlignment="1">
      <alignment horizontal="center"/>
    </xf>
    <xf numFmtId="168" fontId="0" fillId="0" borderId="0" xfId="0" applyNumberFormat="1" applyBorder="1"/>
    <xf numFmtId="0" fontId="0" fillId="0" borderId="0" xfId="0" quotePrefix="1" applyBorder="1" applyAlignment="1">
      <alignment horizontal="right"/>
    </xf>
    <xf numFmtId="0" fontId="0" fillId="0" borderId="0" xfId="0" quotePrefix="1" applyBorder="1"/>
    <xf numFmtId="0" fontId="0" fillId="0" borderId="0" xfId="0" applyBorder="1" applyAlignment="1">
      <alignment horizontal="right"/>
    </xf>
    <xf numFmtId="169" fontId="1" fillId="0" borderId="0" xfId="1" applyNumberFormat="1" applyFont="1" applyAlignment="1">
      <alignment horizontal="center"/>
    </xf>
    <xf numFmtId="9" fontId="1" fillId="0" borderId="0" xfId="11"/>
    <xf numFmtId="168" fontId="1" fillId="0" borderId="0" xfId="2" applyNumberFormat="1" applyBorder="1"/>
    <xf numFmtId="169" fontId="1" fillId="0" borderId="0" xfId="1" applyNumberFormat="1" applyBorder="1"/>
    <xf numFmtId="168" fontId="10" fillId="0" borderId="8" xfId="2" applyNumberFormat="1" applyFont="1" applyBorder="1"/>
    <xf numFmtId="169" fontId="0" fillId="0" borderId="0" xfId="0" applyNumberFormat="1" applyBorder="1"/>
    <xf numFmtId="168" fontId="1" fillId="0" borderId="8" xfId="2" applyNumberFormat="1" applyBorder="1"/>
    <xf numFmtId="168" fontId="1" fillId="0" borderId="9" xfId="2" applyNumberFormat="1" applyBorder="1"/>
    <xf numFmtId="9" fontId="1" fillId="0" borderId="9" xfId="11" applyBorder="1"/>
    <xf numFmtId="168" fontId="1" fillId="0" borderId="10" xfId="2" applyNumberFormat="1" applyBorder="1"/>
    <xf numFmtId="9" fontId="7" fillId="0" borderId="0" xfId="11" applyFont="1" applyBorder="1" applyAlignment="1">
      <alignment horizontal="left"/>
    </xf>
    <xf numFmtId="168" fontId="4" fillId="0" borderId="11" xfId="2" applyNumberFormat="1" applyFont="1" applyBorder="1"/>
    <xf numFmtId="168" fontId="1" fillId="0" borderId="0" xfId="2" applyNumberFormat="1" applyFont="1" applyBorder="1"/>
    <xf numFmtId="9" fontId="7" fillId="0" borderId="0" xfId="11" applyFont="1" applyBorder="1"/>
    <xf numFmtId="168" fontId="7" fillId="0" borderId="6" xfId="2" applyNumberFormat="1" applyFont="1" applyBorder="1"/>
    <xf numFmtId="9" fontId="1" fillId="0" borderId="6" xfId="11" applyBorder="1"/>
    <xf numFmtId="168" fontId="4" fillId="0" borderId="12" xfId="0" applyNumberFormat="1" applyFont="1" applyBorder="1"/>
    <xf numFmtId="168" fontId="1" fillId="0" borderId="0" xfId="2" applyNumberFormat="1" applyFont="1"/>
    <xf numFmtId="172" fontId="0" fillId="0" borderId="0" xfId="0" applyNumberFormat="1"/>
    <xf numFmtId="171" fontId="1" fillId="0" borderId="0" xfId="1" applyNumberFormat="1"/>
    <xf numFmtId="171" fontId="0" fillId="0" borderId="0" xfId="0" applyNumberFormat="1"/>
    <xf numFmtId="43" fontId="1" fillId="0" borderId="0" xfId="1"/>
    <xf numFmtId="169" fontId="10" fillId="0" borderId="8" xfId="1" applyNumberFormat="1" applyFont="1" applyBorder="1"/>
    <xf numFmtId="171" fontId="1" fillId="0" borderId="0" xfId="1" applyNumberFormat="1" applyBorder="1"/>
    <xf numFmtId="168" fontId="10" fillId="0" borderId="0" xfId="2" applyNumberFormat="1" applyFont="1" applyBorder="1"/>
    <xf numFmtId="169" fontId="1" fillId="0" borderId="4" xfId="1" applyNumberFormat="1" applyBorder="1"/>
    <xf numFmtId="171" fontId="0" fillId="0" borderId="9" xfId="0" applyNumberFormat="1" applyBorder="1"/>
    <xf numFmtId="9" fontId="7" fillId="0" borderId="5" xfId="11" applyFont="1" applyBorder="1" applyAlignment="1">
      <alignment horizontal="left"/>
    </xf>
    <xf numFmtId="171" fontId="0" fillId="0" borderId="0" xfId="0" applyNumberFormat="1" applyBorder="1"/>
    <xf numFmtId="168" fontId="4" fillId="0" borderId="0" xfId="2" applyNumberFormat="1" applyFont="1" applyBorder="1"/>
    <xf numFmtId="9" fontId="7" fillId="0" borderId="5" xfId="11" applyFont="1" applyBorder="1"/>
    <xf numFmtId="168" fontId="15" fillId="0" borderId="11" xfId="2" applyNumberFormat="1" applyFont="1" applyBorder="1"/>
    <xf numFmtId="168" fontId="7" fillId="0" borderId="7" xfId="2" applyNumberFormat="1" applyFont="1" applyBorder="1"/>
    <xf numFmtId="171" fontId="0" fillId="0" borderId="6" xfId="0" applyNumberFormat="1" applyBorder="1"/>
    <xf numFmtId="168" fontId="4" fillId="0" borderId="0" xfId="0" applyNumberFormat="1" applyFont="1" applyBorder="1"/>
    <xf numFmtId="168" fontId="1" fillId="0" borderId="0" xfId="11" applyNumberFormat="1" applyAlignment="1">
      <alignment horizontal="center"/>
    </xf>
    <xf numFmtId="9" fontId="7" fillId="0" borderId="4" xfId="11" applyFont="1" applyBorder="1"/>
    <xf numFmtId="168" fontId="4" fillId="0" borderId="10" xfId="2" applyNumberFormat="1" applyFont="1" applyBorder="1"/>
    <xf numFmtId="168" fontId="7" fillId="0" borderId="5" xfId="2" applyNumberFormat="1" applyFont="1" applyBorder="1"/>
    <xf numFmtId="168" fontId="4" fillId="0" borderId="12" xfId="2" applyNumberFormat="1" applyFont="1" applyBorder="1"/>
    <xf numFmtId="0" fontId="14" fillId="0" borderId="0" xfId="0" applyFont="1" applyBorder="1" applyAlignment="1">
      <alignment horizontal="centerContinuous"/>
    </xf>
    <xf numFmtId="174" fontId="1" fillId="0" borderId="0" xfId="2" applyNumberFormat="1"/>
    <xf numFmtId="169" fontId="10" fillId="0" borderId="0" xfId="1" applyNumberFormat="1" applyFont="1"/>
    <xf numFmtId="44" fontId="10" fillId="0" borderId="0" xfId="2" applyFont="1"/>
    <xf numFmtId="173" fontId="10" fillId="0" borderId="0" xfId="2" applyNumberFormat="1" applyFont="1"/>
    <xf numFmtId="168" fontId="10" fillId="0" borderId="0" xfId="2" applyNumberFormat="1" applyFont="1"/>
    <xf numFmtId="0" fontId="10" fillId="0" borderId="0" xfId="0" applyFont="1" applyAlignment="1">
      <alignment horizontal="center"/>
    </xf>
    <xf numFmtId="9" fontId="10" fillId="0" borderId="0" xfId="11" applyFont="1" applyAlignment="1">
      <alignment horizontal="center"/>
    </xf>
    <xf numFmtId="0" fontId="10" fillId="0" borderId="0" xfId="0" quotePrefix="1" applyFont="1" applyBorder="1" applyAlignment="1">
      <alignment horizontal="right"/>
    </xf>
    <xf numFmtId="168" fontId="10" fillId="0" borderId="0" xfId="0" applyNumberFormat="1" applyFont="1" applyBorder="1"/>
    <xf numFmtId="0" fontId="10" fillId="0" borderId="0" xfId="0" quotePrefix="1" applyFont="1" applyBorder="1"/>
    <xf numFmtId="168" fontId="1" fillId="0" borderId="0" xfId="11" applyNumberFormat="1"/>
    <xf numFmtId="0" fontId="11" fillId="0" borderId="0" xfId="0" applyFont="1" applyBorder="1" applyAlignment="1">
      <alignment horizontal="centerContinuous"/>
    </xf>
    <xf numFmtId="169" fontId="1" fillId="0" borderId="0" xfId="2" applyNumberFormat="1"/>
    <xf numFmtId="165" fontId="0" fillId="0" borderId="0" xfId="1" applyNumberFormat="1" applyFont="1"/>
    <xf numFmtId="165" fontId="1" fillId="0" borderId="0" xfId="1" applyNumberFormat="1" applyBorder="1"/>
    <xf numFmtId="43" fontId="16" fillId="0" borderId="0" xfId="1" applyFont="1"/>
    <xf numFmtId="43" fontId="17" fillId="0" borderId="0" xfId="1" applyFont="1"/>
    <xf numFmtId="43" fontId="11" fillId="0" borderId="0" xfId="1" applyFont="1" applyAlignment="1">
      <alignment horizontal="centerContinuous"/>
    </xf>
    <xf numFmtId="43" fontId="16" fillId="0" borderId="0" xfId="1" applyFont="1" applyAlignment="1">
      <alignment horizontal="centerContinuous"/>
    </xf>
    <xf numFmtId="43" fontId="16" fillId="0" borderId="0" xfId="1" applyFont="1" applyBorder="1"/>
    <xf numFmtId="0" fontId="0" fillId="0" borderId="0" xfId="0" applyAlignment="1"/>
    <xf numFmtId="0" fontId="0" fillId="0" borderId="0" xfId="0" applyAlignment="1">
      <alignment horizontal="centerContinuous"/>
    </xf>
    <xf numFmtId="0" fontId="8" fillId="0" borderId="0" xfId="0" applyFont="1" applyBorder="1"/>
    <xf numFmtId="0" fontId="0" fillId="0" borderId="0" xfId="0" applyBorder="1" applyAlignment="1">
      <alignment horizontal="centerContinuous"/>
    </xf>
    <xf numFmtId="43" fontId="1" fillId="0" borderId="0" xfId="1" applyBorder="1"/>
    <xf numFmtId="43" fontId="16" fillId="0" borderId="9" xfId="1" applyFont="1" applyBorder="1" applyAlignment="1">
      <alignment horizontal="center"/>
    </xf>
    <xf numFmtId="43" fontId="16" fillId="0" borderId="0" xfId="1" applyFont="1" applyAlignment="1"/>
    <xf numFmtId="43" fontId="16" fillId="0" borderId="4" xfId="1" applyFont="1" applyBorder="1"/>
    <xf numFmtId="43" fontId="16" fillId="0" borderId="9" xfId="1" applyFont="1" applyBorder="1"/>
    <xf numFmtId="43" fontId="16" fillId="0" borderId="10" xfId="1" applyFont="1" applyBorder="1"/>
    <xf numFmtId="0" fontId="16" fillId="0" borderId="0" xfId="0" applyFont="1" applyBorder="1" applyAlignment="1">
      <alignment horizontal="center"/>
    </xf>
    <xf numFmtId="49" fontId="16" fillId="0" borderId="0" xfId="1" applyNumberFormat="1" applyFont="1" applyAlignment="1"/>
    <xf numFmtId="0" fontId="16" fillId="0" borderId="5" xfId="0" applyFont="1" applyBorder="1" applyAlignment="1">
      <alignment horizontal="centerContinuous"/>
    </xf>
    <xf numFmtId="43" fontId="16" fillId="0" borderId="0" xfId="1" applyFont="1" applyBorder="1" applyAlignment="1">
      <alignment horizontal="centerContinuous"/>
    </xf>
    <xf numFmtId="0" fontId="16" fillId="0" borderId="11" xfId="0" applyFont="1" applyBorder="1" applyAlignment="1">
      <alignment horizontal="centerContinuous"/>
    </xf>
    <xf numFmtId="0" fontId="16" fillId="0" borderId="6" xfId="0" quotePrefix="1" applyFont="1" applyBorder="1" applyAlignment="1">
      <alignment horizontal="center"/>
    </xf>
    <xf numFmtId="43" fontId="4" fillId="0" borderId="0" xfId="1" applyFont="1" applyBorder="1" applyAlignment="1"/>
    <xf numFmtId="0" fontId="16" fillId="0" borderId="7" xfId="0" quotePrefix="1" applyFont="1" applyBorder="1" applyAlignment="1">
      <alignment horizontal="centerContinuous"/>
    </xf>
    <xf numFmtId="49" fontId="4" fillId="0" borderId="0" xfId="1" applyNumberFormat="1" applyFont="1" applyBorder="1"/>
    <xf numFmtId="0" fontId="16" fillId="0" borderId="12" xfId="0" quotePrefix="1" applyFont="1" applyBorder="1" applyAlignment="1">
      <alignment horizontal="centerContinuous"/>
    </xf>
    <xf numFmtId="0" fontId="16" fillId="0" borderId="6" xfId="0" quotePrefix="1" applyFont="1" applyBorder="1" applyAlignment="1">
      <alignment horizontal="centerContinuous"/>
    </xf>
    <xf numFmtId="0" fontId="0" fillId="0" borderId="11" xfId="0" applyBorder="1"/>
    <xf numFmtId="165" fontId="16" fillId="0" borderId="0" xfId="1" applyNumberFormat="1" applyFont="1" applyAlignment="1">
      <alignment horizontal="centerContinuous"/>
    </xf>
    <xf numFmtId="165" fontId="16" fillId="0" borderId="0" xfId="1" applyNumberFormat="1" applyFont="1" applyBorder="1"/>
    <xf numFmtId="177" fontId="16" fillId="0" borderId="0" xfId="0" applyNumberFormat="1" applyFont="1" applyBorder="1"/>
    <xf numFmtId="165" fontId="16" fillId="0" borderId="0" xfId="1" applyNumberFormat="1" applyFont="1"/>
    <xf numFmtId="177" fontId="16" fillId="0" borderId="5" xfId="0" applyNumberFormat="1" applyFont="1" applyBorder="1"/>
    <xf numFmtId="177" fontId="16" fillId="0" borderId="11" xfId="0" applyNumberFormat="1" applyFont="1" applyBorder="1"/>
    <xf numFmtId="0" fontId="16" fillId="0" borderId="11" xfId="0" applyFont="1" applyBorder="1"/>
    <xf numFmtId="43" fontId="16" fillId="0" borderId="13" xfId="1" applyFont="1" applyBorder="1"/>
    <xf numFmtId="43" fontId="16" fillId="0" borderId="2" xfId="1" applyFont="1" applyBorder="1"/>
    <xf numFmtId="165" fontId="16" fillId="0" borderId="2" xfId="1" applyNumberFormat="1" applyFont="1" applyBorder="1"/>
    <xf numFmtId="165" fontId="16" fillId="0" borderId="13" xfId="1" applyNumberFormat="1" applyFont="1" applyBorder="1"/>
    <xf numFmtId="165" fontId="16" fillId="0" borderId="14" xfId="1" applyNumberFormat="1" applyFont="1" applyBorder="1"/>
    <xf numFmtId="0" fontId="16" fillId="0" borderId="0" xfId="0" applyFont="1" applyBorder="1"/>
    <xf numFmtId="165" fontId="16" fillId="0" borderId="5" xfId="1" applyNumberFormat="1" applyFont="1" applyBorder="1"/>
    <xf numFmtId="0" fontId="0" fillId="0" borderId="12" xfId="0" applyBorder="1"/>
    <xf numFmtId="166" fontId="16" fillId="0" borderId="0" xfId="2" applyNumberFormat="1" applyFont="1" applyBorder="1"/>
    <xf numFmtId="166" fontId="16" fillId="0" borderId="11" xfId="2" applyNumberFormat="1" applyFont="1" applyBorder="1"/>
    <xf numFmtId="166" fontId="16" fillId="0" borderId="5" xfId="2" applyNumberFormat="1" applyFont="1" applyBorder="1"/>
    <xf numFmtId="166" fontId="16" fillId="0" borderId="0" xfId="2" applyNumberFormat="1" applyFont="1"/>
    <xf numFmtId="165" fontId="16" fillId="0" borderId="6" xfId="1" applyNumberFormat="1" applyFont="1" applyBorder="1"/>
    <xf numFmtId="166" fontId="16" fillId="0" borderId="8" xfId="2" applyNumberFormat="1" applyFont="1" applyBorder="1"/>
    <xf numFmtId="177" fontId="16" fillId="0" borderId="10" xfId="0" applyNumberFormat="1" applyFont="1" applyBorder="1"/>
    <xf numFmtId="43" fontId="16" fillId="0" borderId="5" xfId="1" applyFont="1" applyBorder="1"/>
    <xf numFmtId="43" fontId="16" fillId="0" borderId="7" xfId="1" applyFont="1" applyBorder="1"/>
    <xf numFmtId="43" fontId="16" fillId="0" borderId="6" xfId="1" applyFont="1" applyBorder="1"/>
    <xf numFmtId="177" fontId="16" fillId="0" borderId="12" xfId="0" applyNumberFormat="1" applyFont="1" applyBorder="1"/>
    <xf numFmtId="49" fontId="4" fillId="0" borderId="6" xfId="1" applyNumberFormat="1" applyFont="1" applyBorder="1" applyAlignment="1">
      <alignment horizontal="center"/>
    </xf>
    <xf numFmtId="169" fontId="0" fillId="0" borderId="0" xfId="1" applyNumberFormat="1" applyFont="1"/>
    <xf numFmtId="9" fontId="0" fillId="0" borderId="0" xfId="0" applyNumberFormat="1"/>
    <xf numFmtId="168" fontId="0" fillId="0" borderId="0" xfId="2" applyNumberFormat="1" applyFont="1" applyBorder="1"/>
    <xf numFmtId="44" fontId="0" fillId="0" borderId="0" xfId="2" applyFont="1"/>
    <xf numFmtId="168" fontId="0" fillId="0" borderId="0" xfId="2" applyNumberFormat="1" applyFont="1"/>
    <xf numFmtId="168" fontId="0" fillId="0" borderId="8" xfId="0" applyNumberFormat="1" applyBorder="1"/>
    <xf numFmtId="0" fontId="0" fillId="0" borderId="0" xfId="0" applyAlignment="1">
      <alignment wrapTex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8" fillId="0" borderId="0" xfId="0" applyFont="1"/>
    <xf numFmtId="0" fontId="16" fillId="0" borderId="0" xfId="0" applyFont="1"/>
    <xf numFmtId="0" fontId="16" fillId="0" borderId="0" xfId="0" applyFont="1" applyFill="1"/>
    <xf numFmtId="9" fontId="1" fillId="0" borderId="0" xfId="2" applyNumberFormat="1"/>
    <xf numFmtId="178" fontId="19" fillId="0" borderId="0" xfId="1" applyNumberFormat="1" applyFont="1"/>
    <xf numFmtId="165" fontId="20" fillId="0" borderId="2" xfId="1" applyNumberFormat="1" applyFont="1" applyBorder="1" applyAlignment="1">
      <alignment horizontal="centerContinuous"/>
    </xf>
    <xf numFmtId="174" fontId="1" fillId="0" borderId="2" xfId="2" applyNumberFormat="1" applyBorder="1" applyAlignment="1">
      <alignment horizontal="centerContinuous"/>
    </xf>
    <xf numFmtId="168" fontId="1" fillId="0" borderId="2" xfId="2" applyNumberFormat="1" applyBorder="1" applyAlignment="1">
      <alignment horizontal="centerContinuous"/>
    </xf>
    <xf numFmtId="9" fontId="1" fillId="0" borderId="2" xfId="2" applyNumberFormat="1" applyBorder="1" applyAlignment="1">
      <alignment horizontal="centerContinuous"/>
    </xf>
    <xf numFmtId="0" fontId="16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165" fontId="16" fillId="0" borderId="0" xfId="1" applyNumberFormat="1" applyFont="1" applyAlignment="1">
      <alignment horizontal="center" wrapText="1"/>
    </xf>
    <xf numFmtId="174" fontId="16" fillId="0" borderId="0" xfId="2" applyNumberFormat="1" applyFont="1" applyAlignment="1">
      <alignment horizontal="center" wrapText="1"/>
    </xf>
    <xf numFmtId="168" fontId="16" fillId="0" borderId="0" xfId="2" applyNumberFormat="1" applyFont="1" applyAlignment="1">
      <alignment horizontal="center" wrapText="1"/>
    </xf>
    <xf numFmtId="9" fontId="16" fillId="0" borderId="0" xfId="2" applyNumberFormat="1" applyFont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4" fillId="0" borderId="0" xfId="0" applyFont="1" applyFill="1" applyBorder="1"/>
    <xf numFmtId="0" fontId="4" fillId="0" borderId="0" xfId="0" applyFont="1" applyFill="1"/>
    <xf numFmtId="44" fontId="1" fillId="0" borderId="0" xfId="2" applyNumberFormat="1" applyAlignment="1">
      <alignment horizontal="left"/>
    </xf>
    <xf numFmtId="0" fontId="4" fillId="0" borderId="0" xfId="0" quotePrefix="1" applyFont="1" applyFill="1" applyBorder="1"/>
    <xf numFmtId="0" fontId="22" fillId="0" borderId="0" xfId="0" applyFont="1" applyFill="1" applyBorder="1" applyAlignment="1">
      <alignment horizontal="center"/>
    </xf>
    <xf numFmtId="165" fontId="4" fillId="0" borderId="0" xfId="1" applyNumberFormat="1" applyFont="1"/>
    <xf numFmtId="44" fontId="4" fillId="0" borderId="0" xfId="2" applyNumberFormat="1" applyFont="1" applyAlignment="1">
      <alignment horizontal="left"/>
    </xf>
    <xf numFmtId="168" fontId="4" fillId="0" borderId="0" xfId="2" applyNumberFormat="1" applyFont="1"/>
    <xf numFmtId="9" fontId="4" fillId="0" borderId="0" xfId="2" applyNumberFormat="1" applyFont="1"/>
    <xf numFmtId="165" fontId="4" fillId="0" borderId="0" xfId="1" applyNumberFormat="1" applyFont="1" applyFill="1" applyBorder="1"/>
    <xf numFmtId="168" fontId="4" fillId="0" borderId="0" xfId="2" applyNumberFormat="1" applyFont="1" applyFill="1" applyBorder="1"/>
    <xf numFmtId="44" fontId="4" fillId="0" borderId="0" xfId="2" applyNumberFormat="1" applyFont="1" applyFill="1" applyBorder="1" applyAlignment="1">
      <alignment horizontal="left"/>
    </xf>
    <xf numFmtId="9" fontId="4" fillId="0" borderId="0" xfId="2" applyNumberFormat="1" applyFont="1" applyFill="1" applyBorder="1"/>
    <xf numFmtId="174" fontId="4" fillId="0" borderId="0" xfId="2" applyNumberFormat="1" applyFont="1"/>
    <xf numFmtId="168" fontId="4" fillId="0" borderId="2" xfId="2" applyNumberFormat="1" applyFont="1" applyBorder="1"/>
    <xf numFmtId="9" fontId="4" fillId="0" borderId="0" xfId="2" applyNumberFormat="1" applyFont="1" applyBorder="1"/>
    <xf numFmtId="165" fontId="19" fillId="0" borderId="0" xfId="1" applyNumberFormat="1" applyFont="1"/>
    <xf numFmtId="0" fontId="4" fillId="0" borderId="15" xfId="0" applyFont="1" applyBorder="1" applyAlignment="1">
      <alignment horizontal="center" wrapText="1"/>
    </xf>
    <xf numFmtId="168" fontId="4" fillId="0" borderId="3" xfId="2" applyNumberFormat="1" applyFont="1" applyBorder="1"/>
    <xf numFmtId="165" fontId="10" fillId="0" borderId="0" xfId="1" applyNumberFormat="1" applyFont="1" applyBorder="1"/>
    <xf numFmtId="170" fontId="0" fillId="0" borderId="0" xfId="1" applyNumberFormat="1" applyFont="1"/>
    <xf numFmtId="0" fontId="0" fillId="0" borderId="0" xfId="0" applyAlignment="1">
      <alignment vertical="top"/>
    </xf>
    <xf numFmtId="37" fontId="24" fillId="0" borderId="0" xfId="10" applyFont="1" applyAlignment="1">
      <alignment horizontal="left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6" fontId="25" fillId="0" borderId="0" xfId="2" applyNumberFormat="1" applyFont="1" applyBorder="1"/>
    <xf numFmtId="165" fontId="25" fillId="0" borderId="0" xfId="1" applyNumberFormat="1" applyFont="1" applyBorder="1"/>
    <xf numFmtId="165" fontId="25" fillId="0" borderId="6" xfId="1" applyNumberFormat="1" applyFont="1" applyBorder="1"/>
    <xf numFmtId="0" fontId="0" fillId="0" borderId="2" xfId="0" applyBorder="1"/>
    <xf numFmtId="0" fontId="4" fillId="4" borderId="0" xfId="0" applyFont="1" applyFill="1" applyBorder="1"/>
    <xf numFmtId="0" fontId="21" fillId="4" borderId="0" xfId="0" applyFont="1" applyFill="1" applyBorder="1"/>
    <xf numFmtId="0" fontId="4" fillId="4" borderId="0" xfId="0" applyFont="1" applyFill="1" applyBorder="1" applyAlignment="1">
      <alignment horizontal="left" indent="1"/>
    </xf>
    <xf numFmtId="165" fontId="4" fillId="4" borderId="0" xfId="1" applyNumberFormat="1" applyFont="1" applyFill="1" applyBorder="1"/>
    <xf numFmtId="44" fontId="4" fillId="4" borderId="0" xfId="2" applyNumberFormat="1" applyFont="1" applyFill="1" applyBorder="1" applyAlignment="1">
      <alignment horizontal="left"/>
    </xf>
    <xf numFmtId="168" fontId="4" fillId="4" borderId="0" xfId="2" applyNumberFormat="1" applyFont="1" applyFill="1" applyBorder="1"/>
    <xf numFmtId="165" fontId="4" fillId="4" borderId="6" xfId="1" applyNumberFormat="1" applyFont="1" applyFill="1" applyBorder="1"/>
    <xf numFmtId="44" fontId="4" fillId="4" borderId="6" xfId="2" applyNumberFormat="1" applyFont="1" applyFill="1" applyBorder="1" applyAlignment="1">
      <alignment horizontal="left"/>
    </xf>
    <xf numFmtId="168" fontId="4" fillId="4" borderId="6" xfId="2" applyNumberFormat="1" applyFont="1" applyFill="1" applyBorder="1"/>
    <xf numFmtId="0" fontId="4" fillId="4" borderId="0" xfId="0" applyFont="1" applyFill="1"/>
    <xf numFmtId="9" fontId="4" fillId="4" borderId="0" xfId="0" applyNumberFormat="1" applyFont="1" applyFill="1"/>
    <xf numFmtId="9" fontId="4" fillId="4" borderId="0" xfId="2" applyNumberFormat="1" applyFont="1" applyFill="1" applyBorder="1"/>
    <xf numFmtId="9" fontId="4" fillId="4" borderId="6" xfId="2" applyNumberFormat="1" applyFont="1" applyFill="1" applyBorder="1"/>
    <xf numFmtId="0" fontId="4" fillId="4" borderId="0" xfId="0" applyFont="1" applyFill="1" applyBorder="1" applyAlignment="1">
      <alignment horizontal="left" indent="2"/>
    </xf>
    <xf numFmtId="0" fontId="4" fillId="4" borderId="0" xfId="0" applyFont="1" applyFill="1" applyBorder="1" applyAlignment="1"/>
    <xf numFmtId="0" fontId="4" fillId="4" borderId="0" xfId="0" quotePrefix="1" applyFont="1" applyFill="1" applyBorder="1"/>
    <xf numFmtId="0" fontId="4" fillId="4" borderId="0" xfId="0" quotePrefix="1" applyFont="1" applyFill="1" applyBorder="1" applyAlignment="1">
      <alignment horizontal="left"/>
    </xf>
    <xf numFmtId="0" fontId="4" fillId="4" borderId="0" xfId="0" applyFont="1" applyFill="1" applyBorder="1" applyAlignment="1">
      <alignment horizontal="left" indent="4"/>
    </xf>
    <xf numFmtId="168" fontId="23" fillId="4" borderId="0" xfId="2" applyNumberFormat="1" applyFont="1" applyFill="1" applyBorder="1"/>
    <xf numFmtId="165" fontId="23" fillId="4" borderId="0" xfId="1" applyNumberFormat="1" applyFont="1" applyFill="1" applyBorder="1"/>
    <xf numFmtId="44" fontId="23" fillId="4" borderId="0" xfId="2" applyNumberFormat="1" applyFont="1" applyFill="1" applyBorder="1" applyAlignment="1">
      <alignment horizontal="left"/>
    </xf>
    <xf numFmtId="168" fontId="23" fillId="4" borderId="6" xfId="2" applyNumberFormat="1" applyFont="1" applyFill="1" applyBorder="1"/>
    <xf numFmtId="165" fontId="4" fillId="4" borderId="0" xfId="1" applyNumberFormat="1" applyFont="1" applyFill="1"/>
    <xf numFmtId="174" fontId="4" fillId="4" borderId="0" xfId="2" applyNumberFormat="1" applyFont="1" applyFill="1" applyBorder="1"/>
    <xf numFmtId="0" fontId="4" fillId="0" borderId="2" xfId="0" applyFont="1" applyBorder="1"/>
    <xf numFmtId="0" fontId="4" fillId="0" borderId="13" xfId="0" applyFont="1" applyBorder="1" applyAlignment="1">
      <alignment horizontal="left"/>
    </xf>
    <xf numFmtId="166" fontId="4" fillId="0" borderId="2" xfId="2" applyNumberFormat="1" applyFont="1" applyBorder="1"/>
    <xf numFmtId="166" fontId="4" fillId="0" borderId="14" xfId="2" applyNumberFormat="1" applyFont="1" applyBorder="1"/>
    <xf numFmtId="168" fontId="0" fillId="0" borderId="0" xfId="0" applyNumberFormat="1"/>
    <xf numFmtId="0" fontId="16" fillId="0" borderId="16" xfId="0" applyFont="1" applyBorder="1"/>
    <xf numFmtId="0" fontId="16" fillId="0" borderId="17" xfId="0" applyFont="1" applyBorder="1"/>
    <xf numFmtId="168" fontId="4" fillId="0" borderId="15" xfId="2" applyNumberFormat="1" applyFont="1" applyBorder="1"/>
    <xf numFmtId="0" fontId="4" fillId="0" borderId="0" xfId="0" applyFont="1" applyBorder="1" applyAlignment="1">
      <alignment horizontal="center"/>
    </xf>
    <xf numFmtId="165" fontId="4" fillId="0" borderId="0" xfId="0" applyNumberFormat="1" applyFont="1"/>
    <xf numFmtId="0" fontId="0" fillId="0" borderId="0" xfId="0" applyAlignment="1">
      <alignment horizontal="left" indent="1"/>
    </xf>
    <xf numFmtId="44" fontId="1" fillId="0" borderId="0" xfId="2" applyFont="1" applyAlignment="1">
      <alignment horizontal="left"/>
    </xf>
    <xf numFmtId="174" fontId="1" fillId="0" borderId="0" xfId="2" applyNumberFormat="1" applyFont="1" applyAlignment="1">
      <alignment horizontal="center"/>
    </xf>
    <xf numFmtId="9" fontId="1" fillId="0" borderId="0" xfId="11" applyBorder="1"/>
    <xf numFmtId="168" fontId="15" fillId="0" borderId="0" xfId="2" applyNumberFormat="1" applyFont="1" applyBorder="1"/>
    <xf numFmtId="168" fontId="7" fillId="0" borderId="0" xfId="2" applyNumberFormat="1" applyFont="1" applyBorder="1"/>
    <xf numFmtId="174" fontId="0" fillId="0" borderId="0" xfId="2" applyNumberFormat="1" applyFont="1"/>
    <xf numFmtId="168" fontId="10" fillId="0" borderId="8" xfId="2" applyNumberFormat="1" applyFont="1" applyFill="1" applyBorder="1"/>
    <xf numFmtId="169" fontId="10" fillId="0" borderId="0" xfId="1" applyNumberFormat="1" applyFont="1" applyBorder="1"/>
    <xf numFmtId="168" fontId="10" fillId="0" borderId="0" xfId="2" applyNumberFormat="1" applyFont="1" applyFill="1" applyBorder="1"/>
    <xf numFmtId="173" fontId="1" fillId="0" borderId="0" xfId="2" applyNumberFormat="1" applyBorder="1"/>
    <xf numFmtId="0" fontId="4" fillId="0" borderId="3" xfId="0" applyFont="1" applyBorder="1" applyAlignment="1">
      <alignment horizontal="center"/>
    </xf>
    <xf numFmtId="169" fontId="1" fillId="0" borderId="0" xfId="1" applyNumberFormat="1" applyFont="1"/>
    <xf numFmtId="0" fontId="0" fillId="0" borderId="9" xfId="0" applyBorder="1"/>
    <xf numFmtId="179" fontId="1" fillId="0" borderId="0" xfId="2" applyNumberFormat="1"/>
    <xf numFmtId="173" fontId="10" fillId="0" borderId="0" xfId="2" applyNumberFormat="1" applyFont="1" applyAlignment="1"/>
    <xf numFmtId="183" fontId="30" fillId="0" borderId="0" xfId="9" applyNumberFormat="1" applyFont="1" applyAlignment="1" applyProtection="1">
      <alignment horizontal="left"/>
    </xf>
    <xf numFmtId="168" fontId="1" fillId="0" borderId="6" xfId="2" applyNumberFormat="1" applyBorder="1"/>
    <xf numFmtId="9" fontId="1" fillId="0" borderId="0" xfId="11" applyFont="1"/>
    <xf numFmtId="44" fontId="1" fillId="0" borderId="0" xfId="2" applyNumberFormat="1"/>
    <xf numFmtId="168" fontId="1" fillId="0" borderId="0" xfId="11" applyNumberFormat="1" applyFont="1"/>
    <xf numFmtId="183" fontId="31" fillId="0" borderId="3" xfId="9" applyNumberFormat="1" applyFont="1" applyBorder="1" applyAlignment="1" applyProtection="1">
      <alignment horizontal="center"/>
    </xf>
    <xf numFmtId="168" fontId="1" fillId="0" borderId="0" xfId="2" quotePrefix="1" applyNumberFormat="1" applyFont="1"/>
    <xf numFmtId="168" fontId="4" fillId="0" borderId="8" xfId="2" applyNumberFormat="1" applyFont="1" applyBorder="1"/>
    <xf numFmtId="44" fontId="1" fillId="0" borderId="0" xfId="2" applyNumberFormat="1" applyFont="1"/>
    <xf numFmtId="0" fontId="11" fillId="0" borderId="0" xfId="0" applyFont="1"/>
    <xf numFmtId="0" fontId="0" fillId="0" borderId="0" xfId="0" applyFill="1" applyAlignment="1">
      <alignment wrapText="1"/>
    </xf>
    <xf numFmtId="0" fontId="7" fillId="5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32" fillId="0" borderId="0" xfId="0" applyFont="1"/>
    <xf numFmtId="168" fontId="4" fillId="0" borderId="0" xfId="2" applyNumberFormat="1" applyFont="1" applyBorder="1" applyAlignment="1">
      <alignment horizontal="right"/>
    </xf>
    <xf numFmtId="168" fontId="0" fillId="0" borderId="0" xfId="0" quotePrefix="1" applyNumberFormat="1" applyBorder="1"/>
    <xf numFmtId="168" fontId="0" fillId="0" borderId="8" xfId="2" quotePrefix="1" applyNumberFormat="1" applyFont="1" applyBorder="1"/>
    <xf numFmtId="169" fontId="1" fillId="0" borderId="0" xfId="1" applyNumberFormat="1" applyFont="1" applyBorder="1"/>
    <xf numFmtId="0" fontId="0" fillId="6" borderId="9" xfId="0" applyFill="1" applyBorder="1"/>
    <xf numFmtId="6" fontId="0" fillId="6" borderId="9" xfId="0" applyNumberFormat="1" applyFill="1" applyBorder="1"/>
    <xf numFmtId="168" fontId="0" fillId="6" borderId="9" xfId="0" applyNumberFormat="1" applyFill="1" applyBorder="1"/>
    <xf numFmtId="0" fontId="0" fillId="6" borderId="0" xfId="0" applyFill="1" applyBorder="1"/>
    <xf numFmtId="168" fontId="0" fillId="6" borderId="0" xfId="0" applyNumberFormat="1" applyFill="1" applyBorder="1"/>
    <xf numFmtId="43" fontId="0" fillId="6" borderId="0" xfId="0" applyNumberFormat="1" applyFill="1" applyBorder="1"/>
    <xf numFmtId="0" fontId="0" fillId="6" borderId="18" xfId="0" applyFill="1" applyBorder="1"/>
    <xf numFmtId="168" fontId="0" fillId="6" borderId="18" xfId="0" applyNumberFormat="1" applyFill="1" applyBorder="1"/>
    <xf numFmtId="168" fontId="0" fillId="7" borderId="0" xfId="0" applyNumberFormat="1" applyFill="1"/>
    <xf numFmtId="0" fontId="0" fillId="7" borderId="0" xfId="0" applyFill="1"/>
    <xf numFmtId="168" fontId="0" fillId="7" borderId="9" xfId="0" applyNumberFormat="1" applyFill="1" applyBorder="1"/>
    <xf numFmtId="168" fontId="0" fillId="7" borderId="18" xfId="0" applyNumberFormat="1" applyFill="1" applyBorder="1"/>
    <xf numFmtId="0" fontId="21" fillId="7" borderId="0" xfId="0" applyFont="1" applyFill="1" applyBorder="1"/>
    <xf numFmtId="165" fontId="4" fillId="7" borderId="0" xfId="1" applyNumberFormat="1" applyFont="1" applyFill="1" applyBorder="1"/>
    <xf numFmtId="0" fontId="4" fillId="7" borderId="0" xfId="0" applyFont="1" applyFill="1" applyBorder="1"/>
    <xf numFmtId="44" fontId="4" fillId="7" borderId="0" xfId="2" applyNumberFormat="1" applyFont="1" applyFill="1" applyBorder="1" applyAlignment="1">
      <alignment horizontal="left"/>
    </xf>
    <xf numFmtId="168" fontId="4" fillId="7" borderId="0" xfId="2" applyNumberFormat="1" applyFont="1" applyFill="1" applyBorder="1"/>
    <xf numFmtId="0" fontId="4" fillId="7" borderId="0" xfId="0" applyFont="1" applyFill="1"/>
    <xf numFmtId="0" fontId="4" fillId="7" borderId="0" xfId="0" applyFont="1" applyFill="1" applyBorder="1" applyAlignment="1">
      <alignment horizontal="left" indent="1"/>
    </xf>
    <xf numFmtId="165" fontId="4" fillId="7" borderId="6" xfId="1" applyNumberFormat="1" applyFont="1" applyFill="1" applyBorder="1"/>
    <xf numFmtId="44" fontId="4" fillId="7" borderId="6" xfId="2" applyNumberFormat="1" applyFont="1" applyFill="1" applyBorder="1" applyAlignment="1">
      <alignment horizontal="left"/>
    </xf>
    <xf numFmtId="168" fontId="4" fillId="7" borderId="6" xfId="2" applyNumberFormat="1" applyFont="1" applyFill="1" applyBorder="1"/>
    <xf numFmtId="0" fontId="4" fillId="7" borderId="0" xfId="0" applyFont="1" applyFill="1" applyBorder="1" applyAlignment="1">
      <alignment horizontal="left" indent="2"/>
    </xf>
    <xf numFmtId="0" fontId="4" fillId="7" borderId="0" xfId="0" applyFont="1" applyFill="1" applyBorder="1" applyAlignment="1"/>
    <xf numFmtId="0" fontId="4" fillId="7" borderId="0" xfId="0" quotePrefix="1" applyFont="1" applyFill="1" applyBorder="1"/>
    <xf numFmtId="0" fontId="4" fillId="7" borderId="0" xfId="0" quotePrefix="1" applyFont="1" applyFill="1" applyBorder="1" applyAlignment="1">
      <alignment horizontal="left"/>
    </xf>
    <xf numFmtId="165" fontId="4" fillId="7" borderId="0" xfId="1" applyNumberFormat="1" applyFont="1" applyFill="1"/>
    <xf numFmtId="44" fontId="4" fillId="7" borderId="0" xfId="2" applyNumberFormat="1" applyFont="1" applyFill="1" applyAlignment="1">
      <alignment horizontal="left"/>
    </xf>
    <xf numFmtId="168" fontId="4" fillId="7" borderId="0" xfId="2" applyNumberFormat="1" applyFont="1" applyFill="1"/>
    <xf numFmtId="0" fontId="4" fillId="7" borderId="0" xfId="0" applyFont="1" applyFill="1" applyBorder="1" applyAlignment="1">
      <alignment horizontal="left" indent="4"/>
    </xf>
    <xf numFmtId="0" fontId="18" fillId="0" borderId="0" xfId="0" applyFont="1" applyFill="1"/>
    <xf numFmtId="165" fontId="21" fillId="0" borderId="0" xfId="1" applyNumberFormat="1" applyFont="1" applyFill="1"/>
    <xf numFmtId="174" fontId="4" fillId="0" borderId="0" xfId="2" applyNumberFormat="1" applyFont="1" applyFill="1"/>
    <xf numFmtId="168" fontId="4" fillId="0" borderId="0" xfId="2" applyNumberFormat="1" applyFont="1" applyFill="1"/>
    <xf numFmtId="174" fontId="4" fillId="7" borderId="0" xfId="2" applyNumberFormat="1" applyFont="1" applyFill="1" applyBorder="1"/>
    <xf numFmtId="43" fontId="4" fillId="7" borderId="0" xfId="1" applyNumberFormat="1" applyFont="1" applyFill="1" applyBorder="1"/>
    <xf numFmtId="174" fontId="0" fillId="0" borderId="0" xfId="2" applyNumberFormat="1" applyFont="1" applyBorder="1"/>
    <xf numFmtId="0" fontId="16" fillId="0" borderId="0" xfId="0" applyFont="1" applyFill="1" applyAlignment="1">
      <alignment horizontal="centerContinuous"/>
    </xf>
    <xf numFmtId="165" fontId="1" fillId="0" borderId="0" xfId="1" applyNumberFormat="1" applyAlignment="1">
      <alignment horizontal="centerContinuous"/>
    </xf>
    <xf numFmtId="174" fontId="1" fillId="0" borderId="0" xfId="2" applyNumberFormat="1" applyAlignment="1">
      <alignment horizontal="centerContinuous"/>
    </xf>
    <xf numFmtId="0" fontId="16" fillId="0" borderId="0" xfId="0" applyFont="1" applyAlignment="1">
      <alignment horizontal="centerContinuous"/>
    </xf>
    <xf numFmtId="168" fontId="1" fillId="0" borderId="0" xfId="2" applyNumberFormat="1" applyAlignment="1">
      <alignment horizontal="centerContinuous"/>
    </xf>
    <xf numFmtId="0" fontId="33" fillId="0" borderId="0" xfId="0" applyFont="1" applyAlignment="1">
      <alignment horizontal="centerContinuous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Continuous"/>
    </xf>
    <xf numFmtId="0" fontId="26" fillId="0" borderId="0" xfId="0" applyFont="1" applyAlignment="1">
      <alignment horizontal="center"/>
    </xf>
    <xf numFmtId="176" fontId="26" fillId="0" borderId="0" xfId="0" applyNumberFormat="1" applyFont="1" applyAlignment="1">
      <alignment horizontal="center"/>
    </xf>
    <xf numFmtId="165" fontId="20" fillId="0" borderId="2" xfId="1" applyNumberFormat="1" applyFont="1" applyBorder="1" applyAlignment="1">
      <alignment horizontal="center"/>
    </xf>
  </cellXfs>
  <cellStyles count="13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DMDEMREC" xfId="9"/>
    <cellStyle name="Normal_TW99-2CE" xfId="10"/>
    <cellStyle name="Percent" xfId="11" builtinId="5"/>
    <cellStyle name="Percent [2]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114</xdr:row>
      <xdr:rowOff>0</xdr:rowOff>
    </xdr:from>
    <xdr:to>
      <xdr:col>2</xdr:col>
      <xdr:colOff>238125</xdr:colOff>
      <xdr:row>114</xdr:row>
      <xdr:rowOff>0</xdr:rowOff>
    </xdr:to>
    <xdr:sp macro="" textlink="">
      <xdr:nvSpPr>
        <xdr:cNvPr id="7169" name="AutoShape 1"/>
        <xdr:cNvSpPr>
          <a:spLocks noChangeArrowheads="1"/>
        </xdr:cNvSpPr>
      </xdr:nvSpPr>
      <xdr:spPr bwMode="auto">
        <a:xfrm>
          <a:off x="3476625" y="192119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114</xdr:row>
      <xdr:rowOff>0</xdr:rowOff>
    </xdr:from>
    <xdr:to>
      <xdr:col>2</xdr:col>
      <xdr:colOff>238125</xdr:colOff>
      <xdr:row>114</xdr:row>
      <xdr:rowOff>0</xdr:rowOff>
    </xdr:to>
    <xdr:sp macro="" textlink="">
      <xdr:nvSpPr>
        <xdr:cNvPr id="7170" name="AutoShape 2"/>
        <xdr:cNvSpPr>
          <a:spLocks noChangeArrowheads="1"/>
        </xdr:cNvSpPr>
      </xdr:nvSpPr>
      <xdr:spPr bwMode="auto">
        <a:xfrm>
          <a:off x="3476625" y="192119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114</xdr:row>
      <xdr:rowOff>0</xdr:rowOff>
    </xdr:from>
    <xdr:to>
      <xdr:col>2</xdr:col>
      <xdr:colOff>238125</xdr:colOff>
      <xdr:row>114</xdr:row>
      <xdr:rowOff>0</xdr:rowOff>
    </xdr:to>
    <xdr:sp macro="" textlink="">
      <xdr:nvSpPr>
        <xdr:cNvPr id="7171" name="AutoShape 3"/>
        <xdr:cNvSpPr>
          <a:spLocks noChangeArrowheads="1"/>
        </xdr:cNvSpPr>
      </xdr:nvSpPr>
      <xdr:spPr bwMode="auto">
        <a:xfrm>
          <a:off x="3476625" y="192119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114</xdr:row>
      <xdr:rowOff>0</xdr:rowOff>
    </xdr:from>
    <xdr:to>
      <xdr:col>2</xdr:col>
      <xdr:colOff>238125</xdr:colOff>
      <xdr:row>114</xdr:row>
      <xdr:rowOff>0</xdr:rowOff>
    </xdr:to>
    <xdr:sp macro="" textlink="">
      <xdr:nvSpPr>
        <xdr:cNvPr id="7172" name="AutoShape 4"/>
        <xdr:cNvSpPr>
          <a:spLocks noChangeArrowheads="1"/>
        </xdr:cNvSpPr>
      </xdr:nvSpPr>
      <xdr:spPr bwMode="auto">
        <a:xfrm>
          <a:off x="3476625" y="192119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110</xdr:row>
      <xdr:rowOff>0</xdr:rowOff>
    </xdr:from>
    <xdr:to>
      <xdr:col>2</xdr:col>
      <xdr:colOff>238125</xdr:colOff>
      <xdr:row>110</xdr:row>
      <xdr:rowOff>0</xdr:rowOff>
    </xdr:to>
    <xdr:sp macro="" textlink="">
      <xdr:nvSpPr>
        <xdr:cNvPr id="7173" name="AutoShape 5"/>
        <xdr:cNvSpPr>
          <a:spLocks noChangeArrowheads="1"/>
        </xdr:cNvSpPr>
      </xdr:nvSpPr>
      <xdr:spPr bwMode="auto">
        <a:xfrm>
          <a:off x="3476625" y="185642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110</xdr:row>
      <xdr:rowOff>0</xdr:rowOff>
    </xdr:from>
    <xdr:to>
      <xdr:col>2</xdr:col>
      <xdr:colOff>238125</xdr:colOff>
      <xdr:row>110</xdr:row>
      <xdr:rowOff>0</xdr:rowOff>
    </xdr:to>
    <xdr:sp macro="" textlink="">
      <xdr:nvSpPr>
        <xdr:cNvPr id="7174" name="AutoShape 6"/>
        <xdr:cNvSpPr>
          <a:spLocks noChangeArrowheads="1"/>
        </xdr:cNvSpPr>
      </xdr:nvSpPr>
      <xdr:spPr bwMode="auto">
        <a:xfrm>
          <a:off x="3476625" y="185642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110</xdr:row>
      <xdr:rowOff>0</xdr:rowOff>
    </xdr:from>
    <xdr:to>
      <xdr:col>2</xdr:col>
      <xdr:colOff>238125</xdr:colOff>
      <xdr:row>110</xdr:row>
      <xdr:rowOff>0</xdr:rowOff>
    </xdr:to>
    <xdr:sp macro="" textlink="">
      <xdr:nvSpPr>
        <xdr:cNvPr id="7175" name="AutoShape 7"/>
        <xdr:cNvSpPr>
          <a:spLocks noChangeArrowheads="1"/>
        </xdr:cNvSpPr>
      </xdr:nvSpPr>
      <xdr:spPr bwMode="auto">
        <a:xfrm>
          <a:off x="3476625" y="185642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110</xdr:row>
      <xdr:rowOff>0</xdr:rowOff>
    </xdr:from>
    <xdr:to>
      <xdr:col>2</xdr:col>
      <xdr:colOff>238125</xdr:colOff>
      <xdr:row>110</xdr:row>
      <xdr:rowOff>0</xdr:rowOff>
    </xdr:to>
    <xdr:sp macro="" textlink="">
      <xdr:nvSpPr>
        <xdr:cNvPr id="7176" name="AutoShape 8"/>
        <xdr:cNvSpPr>
          <a:spLocks noChangeArrowheads="1"/>
        </xdr:cNvSpPr>
      </xdr:nvSpPr>
      <xdr:spPr bwMode="auto">
        <a:xfrm>
          <a:off x="3476625" y="185642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38</xdr:row>
      <xdr:rowOff>76200</xdr:rowOff>
    </xdr:from>
    <xdr:to>
      <xdr:col>4</xdr:col>
      <xdr:colOff>790575</xdr:colOff>
      <xdr:row>43</xdr:row>
      <xdr:rowOff>161925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4143375" y="6543675"/>
          <a:ext cx="0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790575</xdr:colOff>
      <xdr:row>38</xdr:row>
      <xdr:rowOff>114300</xdr:rowOff>
    </xdr:from>
    <xdr:to>
      <xdr:col>10</xdr:col>
      <xdr:colOff>790575</xdr:colOff>
      <xdr:row>43</xdr:row>
      <xdr:rowOff>161925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8543925" y="6581775"/>
          <a:ext cx="0" cy="866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icing%202002%20Plan\2002_Plan_8_21_01Neubau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'00-02%20GPG%20SCHDU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eXTRA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Market%20Knowledge%20Surve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pt_Contribution"/>
      <sheetName val="Revenuest 2CE"/>
      <sheetName val="tranche "/>
      <sheetName val="Pricing &amp; Structuring"/>
      <sheetName val="2000_2CE to 2001"/>
      <sheetName val="Pricing &amp; Structuring Rec"/>
      <sheetName val="MN Tranche"/>
      <sheetName val="OMA Tranche"/>
      <sheetName val="EU Tranche"/>
      <sheetName val="Storage Tranche"/>
      <sheetName val="Items"/>
      <sheetName val="suppl"/>
      <sheetName val="NNG 00-02 Rollover"/>
      <sheetName val="Capital"/>
      <sheetName val="carlton "/>
      <sheetName val="MN Rec"/>
      <sheetName val="OM Rec"/>
      <sheetName val="DM Rec"/>
      <sheetName val="EU Rec"/>
      <sheetName val="S_Off Rec"/>
      <sheetName val="Stor  Rec"/>
      <sheetName val="Sheet1"/>
      <sheetName val="Sheet2"/>
      <sheetName val="Sheet3"/>
    </sheetNames>
    <sheetDataSet>
      <sheetData sheetId="0"/>
      <sheetData sheetId="1"/>
      <sheetData sheetId="2">
        <row r="16">
          <cell r="G16">
            <v>20.161000000000001</v>
          </cell>
          <cell r="H16">
            <v>11.551</v>
          </cell>
        </row>
        <row r="29">
          <cell r="G29">
            <v>0</v>
          </cell>
          <cell r="H2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 "/>
      <sheetName val="NNG Other"/>
      <sheetName val="TW Other"/>
      <sheetName val="TW QTR INC"/>
      <sheetName val="NNG QTR INC"/>
      <sheetName val="TW YR-YR IBIT"/>
      <sheetName val="NNG YR-YR IBIT"/>
      <sheetName val="O&amp;M_NNG"/>
      <sheetName val="O&amp;M-TW"/>
      <sheetName val="NNG YR-YR FF"/>
      <sheetName val="TW YR-YR FF"/>
      <sheetName val="NNG YR-YR OB "/>
      <sheetName val="TW YR-YR OB "/>
      <sheetName val="NNG Exposure"/>
      <sheetName val="TW Exposure"/>
      <sheetName val="NNG Capital Sum"/>
      <sheetName val="NNG Cap Detail"/>
      <sheetName val="TW Capital Sum"/>
      <sheetName val="TW Cap Detail"/>
      <sheetName val="NNG STAFFING BY EMPLOYEE STATUS"/>
      <sheetName val="NNG STAFFING BY LOCATION"/>
      <sheetName val="TW STAFFING BY EMPLOYEE STATUS"/>
      <sheetName val="TW STAFFING BY LOCATION"/>
      <sheetName val="NNG Detail NI"/>
      <sheetName val="NNG CAPITAL SUMMARY"/>
      <sheetName val="NNG CAPITAL DETAIL"/>
      <sheetName val="TW CAPITAL SUMMARY"/>
      <sheetName val="TW CAPITAL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"/>
      <sheetName val="Peak Day"/>
      <sheetName val="Summary TW"/>
      <sheetName val="Summary NNG"/>
      <sheetName val="highlights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st"/>
      <sheetName val="Score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N38"/>
  <sheetViews>
    <sheetView zoomScale="50" workbookViewId="0">
      <selection activeCell="E26" sqref="E25:E26"/>
    </sheetView>
  </sheetViews>
  <sheetFormatPr defaultRowHeight="12.75"/>
  <cols>
    <col min="4" max="4" width="7.5703125" customWidth="1"/>
    <col min="14" max="14" width="17.7109375" customWidth="1"/>
    <col min="15" max="15" width="1.140625" customWidth="1"/>
  </cols>
  <sheetData>
    <row r="9" spans="1:14" ht="35.25">
      <c r="E9" s="1" t="s">
        <v>0</v>
      </c>
      <c r="F9" s="1"/>
      <c r="G9" s="1"/>
      <c r="H9" s="1"/>
      <c r="I9" s="1"/>
      <c r="J9" s="1"/>
      <c r="K9" s="1"/>
      <c r="L9" s="1"/>
    </row>
    <row r="10" spans="1:14" ht="35.25">
      <c r="E10" s="1" t="s">
        <v>341</v>
      </c>
      <c r="F10" s="1"/>
      <c r="G10" s="1"/>
      <c r="H10" s="1"/>
      <c r="I10" s="1"/>
      <c r="J10" s="1"/>
      <c r="K10" s="1"/>
      <c r="L10" s="1"/>
    </row>
    <row r="11" spans="1:14" ht="35.25">
      <c r="E11" s="1" t="s">
        <v>344</v>
      </c>
      <c r="F11" s="1"/>
      <c r="G11" s="1"/>
      <c r="H11" s="1"/>
      <c r="I11" s="1"/>
      <c r="J11" s="1"/>
      <c r="K11" s="1"/>
      <c r="L11" s="1"/>
    </row>
    <row r="12" spans="1:14" ht="35.25">
      <c r="E12" s="1"/>
      <c r="F12" s="1"/>
      <c r="G12" s="1"/>
      <c r="H12" s="1"/>
      <c r="I12" s="1"/>
      <c r="J12" s="1"/>
      <c r="K12" s="1"/>
      <c r="L12" s="1"/>
    </row>
    <row r="13" spans="1:14" ht="35.25">
      <c r="E13" s="1"/>
      <c r="F13" s="1"/>
      <c r="G13" s="1"/>
      <c r="H13" s="1"/>
      <c r="I13" s="1"/>
      <c r="J13" s="1"/>
      <c r="K13" s="1"/>
      <c r="L13" s="1"/>
    </row>
    <row r="14" spans="1:14" ht="45">
      <c r="A14" s="331"/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1"/>
    </row>
    <row r="16" spans="1:14" s="280" customFormat="1" ht="35.25" customHeight="1">
      <c r="A16" s="330"/>
      <c r="B16" s="330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</row>
    <row r="20" spans="2:2" ht="20.25">
      <c r="B20" s="3"/>
    </row>
    <row r="38" spans="1:1">
      <c r="A38" t="str">
        <f ca="1">CELL("filename")</f>
        <v xml:space="preserve">C:\Users\Felienne\Enron\EnronSpreadsheets\[danny_mccarty__4631__2002_Plan_Contracted_uncontracted_stretch 9_21_01.xls]North by Risk Category </v>
      </c>
    </row>
  </sheetData>
  <mergeCells count="2">
    <mergeCell ref="A16:N16"/>
    <mergeCell ref="A14:N14"/>
  </mergeCells>
  <phoneticPr fontId="0" type="noConversion"/>
  <pageMargins left="0.37" right="0.33" top="0.34" bottom="0.36" header="0.18" footer="0.21"/>
  <pageSetup scale="87" orientation="landscape" r:id="rId1"/>
  <headerFooter alignWithMargins="0">
    <oddFooter>&amp;L&amp;D
&amp;T&amp;CPage &amp;P of &amp;N&amp;R&amp;F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22"/>
  <sheetViews>
    <sheetView zoomScale="75" workbookViewId="0">
      <selection activeCell="H17" sqref="H17"/>
    </sheetView>
  </sheetViews>
  <sheetFormatPr defaultRowHeight="12.75"/>
  <cols>
    <col min="2" max="2" width="29.85546875" customWidth="1"/>
    <col min="3" max="3" width="4.42578125" customWidth="1"/>
    <col min="4" max="4" width="12.42578125" customWidth="1"/>
    <col min="5" max="5" width="4.42578125" customWidth="1"/>
    <col min="6" max="6" width="9" bestFit="1" customWidth="1"/>
    <col min="7" max="7" width="4.42578125" customWidth="1"/>
    <col min="8" max="8" width="9" bestFit="1" customWidth="1"/>
    <col min="9" max="9" width="4.42578125" customWidth="1"/>
    <col min="10" max="10" width="9" bestFit="1" customWidth="1"/>
    <col min="11" max="11" width="3.85546875" customWidth="1"/>
  </cols>
  <sheetData>
    <row r="2" spans="2:15" ht="20.25">
      <c r="B2" s="210" t="s">
        <v>153</v>
      </c>
    </row>
    <row r="3" spans="2:15" ht="20.25">
      <c r="B3" s="210" t="s">
        <v>154</v>
      </c>
    </row>
    <row r="4" spans="2:15" ht="20.25">
      <c r="B4" s="210" t="s">
        <v>155</v>
      </c>
    </row>
    <row r="5" spans="2:15" ht="20.25">
      <c r="B5" s="210"/>
    </row>
    <row r="6" spans="2:15" ht="20.25">
      <c r="B6" s="210"/>
    </row>
    <row r="7" spans="2:15" ht="38.25">
      <c r="B7" s="18" t="s">
        <v>156</v>
      </c>
      <c r="D7" s="18" t="s">
        <v>157</v>
      </c>
      <c r="F7" s="211" t="s">
        <v>158</v>
      </c>
      <c r="H7" s="211" t="s">
        <v>159</v>
      </c>
      <c r="J7" s="18" t="s">
        <v>2</v>
      </c>
      <c r="L7" s="18" t="s">
        <v>160</v>
      </c>
      <c r="M7" s="18"/>
      <c r="N7" s="18"/>
      <c r="O7" s="18"/>
    </row>
    <row r="8" spans="2:15">
      <c r="B8" s="6"/>
      <c r="D8" s="6"/>
      <c r="F8" s="212"/>
      <c r="H8" s="212"/>
      <c r="J8" s="6"/>
      <c r="L8" s="6"/>
      <c r="M8" s="6"/>
      <c r="N8" s="6"/>
      <c r="O8" s="6"/>
    </row>
    <row r="9" spans="2:15" ht="14.25">
      <c r="B9" t="s">
        <v>90</v>
      </c>
      <c r="D9" t="s">
        <v>10</v>
      </c>
      <c r="F9" s="213">
        <v>1.4</v>
      </c>
      <c r="G9" s="9"/>
      <c r="H9" s="213">
        <v>1.9</v>
      </c>
      <c r="I9" s="9"/>
      <c r="J9" s="213">
        <f t="shared" ref="J9:J16" si="0">+H9-F9</f>
        <v>0.5</v>
      </c>
      <c r="L9" s="10"/>
    </row>
    <row r="10" spans="2:15" ht="14.25">
      <c r="B10" t="s">
        <v>56</v>
      </c>
      <c r="D10" t="s">
        <v>10</v>
      </c>
      <c r="F10" s="214">
        <v>1.4</v>
      </c>
      <c r="H10" s="214">
        <v>0.2</v>
      </c>
      <c r="J10" s="214">
        <f t="shared" si="0"/>
        <v>-1.2</v>
      </c>
    </row>
    <row r="11" spans="2:15" ht="14.25">
      <c r="B11" s="6" t="s">
        <v>93</v>
      </c>
      <c r="D11" t="s">
        <v>10</v>
      </c>
      <c r="F11" s="214">
        <v>0.6</v>
      </c>
      <c r="H11" s="214">
        <v>0.2</v>
      </c>
      <c r="J11" s="214">
        <f t="shared" si="0"/>
        <v>-0.39999999999999997</v>
      </c>
    </row>
    <row r="12" spans="2:15" ht="14.25">
      <c r="B12" s="6" t="s">
        <v>161</v>
      </c>
      <c r="D12" t="s">
        <v>10</v>
      </c>
      <c r="F12" s="214">
        <v>0.3</v>
      </c>
      <c r="H12" s="214">
        <v>0.1</v>
      </c>
      <c r="J12" s="214">
        <f t="shared" si="0"/>
        <v>-0.19999999999999998</v>
      </c>
    </row>
    <row r="13" spans="2:15" ht="14.25">
      <c r="B13" t="s">
        <v>162</v>
      </c>
      <c r="D13" t="s">
        <v>10</v>
      </c>
      <c r="F13" s="214">
        <v>0</v>
      </c>
      <c r="H13" s="214">
        <v>0</v>
      </c>
      <c r="J13" s="214">
        <f t="shared" si="0"/>
        <v>0</v>
      </c>
    </row>
    <row r="14" spans="2:15" ht="14.25">
      <c r="B14" s="6" t="s">
        <v>60</v>
      </c>
      <c r="D14" t="s">
        <v>10</v>
      </c>
      <c r="F14" s="214">
        <v>0</v>
      </c>
      <c r="H14" s="214">
        <v>0.1</v>
      </c>
      <c r="J14" s="214">
        <f t="shared" si="0"/>
        <v>0.1</v>
      </c>
    </row>
    <row r="15" spans="2:15" ht="14.25">
      <c r="B15" s="6" t="s">
        <v>163</v>
      </c>
      <c r="D15" t="s">
        <v>10</v>
      </c>
      <c r="F15" s="214">
        <v>0.1</v>
      </c>
      <c r="H15" s="214">
        <v>0.1</v>
      </c>
      <c r="J15" s="214">
        <f t="shared" si="0"/>
        <v>0</v>
      </c>
    </row>
    <row r="16" spans="2:15" ht="14.25">
      <c r="B16" s="6" t="s">
        <v>94</v>
      </c>
      <c r="D16" t="s">
        <v>23</v>
      </c>
      <c r="F16" s="214">
        <v>7.2</v>
      </c>
      <c r="H16" s="214">
        <v>0.8</v>
      </c>
      <c r="J16" s="214">
        <f t="shared" si="0"/>
        <v>-6.4</v>
      </c>
    </row>
    <row r="17" spans="2:13" ht="14.25">
      <c r="B17" s="6"/>
      <c r="F17" s="214"/>
      <c r="H17" s="214"/>
      <c r="J17" s="214"/>
    </row>
    <row r="18" spans="2:13" ht="14.25">
      <c r="B18" s="6"/>
      <c r="F18" s="214"/>
      <c r="H18" s="214"/>
      <c r="J18" s="214"/>
    </row>
    <row r="19" spans="2:13" ht="14.25">
      <c r="B19" s="6"/>
      <c r="F19" s="214"/>
      <c r="H19" s="214"/>
      <c r="J19" s="214"/>
    </row>
    <row r="20" spans="2:13" ht="14.25">
      <c r="F20" s="214"/>
      <c r="H20" s="214"/>
      <c r="J20" s="214"/>
      <c r="L20" s="2"/>
      <c r="M20" s="2"/>
    </row>
    <row r="21" spans="2:13" ht="14.25">
      <c r="F21" s="215"/>
      <c r="H21" s="215"/>
      <c r="J21" s="215"/>
    </row>
    <row r="22" spans="2:13" ht="14.25">
      <c r="B22" s="6"/>
      <c r="F22" s="213">
        <f>SUM(F9:F21)</f>
        <v>11</v>
      </c>
      <c r="G22" s="9"/>
      <c r="H22" s="213">
        <f>SUM(H9:H21)</f>
        <v>3.4000000000000004</v>
      </c>
      <c r="I22" s="9"/>
      <c r="J22" s="213">
        <f>SUM(J9:J21)</f>
        <v>-7.6</v>
      </c>
    </row>
  </sheetData>
  <phoneticPr fontId="0" type="noConversion"/>
  <pageMargins left="0.34" right="0.32" top="0.37" bottom="0.56000000000000005" header="0.17" footer="0.21"/>
  <pageSetup scale="98" orientation="landscape" r:id="rId1"/>
  <headerFooter alignWithMargins="0">
    <oddHeader>&amp;A</oddHeader>
    <oddFooter>&amp;L&amp;D
&amp;T&amp;CPage &amp;P of &amp;N&amp;R&amp;F
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zoomScale="75" workbookViewId="0">
      <selection activeCell="A4" sqref="A4"/>
    </sheetView>
  </sheetViews>
  <sheetFormatPr defaultRowHeight="12.75"/>
  <cols>
    <col min="1" max="1" width="42.42578125" customWidth="1"/>
    <col min="4" max="4" width="11.28515625" customWidth="1"/>
    <col min="6" max="6" width="11.7109375" customWidth="1"/>
    <col min="8" max="8" width="10" customWidth="1"/>
  </cols>
  <sheetData>
    <row r="1" spans="1:8" ht="18">
      <c r="A1" s="29" t="s">
        <v>195</v>
      </c>
      <c r="B1" s="29"/>
      <c r="C1" s="29"/>
      <c r="D1" s="29"/>
      <c r="E1" s="30"/>
      <c r="F1" s="30"/>
      <c r="G1" s="30"/>
      <c r="H1" s="30"/>
    </row>
    <row r="2" spans="1:8" ht="18">
      <c r="A2" s="29" t="s">
        <v>26</v>
      </c>
      <c r="B2" s="29"/>
      <c r="C2" s="29"/>
      <c r="D2" s="29"/>
      <c r="E2" s="30"/>
      <c r="F2" s="30"/>
      <c r="G2" s="30"/>
      <c r="H2" s="30"/>
    </row>
    <row r="3" spans="1:8" ht="18">
      <c r="A3" s="29" t="s">
        <v>174</v>
      </c>
      <c r="B3" s="29"/>
      <c r="C3" s="29"/>
      <c r="D3" s="29"/>
      <c r="E3" s="30"/>
      <c r="F3" s="30"/>
      <c r="G3" s="30"/>
      <c r="H3" s="30"/>
    </row>
    <row r="4" spans="1:8" ht="15.75">
      <c r="A4" s="278" t="s">
        <v>343</v>
      </c>
      <c r="B4" s="20"/>
      <c r="C4" s="20"/>
      <c r="D4" s="20"/>
    </row>
    <row r="5" spans="1:8" ht="15.75">
      <c r="A5" s="20"/>
      <c r="B5" s="20"/>
      <c r="C5" s="20"/>
      <c r="D5" s="21" t="s">
        <v>3</v>
      </c>
      <c r="F5" s="21" t="s">
        <v>4</v>
      </c>
      <c r="H5" s="21" t="s">
        <v>1</v>
      </c>
    </row>
    <row r="6" spans="1:8">
      <c r="D6" s="22" t="s">
        <v>44</v>
      </c>
      <c r="F6" s="22" t="s">
        <v>44</v>
      </c>
      <c r="H6" s="22" t="s">
        <v>44</v>
      </c>
    </row>
    <row r="8" spans="1:8">
      <c r="A8" s="2" t="s">
        <v>196</v>
      </c>
      <c r="B8" s="2"/>
      <c r="C8" s="2"/>
      <c r="D8" s="23">
        <v>18.423000000000002</v>
      </c>
      <c r="E8" s="2"/>
      <c r="F8" s="23">
        <v>13.785</v>
      </c>
      <c r="G8" s="2"/>
      <c r="H8" s="31">
        <v>32.207999999999998</v>
      </c>
    </row>
    <row r="9" spans="1:8" s="6" customFormat="1">
      <c r="A9" s="8"/>
      <c r="B9" s="8"/>
      <c r="C9" s="8"/>
      <c r="D9" s="35"/>
      <c r="E9" s="8"/>
      <c r="F9" s="8"/>
      <c r="G9" s="8"/>
      <c r="H9" s="8"/>
    </row>
    <row r="10" spans="1:8">
      <c r="D10" s="32"/>
      <c r="F10" s="24"/>
      <c r="H10" s="33">
        <v>0</v>
      </c>
    </row>
    <row r="11" spans="1:8">
      <c r="A11" s="25" t="s">
        <v>32</v>
      </c>
      <c r="D11" s="24">
        <v>-0.13099999999999978</v>
      </c>
      <c r="F11" s="24">
        <v>0.16700000000000004</v>
      </c>
      <c r="H11" s="33">
        <v>3.6000000000000254E-2</v>
      </c>
    </row>
    <row r="12" spans="1:8">
      <c r="A12" t="s">
        <v>34</v>
      </c>
      <c r="D12" s="24">
        <v>-0.11699999999999999</v>
      </c>
      <c r="F12" s="24">
        <v>-0.41300000000000003</v>
      </c>
      <c r="H12" s="33">
        <v>-0.53</v>
      </c>
    </row>
    <row r="13" spans="1:8">
      <c r="A13" s="25" t="s">
        <v>225</v>
      </c>
      <c r="D13" s="24">
        <v>1.9010000000000002</v>
      </c>
      <c r="F13" s="24">
        <v>-1.0230000000000001</v>
      </c>
      <c r="H13" s="33">
        <v>0.87800000000000011</v>
      </c>
    </row>
    <row r="14" spans="1:8">
      <c r="A14" s="25" t="s">
        <v>40</v>
      </c>
      <c r="D14" s="24">
        <v>0</v>
      </c>
      <c r="F14" s="24">
        <v>0</v>
      </c>
      <c r="H14" s="33">
        <v>0</v>
      </c>
    </row>
    <row r="15" spans="1:8">
      <c r="A15" s="25" t="s">
        <v>41</v>
      </c>
      <c r="D15" s="24">
        <v>-1.63</v>
      </c>
      <c r="F15" s="24">
        <v>-0.65799999999999992</v>
      </c>
      <c r="H15" s="33">
        <v>-2.2880000000000003</v>
      </c>
    </row>
    <row r="16" spans="1:8">
      <c r="A16" s="25" t="s">
        <v>42</v>
      </c>
      <c r="D16" s="24">
        <v>6.0000000000000053E-3</v>
      </c>
      <c r="F16" s="24">
        <v>-0.06</v>
      </c>
      <c r="H16" s="33">
        <v>-5.3999999999999992E-2</v>
      </c>
    </row>
    <row r="17" spans="1:8">
      <c r="A17" s="25" t="s">
        <v>194</v>
      </c>
      <c r="D17" s="24">
        <v>2.7349999999999999</v>
      </c>
      <c r="F17" s="24">
        <v>-1.48</v>
      </c>
      <c r="H17" s="33">
        <v>1.2549999999999999</v>
      </c>
    </row>
    <row r="18" spans="1:8">
      <c r="A18" s="25"/>
      <c r="D18" s="24"/>
      <c r="F18" s="24"/>
      <c r="H18" s="33"/>
    </row>
    <row r="19" spans="1:8">
      <c r="A19" s="25"/>
      <c r="D19" s="24">
        <v>-1.0580000000000001</v>
      </c>
      <c r="F19" s="24">
        <v>0.90600000000000003</v>
      </c>
      <c r="H19" s="33">
        <v>-0.15200000000000002</v>
      </c>
    </row>
    <row r="20" spans="1:8">
      <c r="A20" s="25"/>
      <c r="D20" s="24"/>
      <c r="F20" s="108"/>
      <c r="H20" s="33"/>
    </row>
    <row r="21" spans="1:8">
      <c r="A21" s="25"/>
      <c r="D21" s="26"/>
      <c r="E21" s="6"/>
      <c r="F21" s="26"/>
      <c r="G21" s="6"/>
      <c r="H21" s="34"/>
    </row>
    <row r="22" spans="1:8">
      <c r="B22" t="s">
        <v>46</v>
      </c>
      <c r="D22" s="33">
        <f>SUM(D11:D17)</f>
        <v>2.7640000000000002</v>
      </c>
      <c r="F22" s="33">
        <f>SUM(F11:F17)</f>
        <v>-3.4670000000000001</v>
      </c>
      <c r="H22" s="33">
        <f>SUM(H11:H17)</f>
        <v>-0.70300000000000007</v>
      </c>
    </row>
    <row r="23" spans="1:8">
      <c r="D23" s="24"/>
      <c r="H23" s="6"/>
    </row>
    <row r="24" spans="1:8">
      <c r="A24" s="242" t="s">
        <v>238</v>
      </c>
      <c r="B24" s="241"/>
      <c r="C24" s="241"/>
      <c r="D24" s="243">
        <f>+'[1]Revenuest 2CE'!G16+'[1]Revenuest 2CE'!G29</f>
        <v>20.161000000000001</v>
      </c>
      <c r="E24" s="216"/>
      <c r="F24" s="243">
        <f>+'[1]Revenuest 2CE'!H16+'[1]Revenuest 2CE'!H29</f>
        <v>11.551</v>
      </c>
      <c r="G24" s="216"/>
      <c r="H24" s="244">
        <f>H22+H8</f>
        <v>31.504999999999999</v>
      </c>
    </row>
    <row r="25" spans="1:8">
      <c r="D25" s="193"/>
      <c r="E25" s="2"/>
      <c r="F25" s="2"/>
      <c r="G25" s="2"/>
      <c r="H25" s="2"/>
    </row>
    <row r="27" spans="1:8" ht="15">
      <c r="A27" s="7"/>
    </row>
  </sheetData>
  <phoneticPr fontId="0" type="noConversion"/>
  <pageMargins left="0.37" right="0.33" top="0.34" bottom="0.36" header="0.18" footer="0.21"/>
  <pageSetup orientation="landscape" horizontalDpi="300" verticalDpi="300" r:id="rId1"/>
  <headerFooter alignWithMargins="0">
    <oddFooter>&amp;L&amp;D
&amp;T&amp;CPage &amp;P of &amp;N&amp;R&amp;F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A22" sqref="A22"/>
    </sheetView>
  </sheetViews>
  <sheetFormatPr defaultRowHeight="12.75"/>
  <sheetData/>
  <phoneticPr fontId="0" type="noConversion"/>
  <pageMargins left="0.37" right="0.33" top="0.34" bottom="0.36" header="0.18" footer="0.21"/>
  <pageSetup orientation="landscape" r:id="rId1"/>
  <headerFooter alignWithMargins="0">
    <oddFooter>&amp;L&amp;D
&amp;T&amp;CPage &amp;P of &amp;N&amp;R&amp;F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L43" sqref="L43"/>
    </sheetView>
  </sheetViews>
  <sheetFormatPr defaultRowHeight="12.75"/>
  <sheetData/>
  <phoneticPr fontId="0" type="noConversion"/>
  <pageMargins left="0.37" right="0.33" top="0.34" bottom="0.36" header="0.18" footer="0.21"/>
  <pageSetup orientation="landscape" r:id="rId1"/>
  <headerFooter alignWithMargins="0">
    <oddFooter>&amp;L&amp;D
&amp;T&amp;CPage &amp;P of &amp;N&amp;R&amp;F
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L43" sqref="L43"/>
    </sheetView>
  </sheetViews>
  <sheetFormatPr defaultRowHeight="12.75"/>
  <sheetData/>
  <phoneticPr fontId="0" type="noConversion"/>
  <pageMargins left="0.37" right="0.33" top="0.34" bottom="0.36" header="0.18" footer="0.21"/>
  <pageSetup orientation="landscape" r:id="rId1"/>
  <headerFooter alignWithMargins="0">
    <oddFooter>&amp;L&amp;D
&amp;T&amp;CPage &amp;P of &amp;N&amp;R&amp;F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zoomScale="75" workbookViewId="0">
      <selection activeCell="E20" sqref="E20"/>
    </sheetView>
  </sheetViews>
  <sheetFormatPr defaultRowHeight="12.75"/>
  <cols>
    <col min="1" max="1" width="42.42578125" customWidth="1"/>
    <col min="4" max="4" width="10" customWidth="1"/>
    <col min="6" max="6" width="10" customWidth="1"/>
    <col min="8" max="8" width="10" customWidth="1"/>
  </cols>
  <sheetData>
    <row r="1" spans="1:8" ht="18">
      <c r="A1" s="29" t="s">
        <v>195</v>
      </c>
      <c r="B1" s="29"/>
      <c r="C1" s="29"/>
      <c r="D1" s="29"/>
      <c r="E1" s="30"/>
      <c r="F1" s="30"/>
      <c r="G1" s="30"/>
      <c r="H1" s="30"/>
    </row>
    <row r="2" spans="1:8" ht="18">
      <c r="A2" s="29" t="s">
        <v>43</v>
      </c>
      <c r="B2" s="29"/>
      <c r="C2" s="29"/>
      <c r="D2" s="29"/>
      <c r="E2" s="30"/>
      <c r="F2" s="30"/>
      <c r="G2" s="30"/>
      <c r="H2" s="30"/>
    </row>
    <row r="3" spans="1:8" ht="18">
      <c r="B3" s="29"/>
      <c r="C3" s="29"/>
      <c r="D3" s="29"/>
      <c r="E3" s="30"/>
      <c r="F3" s="30"/>
      <c r="G3" s="30"/>
      <c r="H3" s="30"/>
    </row>
    <row r="4" spans="1:8" ht="15.75">
      <c r="A4" s="20"/>
      <c r="B4" s="170"/>
      <c r="C4" s="170"/>
      <c r="D4" s="249"/>
      <c r="F4" s="21" t="s">
        <v>1</v>
      </c>
    </row>
    <row r="5" spans="1:8">
      <c r="B5" s="6"/>
      <c r="C5" s="6"/>
      <c r="D5" s="249"/>
      <c r="F5" s="22" t="s">
        <v>18</v>
      </c>
    </row>
    <row r="6" spans="1:8">
      <c r="B6" s="6"/>
      <c r="C6" s="6"/>
      <c r="D6" s="6"/>
    </row>
    <row r="7" spans="1:8">
      <c r="A7" s="2" t="s">
        <v>197</v>
      </c>
      <c r="B7" s="8"/>
      <c r="C7" s="8"/>
      <c r="D7" s="35"/>
      <c r="E7" s="2"/>
      <c r="F7" s="31">
        <v>0</v>
      </c>
    </row>
    <row r="8" spans="1:8">
      <c r="A8" s="2"/>
      <c r="B8" s="8"/>
      <c r="C8" s="8"/>
      <c r="D8" s="35"/>
      <c r="E8" s="2"/>
      <c r="F8" s="31"/>
    </row>
    <row r="9" spans="1:8" s="6" customFormat="1">
      <c r="A9" s="8" t="s">
        <v>175</v>
      </c>
      <c r="B9" s="8"/>
      <c r="C9" s="8"/>
      <c r="D9" s="35"/>
      <c r="E9" s="8"/>
      <c r="F9" s="8"/>
    </row>
    <row r="10" spans="1:8">
      <c r="A10" s="25" t="s">
        <v>64</v>
      </c>
      <c r="B10" s="6"/>
      <c r="C10" s="6"/>
      <c r="D10" s="108"/>
      <c r="E10" s="24">
        <v>0</v>
      </c>
    </row>
    <row r="11" spans="1:8">
      <c r="A11" s="25" t="s">
        <v>176</v>
      </c>
      <c r="B11" s="6"/>
      <c r="C11" s="6"/>
      <c r="D11" s="108"/>
      <c r="E11" s="24">
        <v>0</v>
      </c>
    </row>
    <row r="12" spans="1:8">
      <c r="A12" s="25" t="s">
        <v>177</v>
      </c>
      <c r="B12" s="6"/>
      <c r="C12" s="6"/>
      <c r="D12" s="207"/>
      <c r="E12" s="108">
        <v>0</v>
      </c>
    </row>
    <row r="13" spans="1:8">
      <c r="A13" s="25" t="s">
        <v>178</v>
      </c>
      <c r="B13" s="6"/>
      <c r="C13" s="6"/>
      <c r="D13" s="108"/>
      <c r="E13" s="108">
        <v>0</v>
      </c>
    </row>
    <row r="14" spans="1:8">
      <c r="A14" s="25" t="s">
        <v>4</v>
      </c>
      <c r="B14" s="6"/>
      <c r="C14" s="6"/>
      <c r="D14" s="108"/>
      <c r="E14" s="108">
        <v>0</v>
      </c>
    </row>
    <row r="15" spans="1:8">
      <c r="A15" s="25" t="s">
        <v>45</v>
      </c>
      <c r="B15" s="6"/>
      <c r="C15" s="6"/>
      <c r="D15" s="207"/>
      <c r="E15" s="26">
        <v>0</v>
      </c>
      <c r="F15" s="193">
        <f>SUM(E9:E15)</f>
        <v>0</v>
      </c>
    </row>
    <row r="16" spans="1:8">
      <c r="A16" s="25" t="s">
        <v>179</v>
      </c>
      <c r="B16" s="6"/>
      <c r="C16" s="6"/>
      <c r="D16" s="108"/>
      <c r="E16" s="24"/>
    </row>
    <row r="17" spans="1:6">
      <c r="A17" s="25"/>
      <c r="B17" s="6"/>
      <c r="C17" s="6"/>
      <c r="D17" s="108"/>
      <c r="E17" s="24"/>
    </row>
    <row r="18" spans="1:6">
      <c r="A18" s="8" t="s">
        <v>180</v>
      </c>
      <c r="B18" s="6"/>
      <c r="C18" s="6"/>
      <c r="D18" s="108"/>
      <c r="E18" s="24"/>
    </row>
    <row r="19" spans="1:6">
      <c r="A19" s="25" t="s">
        <v>226</v>
      </c>
      <c r="B19" s="6"/>
      <c r="C19" s="6"/>
      <c r="D19" s="108"/>
      <c r="E19" s="24">
        <f>1.27</f>
        <v>1.27</v>
      </c>
    </row>
    <row r="20" spans="1:6">
      <c r="A20" s="25" t="s">
        <v>227</v>
      </c>
      <c r="B20" s="6"/>
      <c r="C20" s="6"/>
      <c r="D20" s="108"/>
      <c r="E20" s="24">
        <f>4.418+3.192</f>
        <v>7.61</v>
      </c>
      <c r="F20" s="250"/>
    </row>
    <row r="21" spans="1:6">
      <c r="A21" s="25" t="s">
        <v>228</v>
      </c>
      <c r="B21" s="6"/>
      <c r="C21" s="6"/>
      <c r="D21" s="108"/>
      <c r="E21" s="24">
        <v>-5</v>
      </c>
      <c r="F21" s="32"/>
    </row>
    <row r="22" spans="1:6">
      <c r="A22" s="25" t="s">
        <v>229</v>
      </c>
      <c r="B22" s="6"/>
      <c r="C22" s="6"/>
      <c r="D22" s="108"/>
      <c r="E22" s="32">
        <v>-6.79</v>
      </c>
      <c r="F22" s="193">
        <f>SUM(E19:E22)</f>
        <v>-2.9099999999999993</v>
      </c>
    </row>
    <row r="23" spans="1:6">
      <c r="A23" s="25"/>
      <c r="B23" s="6"/>
      <c r="C23" s="6"/>
      <c r="D23" s="108"/>
      <c r="E23" s="32"/>
      <c r="F23" s="193"/>
    </row>
    <row r="24" spans="1:6">
      <c r="A24" s="8" t="s">
        <v>181</v>
      </c>
      <c r="B24" s="6"/>
      <c r="C24" s="6"/>
      <c r="D24" s="108"/>
      <c r="E24" s="24"/>
    </row>
    <row r="25" spans="1:6">
      <c r="A25" s="25" t="s">
        <v>164</v>
      </c>
      <c r="B25" s="6"/>
      <c r="C25" s="6"/>
      <c r="D25" s="108"/>
      <c r="E25" s="24">
        <v>0</v>
      </c>
    </row>
    <row r="26" spans="1:6">
      <c r="A26" s="25" t="s">
        <v>165</v>
      </c>
      <c r="B26" s="6"/>
      <c r="C26" s="6"/>
      <c r="D26" s="108"/>
      <c r="E26" s="24">
        <v>0</v>
      </c>
    </row>
    <row r="27" spans="1:6">
      <c r="A27" s="25" t="s">
        <v>182</v>
      </c>
      <c r="B27" s="6"/>
      <c r="C27" s="6"/>
      <c r="D27" s="108"/>
      <c r="E27" s="26">
        <v>0</v>
      </c>
      <c r="F27" s="250">
        <f>SUM(E25:E27)</f>
        <v>0</v>
      </c>
    </row>
    <row r="28" spans="1:6">
      <c r="A28" s="25"/>
      <c r="B28" s="6"/>
      <c r="C28" s="6"/>
      <c r="D28" s="108"/>
      <c r="E28" s="24"/>
    </row>
    <row r="29" spans="1:6">
      <c r="A29" s="8" t="s">
        <v>6</v>
      </c>
      <c r="B29" s="6"/>
      <c r="C29" s="6"/>
      <c r="D29" s="108"/>
      <c r="E29" s="24"/>
    </row>
    <row r="30" spans="1:6">
      <c r="A30" s="25" t="s">
        <v>151</v>
      </c>
      <c r="B30" s="6"/>
      <c r="C30" s="6"/>
      <c r="D30" s="108"/>
      <c r="E30" s="24">
        <v>0</v>
      </c>
    </row>
    <row r="31" spans="1:6">
      <c r="A31" s="25" t="s">
        <v>152</v>
      </c>
      <c r="B31" s="6"/>
      <c r="C31" s="6"/>
      <c r="D31" s="108"/>
      <c r="E31" s="24">
        <v>0</v>
      </c>
    </row>
    <row r="32" spans="1:6">
      <c r="A32" s="25" t="s">
        <v>183</v>
      </c>
      <c r="B32" s="6"/>
      <c r="C32" s="6"/>
      <c r="D32" s="108"/>
      <c r="E32" s="26">
        <v>0</v>
      </c>
      <c r="F32" s="250">
        <f>SUM(E30:E32)</f>
        <v>0</v>
      </c>
    </row>
    <row r="33" spans="1:6">
      <c r="A33" s="25"/>
      <c r="B33" s="6"/>
      <c r="C33" s="6"/>
      <c r="D33" s="108"/>
      <c r="E33" s="24"/>
    </row>
    <row r="34" spans="1:6">
      <c r="A34" s="8" t="s">
        <v>63</v>
      </c>
      <c r="B34" s="6"/>
      <c r="C34" s="6"/>
      <c r="D34" s="108"/>
      <c r="E34" s="24"/>
      <c r="F34" s="2"/>
    </row>
    <row r="35" spans="1:6">
      <c r="A35" s="25" t="s">
        <v>184</v>
      </c>
      <c r="B35" s="6"/>
      <c r="C35" s="6"/>
      <c r="D35" s="108"/>
      <c r="E35" s="24">
        <v>0</v>
      </c>
    </row>
    <row r="36" spans="1:6">
      <c r="A36" s="25" t="s">
        <v>193</v>
      </c>
      <c r="B36" s="6"/>
      <c r="C36" s="6"/>
      <c r="D36" s="108"/>
      <c r="E36" s="24">
        <v>0</v>
      </c>
    </row>
    <row r="37" spans="1:6">
      <c r="A37" s="25" t="s">
        <v>185</v>
      </c>
      <c r="B37" s="6"/>
      <c r="C37" s="6"/>
      <c r="D37" s="108"/>
      <c r="E37" s="24">
        <v>0</v>
      </c>
      <c r="F37" s="32"/>
    </row>
    <row r="38" spans="1:6">
      <c r="A38" s="25" t="s">
        <v>186</v>
      </c>
      <c r="B38" s="6"/>
      <c r="C38" s="6"/>
      <c r="D38" s="108"/>
      <c r="E38" s="24">
        <v>0</v>
      </c>
    </row>
    <row r="39" spans="1:6">
      <c r="A39" s="25" t="s">
        <v>187</v>
      </c>
      <c r="B39" s="6"/>
      <c r="C39" s="6"/>
      <c r="D39" s="108"/>
      <c r="E39" s="24">
        <v>0</v>
      </c>
    </row>
    <row r="40" spans="1:6">
      <c r="A40" s="25" t="s">
        <v>188</v>
      </c>
      <c r="B40" s="6"/>
      <c r="C40" s="6"/>
      <c r="D40" s="108"/>
      <c r="E40" s="24">
        <v>0</v>
      </c>
    </row>
    <row r="41" spans="1:6">
      <c r="A41" s="25" t="s">
        <v>170</v>
      </c>
      <c r="B41" s="6"/>
      <c r="C41" s="6"/>
      <c r="D41" s="108"/>
      <c r="E41" s="24">
        <v>0</v>
      </c>
    </row>
    <row r="42" spans="1:6">
      <c r="A42" s="25" t="s">
        <v>189</v>
      </c>
      <c r="B42" s="6"/>
      <c r="C42" s="6"/>
      <c r="D42" s="108"/>
      <c r="E42" s="26">
        <v>0</v>
      </c>
      <c r="F42" s="250">
        <f>SUM(E35:E42)</f>
        <v>0</v>
      </c>
    </row>
    <row r="43" spans="1:6">
      <c r="A43" s="25"/>
      <c r="B43" s="6"/>
      <c r="C43" s="6"/>
      <c r="D43" s="108"/>
      <c r="E43" s="24"/>
    </row>
    <row r="44" spans="1:6">
      <c r="A44" s="25" t="s">
        <v>7</v>
      </c>
      <c r="B44" s="6"/>
      <c r="C44" s="6"/>
      <c r="D44" s="108"/>
      <c r="E44" s="24"/>
      <c r="F44" s="193">
        <v>0</v>
      </c>
    </row>
    <row r="45" spans="1:6">
      <c r="A45" s="25" t="s">
        <v>190</v>
      </c>
      <c r="B45" s="6"/>
      <c r="C45" s="6"/>
      <c r="D45" s="108"/>
      <c r="E45" s="24"/>
      <c r="F45" s="193">
        <v>0</v>
      </c>
    </row>
    <row r="46" spans="1:6">
      <c r="A46" s="10" t="s">
        <v>53</v>
      </c>
      <c r="B46" s="6"/>
      <c r="C46" s="6"/>
      <c r="D46" s="108"/>
      <c r="E46" s="24"/>
      <c r="F46" s="14">
        <v>0</v>
      </c>
    </row>
    <row r="47" spans="1:6">
      <c r="A47" s="10"/>
      <c r="B47" s="6"/>
      <c r="C47" s="6"/>
      <c r="D47" s="108"/>
      <c r="E47" s="24"/>
      <c r="F47" s="15"/>
    </row>
    <row r="48" spans="1:6">
      <c r="A48" s="251" t="s">
        <v>191</v>
      </c>
      <c r="B48" s="6"/>
      <c r="C48" s="6"/>
      <c r="D48" s="108"/>
      <c r="E48" s="24"/>
      <c r="F48" s="193">
        <f>SUM(F15:F46)</f>
        <v>-2.9099999999999993</v>
      </c>
    </row>
    <row r="49" spans="1:6">
      <c r="B49" s="6"/>
      <c r="C49" s="6"/>
      <c r="D49" s="108"/>
    </row>
    <row r="50" spans="1:6">
      <c r="A50" s="10" t="s">
        <v>192</v>
      </c>
      <c r="B50" s="6"/>
      <c r="C50" s="6"/>
      <c r="D50" s="6"/>
      <c r="E50" s="6"/>
      <c r="F50" s="16">
        <v>0</v>
      </c>
    </row>
    <row r="51" spans="1:6" ht="13.5" thickBot="1">
      <c r="A51" s="27" t="s">
        <v>198</v>
      </c>
      <c r="F51" s="28">
        <f>+F50+F48+F7</f>
        <v>-2.9099999999999993</v>
      </c>
    </row>
    <row r="52" spans="1:6" ht="13.5" thickTop="1"/>
    <row r="54" spans="1:6" ht="15">
      <c r="A54" s="7"/>
    </row>
  </sheetData>
  <phoneticPr fontId="0" type="noConversion"/>
  <pageMargins left="0.37" right="0.33" top="0.34" bottom="0.36" header="0.18" footer="0.21"/>
  <pageSetup scale="79" orientation="landscape" horizontalDpi="300" verticalDpi="300" r:id="rId1"/>
  <headerFooter alignWithMargins="0">
    <oddFooter>&amp;L&amp;D
&amp;T&amp;CPage &amp;P of &amp;N&amp;R&amp;F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tabSelected="1" zoomScale="60" zoomScaleNormal="60" workbookViewId="0">
      <pane xSplit="2" ySplit="7" topLeftCell="F77" activePane="bottomRight" state="frozen"/>
      <selection pane="topRight" activeCell="C1" sqref="C1"/>
      <selection pane="bottomLeft" activeCell="A8" sqref="A8"/>
      <selection pane="bottomRight" activeCell="J92" sqref="J92"/>
    </sheetView>
  </sheetViews>
  <sheetFormatPr defaultRowHeight="12.75"/>
  <cols>
    <col min="1" max="1" width="20" customWidth="1"/>
    <col min="2" max="2" width="61.140625" bestFit="1" customWidth="1"/>
    <col min="3" max="3" width="12" customWidth="1"/>
    <col min="4" max="4" width="10.28515625" customWidth="1"/>
    <col min="5" max="5" width="10.5703125" bestFit="1" customWidth="1"/>
    <col min="6" max="6" width="12.28515625" customWidth="1"/>
    <col min="8" max="8" width="17.140625" customWidth="1"/>
    <col min="9" max="9" width="12" customWidth="1"/>
    <col min="10" max="10" width="21.85546875" customWidth="1"/>
    <col min="11" max="11" width="49.140625" customWidth="1"/>
    <col min="12" max="12" width="2.42578125" customWidth="1"/>
    <col min="13" max="14" width="12.85546875" customWidth="1"/>
    <col min="15" max="15" width="12.7109375" customWidth="1"/>
    <col min="16" max="17" width="12.85546875" customWidth="1"/>
    <col min="18" max="18" width="14.28515625" customWidth="1"/>
    <col min="19" max="19" width="11.28515625" customWidth="1"/>
  </cols>
  <sheetData>
    <row r="1" spans="1:20" ht="26.25">
      <c r="A1" s="36" t="s">
        <v>199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20" ht="15.75">
      <c r="A2" s="38" t="s">
        <v>354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20">
      <c r="B3" s="2"/>
    </row>
    <row r="4" spans="1:20">
      <c r="B4" s="2"/>
      <c r="M4" s="6"/>
      <c r="N4" s="6"/>
      <c r="O4" s="6"/>
      <c r="P4" s="6"/>
      <c r="Q4" s="6"/>
      <c r="R4" s="6"/>
      <c r="S4" s="6"/>
      <c r="T4" s="6"/>
    </row>
    <row r="5" spans="1:20">
      <c r="M5" s="6"/>
      <c r="N5" s="6"/>
      <c r="O5" s="6"/>
      <c r="P5" s="6"/>
      <c r="Q5" s="6"/>
      <c r="R5" s="6"/>
      <c r="S5" s="6"/>
      <c r="T5" s="6"/>
    </row>
    <row r="6" spans="1:20">
      <c r="A6" s="39"/>
      <c r="B6" s="39"/>
      <c r="C6" s="39"/>
      <c r="D6" s="39"/>
      <c r="E6" s="39" t="s">
        <v>11</v>
      </c>
      <c r="F6" s="39" t="s">
        <v>11</v>
      </c>
      <c r="G6" s="39"/>
      <c r="H6" s="39" t="s">
        <v>1</v>
      </c>
      <c r="I6" s="40" t="s">
        <v>12</v>
      </c>
      <c r="J6" s="39" t="s">
        <v>13</v>
      </c>
      <c r="K6" s="39"/>
      <c r="M6" s="6"/>
      <c r="N6" s="6"/>
      <c r="O6" s="6"/>
      <c r="P6" s="6"/>
      <c r="Q6" s="6"/>
      <c r="R6" s="6"/>
      <c r="S6" s="6"/>
      <c r="T6" s="6"/>
    </row>
    <row r="7" spans="1:20">
      <c r="A7" s="41" t="s">
        <v>14</v>
      </c>
      <c r="B7" s="41" t="s">
        <v>15</v>
      </c>
      <c r="C7" s="41" t="s">
        <v>16</v>
      </c>
      <c r="D7" s="41" t="s">
        <v>17</v>
      </c>
      <c r="E7" s="41" t="s">
        <v>17</v>
      </c>
      <c r="F7" s="41" t="s">
        <v>18</v>
      </c>
      <c r="G7" s="41" t="s">
        <v>19</v>
      </c>
      <c r="H7" s="41" t="s">
        <v>18</v>
      </c>
      <c r="I7" s="41" t="s">
        <v>20</v>
      </c>
      <c r="J7" s="41" t="s">
        <v>18</v>
      </c>
      <c r="K7" s="41" t="s">
        <v>21</v>
      </c>
      <c r="M7" s="40"/>
      <c r="N7" s="40"/>
      <c r="O7" s="40"/>
      <c r="P7" s="40"/>
      <c r="Q7" s="40"/>
      <c r="R7" s="6"/>
      <c r="S7" s="6"/>
      <c r="T7" s="6"/>
    </row>
    <row r="8" spans="1:20">
      <c r="F8" s="42"/>
      <c r="J8" s="42"/>
      <c r="K8" s="42"/>
      <c r="M8" s="6"/>
      <c r="N8" s="6"/>
      <c r="O8" s="6"/>
      <c r="P8" s="6"/>
      <c r="Q8" s="6"/>
      <c r="R8" s="6"/>
      <c r="S8" s="6"/>
      <c r="T8" s="6"/>
    </row>
    <row r="9" spans="1:20">
      <c r="F9" s="42"/>
      <c r="J9" s="42"/>
      <c r="K9" s="42"/>
      <c r="M9" s="6"/>
      <c r="N9" s="6"/>
      <c r="O9" s="6"/>
      <c r="P9" s="6"/>
      <c r="Q9" s="6"/>
      <c r="R9" s="6"/>
      <c r="S9" s="6"/>
      <c r="T9" s="6"/>
    </row>
    <row r="10" spans="1:20" ht="20.25">
      <c r="A10" s="93" t="s">
        <v>352</v>
      </c>
      <c r="B10" s="5"/>
      <c r="C10" s="93"/>
      <c r="D10" s="93"/>
      <c r="E10" s="93"/>
      <c r="F10" s="93"/>
      <c r="G10" s="93"/>
      <c r="H10" s="93"/>
      <c r="I10" s="93"/>
      <c r="J10" s="93"/>
      <c r="K10" s="93"/>
      <c r="M10" s="6"/>
      <c r="N10" s="6"/>
      <c r="O10" s="6"/>
      <c r="P10" s="6"/>
      <c r="Q10" s="6"/>
      <c r="R10" s="6"/>
      <c r="S10" s="6"/>
      <c r="T10" s="6"/>
    </row>
    <row r="11" spans="1:20">
      <c r="F11" s="42"/>
      <c r="J11" s="42"/>
      <c r="K11" s="42"/>
      <c r="M11" s="6"/>
      <c r="N11" s="6"/>
      <c r="O11" s="6"/>
      <c r="P11" s="6"/>
      <c r="Q11" s="6"/>
      <c r="R11" s="6"/>
      <c r="S11" s="6"/>
      <c r="T11" s="6"/>
    </row>
    <row r="12" spans="1:20">
      <c r="A12" t="s">
        <v>201</v>
      </c>
      <c r="B12" s="252" t="s">
        <v>202</v>
      </c>
      <c r="C12" s="45">
        <v>1500</v>
      </c>
      <c r="D12" s="94">
        <f>E12/30.4</f>
        <v>0.39453947368421055</v>
      </c>
      <c r="E12" s="47">
        <v>11.994</v>
      </c>
      <c r="F12" s="42">
        <f>+E12*C12</f>
        <v>17991</v>
      </c>
      <c r="G12" s="39">
        <v>1</v>
      </c>
      <c r="H12" s="42">
        <f>+G12*F12</f>
        <v>17991</v>
      </c>
      <c r="I12" s="48"/>
      <c r="J12" s="42"/>
      <c r="K12" s="70" t="s">
        <v>203</v>
      </c>
      <c r="M12" s="49"/>
      <c r="N12" s="6"/>
      <c r="O12" s="6"/>
      <c r="P12" s="6"/>
      <c r="Q12" s="6"/>
      <c r="R12" s="6"/>
      <c r="S12" s="6"/>
      <c r="T12" s="6"/>
    </row>
    <row r="13" spans="1:20">
      <c r="B13" s="44"/>
      <c r="C13" s="45"/>
      <c r="D13" s="46"/>
      <c r="E13" s="47"/>
      <c r="F13" s="42"/>
      <c r="G13" s="39"/>
      <c r="H13" s="42"/>
      <c r="I13" s="48"/>
      <c r="J13" s="42"/>
      <c r="K13" s="42"/>
      <c r="M13" s="49"/>
      <c r="N13" s="6"/>
      <c r="O13" s="6"/>
      <c r="P13" s="6"/>
      <c r="Q13" s="6"/>
      <c r="R13" s="6"/>
      <c r="S13" s="6"/>
      <c r="T13" s="6"/>
    </row>
    <row r="14" spans="1:20">
      <c r="A14" t="s">
        <v>57</v>
      </c>
      <c r="B14" t="s">
        <v>204</v>
      </c>
      <c r="C14" s="45">
        <v>7500</v>
      </c>
      <c r="D14" s="94">
        <f>E14/30.4</f>
        <v>0.39671052631578951</v>
      </c>
      <c r="E14" s="47">
        <f>11.994+0.066</f>
        <v>12.06</v>
      </c>
      <c r="F14" s="42">
        <f>+E14*C14</f>
        <v>90450</v>
      </c>
      <c r="G14" s="39">
        <v>5</v>
      </c>
      <c r="H14" s="42">
        <f>+G14*F14</f>
        <v>452250</v>
      </c>
      <c r="I14" s="48"/>
      <c r="J14" s="42"/>
      <c r="K14" s="42"/>
      <c r="M14" s="6"/>
      <c r="N14" s="6"/>
      <c r="O14" s="6"/>
      <c r="P14" s="6"/>
      <c r="Q14" s="6"/>
      <c r="R14" s="6"/>
      <c r="S14" s="6"/>
      <c r="T14" s="6"/>
    </row>
    <row r="15" spans="1:20">
      <c r="B15" s="44"/>
      <c r="C15" s="45"/>
      <c r="D15" s="46"/>
      <c r="E15" s="47"/>
      <c r="F15" s="42"/>
      <c r="G15" s="39"/>
      <c r="H15" s="42"/>
      <c r="I15" s="48"/>
      <c r="J15" s="42"/>
      <c r="K15" s="42"/>
      <c r="M15" s="50"/>
      <c r="N15" s="49"/>
      <c r="O15" s="51"/>
      <c r="P15" s="6"/>
      <c r="Q15" s="6"/>
      <c r="R15" s="6"/>
      <c r="S15" s="6"/>
      <c r="T15" s="6"/>
    </row>
    <row r="16" spans="1:20">
      <c r="A16" t="s">
        <v>57</v>
      </c>
      <c r="B16" t="s">
        <v>205</v>
      </c>
      <c r="C16" s="45">
        <v>2150</v>
      </c>
      <c r="D16" s="94">
        <f>E16/30.4</f>
        <v>0.39671052631578951</v>
      </c>
      <c r="E16" s="47">
        <f>11.994+0.066</f>
        <v>12.06</v>
      </c>
      <c r="F16" s="42">
        <f>+E16*C16</f>
        <v>25929</v>
      </c>
      <c r="G16" s="39">
        <v>5</v>
      </c>
      <c r="H16" s="42">
        <f>+G16*F16</f>
        <v>129645</v>
      </c>
      <c r="I16" s="48"/>
      <c r="J16" s="42"/>
      <c r="K16" s="42"/>
      <c r="M16" s="52"/>
      <c r="N16" s="6"/>
      <c r="O16" s="6"/>
      <c r="P16" s="6"/>
      <c r="Q16" s="6"/>
      <c r="R16" s="6"/>
      <c r="S16" s="6"/>
      <c r="T16" s="6"/>
    </row>
    <row r="17" spans="1:20">
      <c r="C17" s="45"/>
      <c r="D17" s="47"/>
      <c r="E17" s="47"/>
      <c r="F17" s="42"/>
      <c r="G17" s="39"/>
      <c r="H17" s="42"/>
      <c r="I17" s="48"/>
      <c r="J17" s="42"/>
      <c r="K17" s="42"/>
      <c r="M17" s="52"/>
      <c r="N17" s="6"/>
      <c r="O17" s="6"/>
      <c r="P17" s="6"/>
      <c r="Q17" s="6"/>
      <c r="R17" s="6"/>
      <c r="S17" s="6"/>
      <c r="T17" s="6"/>
    </row>
    <row r="18" spans="1:20">
      <c r="A18" t="s">
        <v>57</v>
      </c>
      <c r="B18" t="s">
        <v>206</v>
      </c>
      <c r="C18" s="45">
        <v>10000</v>
      </c>
      <c r="D18" s="94">
        <f>E18/30.4</f>
        <v>0.2</v>
      </c>
      <c r="E18" s="47">
        <v>6.08</v>
      </c>
      <c r="F18" s="42">
        <f>+E18*C18</f>
        <v>60800</v>
      </c>
      <c r="G18" s="39">
        <v>5</v>
      </c>
      <c r="H18" s="42">
        <f>+G18*F18</f>
        <v>304000</v>
      </c>
      <c r="I18" s="48"/>
      <c r="J18" s="42"/>
      <c r="K18" s="42"/>
      <c r="M18" s="52"/>
      <c r="N18" s="6"/>
      <c r="O18" s="6"/>
      <c r="P18" s="6"/>
      <c r="Q18" s="6"/>
      <c r="R18" s="6"/>
      <c r="S18" s="6"/>
      <c r="T18" s="6"/>
    </row>
    <row r="19" spans="1:20">
      <c r="C19" s="45"/>
      <c r="D19" s="46"/>
      <c r="E19" s="47"/>
      <c r="F19" s="42"/>
      <c r="G19" s="39"/>
      <c r="H19" s="42"/>
      <c r="I19" s="48"/>
      <c r="J19" s="42"/>
      <c r="K19" s="42"/>
      <c r="M19" s="50"/>
      <c r="N19" s="49"/>
      <c r="O19" s="51"/>
      <c r="P19" s="6"/>
      <c r="Q19" s="6"/>
      <c r="R19" s="6"/>
      <c r="S19" s="6"/>
      <c r="T19" s="6"/>
    </row>
    <row r="20" spans="1:20" s="10" customFormat="1">
      <c r="A20" t="s">
        <v>58</v>
      </c>
      <c r="B20" t="s">
        <v>208</v>
      </c>
      <c r="C20" s="95">
        <v>3500</v>
      </c>
      <c r="D20" s="96"/>
      <c r="E20" s="97">
        <v>1.75</v>
      </c>
      <c r="F20" s="42">
        <f>E20*C20</f>
        <v>6125</v>
      </c>
      <c r="G20" s="99">
        <v>5</v>
      </c>
      <c r="H20" s="42">
        <f>+G20*F20</f>
        <v>30625</v>
      </c>
      <c r="I20" s="100"/>
      <c r="J20" s="98"/>
      <c r="K20" s="98"/>
      <c r="M20" s="101"/>
      <c r="N20" s="102"/>
      <c r="O20" s="103"/>
      <c r="P20" s="11"/>
      <c r="Q20" s="11"/>
      <c r="R20" s="11"/>
      <c r="S20" s="11"/>
      <c r="T20" s="11"/>
    </row>
    <row r="21" spans="1:20">
      <c r="B21" t="s">
        <v>207</v>
      </c>
      <c r="C21" s="45">
        <v>2500</v>
      </c>
      <c r="D21" s="45"/>
      <c r="E21" s="47">
        <v>1.75</v>
      </c>
      <c r="F21" s="42">
        <f>E21*C21</f>
        <v>4375</v>
      </c>
      <c r="G21" s="39">
        <v>7</v>
      </c>
      <c r="H21" s="42">
        <f>+G21*F21</f>
        <v>30625</v>
      </c>
      <c r="I21" s="48"/>
      <c r="J21" s="42"/>
      <c r="K21" s="42"/>
      <c r="M21" s="52"/>
      <c r="N21" s="6"/>
      <c r="O21" s="6"/>
      <c r="P21" s="6"/>
      <c r="Q21" s="6"/>
      <c r="R21" s="6"/>
      <c r="S21" s="6"/>
      <c r="T21" s="6"/>
    </row>
    <row r="22" spans="1:20">
      <c r="C22" s="45"/>
      <c r="D22" s="45"/>
      <c r="E22" s="47"/>
      <c r="F22" s="42"/>
      <c r="G22" s="39"/>
      <c r="H22" s="42"/>
      <c r="I22" s="48"/>
      <c r="J22" s="42"/>
      <c r="K22" s="42"/>
      <c r="M22" s="52"/>
      <c r="N22" s="6"/>
      <c r="O22" s="6"/>
      <c r="P22" s="6"/>
      <c r="Q22" s="6"/>
      <c r="R22" s="6"/>
      <c r="S22" s="6"/>
      <c r="T22" s="6"/>
    </row>
    <row r="23" spans="1:20">
      <c r="A23" t="s">
        <v>59</v>
      </c>
      <c r="B23" s="25" t="s">
        <v>213</v>
      </c>
      <c r="C23" s="45">
        <v>30000</v>
      </c>
      <c r="D23" s="45"/>
      <c r="E23" s="47">
        <f>F23/C23</f>
        <v>1</v>
      </c>
      <c r="F23" s="42">
        <f>H23/G23</f>
        <v>30000</v>
      </c>
      <c r="G23" s="39">
        <v>5</v>
      </c>
      <c r="H23" s="42">
        <v>150000</v>
      </c>
      <c r="I23" s="48"/>
      <c r="J23" s="42"/>
      <c r="K23" s="98" t="s">
        <v>210</v>
      </c>
      <c r="M23" s="50"/>
      <c r="N23" s="49"/>
      <c r="O23" s="51"/>
      <c r="P23" s="6"/>
      <c r="Q23" s="6"/>
      <c r="R23" s="6"/>
      <c r="S23" s="6"/>
      <c r="T23" s="6"/>
    </row>
    <row r="24" spans="1:20">
      <c r="B24" t="s">
        <v>214</v>
      </c>
      <c r="C24" s="45">
        <v>30000</v>
      </c>
      <c r="D24" s="46"/>
      <c r="E24" s="47">
        <f>F24/C24</f>
        <v>1.2142857142857142</v>
      </c>
      <c r="F24" s="42">
        <f>H24/G24</f>
        <v>36428.571428571428</v>
      </c>
      <c r="G24" s="39">
        <v>7</v>
      </c>
      <c r="H24" s="42">
        <v>255000</v>
      </c>
      <c r="I24" s="48"/>
      <c r="J24" s="42"/>
      <c r="K24" s="98" t="s">
        <v>210</v>
      </c>
      <c r="M24" s="50"/>
      <c r="N24" s="49"/>
      <c r="O24" s="51"/>
      <c r="P24" s="6"/>
      <c r="Q24" s="6"/>
      <c r="R24" s="6"/>
      <c r="S24" s="6"/>
      <c r="T24" s="6"/>
    </row>
    <row r="25" spans="1:20">
      <c r="B25" s="25"/>
      <c r="C25" s="45"/>
      <c r="D25" s="45"/>
      <c r="E25" s="47"/>
      <c r="F25" s="42"/>
      <c r="G25" s="39"/>
      <c r="H25" s="42"/>
      <c r="I25" s="48"/>
      <c r="J25" s="42"/>
      <c r="K25" s="42"/>
      <c r="M25" s="50"/>
      <c r="N25" s="49"/>
      <c r="O25" s="51"/>
      <c r="P25" s="6"/>
      <c r="Q25" s="6"/>
      <c r="R25" s="6"/>
      <c r="S25" s="6"/>
      <c r="T25" s="6"/>
    </row>
    <row r="26" spans="1:20">
      <c r="A26" t="s">
        <v>62</v>
      </c>
      <c r="B26" s="25" t="s">
        <v>215</v>
      </c>
      <c r="C26" s="45">
        <v>38518</v>
      </c>
      <c r="D26" s="46"/>
      <c r="E26" s="47">
        <f>F26/C26</f>
        <v>10.275689288125033</v>
      </c>
      <c r="F26" s="42">
        <f>H26/G26</f>
        <v>395799</v>
      </c>
      <c r="G26" s="39">
        <v>2</v>
      </c>
      <c r="H26" s="42">
        <v>791598</v>
      </c>
      <c r="I26" s="48"/>
      <c r="J26" s="42"/>
      <c r="K26" s="70" t="s">
        <v>346</v>
      </c>
      <c r="M26" s="6"/>
      <c r="N26" s="6"/>
      <c r="O26" s="6"/>
      <c r="P26" s="6"/>
      <c r="Q26" s="6"/>
      <c r="R26" s="6"/>
      <c r="S26" s="6"/>
      <c r="T26" s="6"/>
    </row>
    <row r="27" spans="1:20">
      <c r="C27" s="45"/>
      <c r="D27" s="45"/>
      <c r="E27" s="47"/>
      <c r="F27" s="42"/>
      <c r="G27" s="39"/>
      <c r="H27" s="42"/>
      <c r="I27" s="48"/>
      <c r="J27" s="42"/>
      <c r="K27" s="42"/>
      <c r="M27" s="6"/>
      <c r="N27" s="6"/>
      <c r="O27" s="6"/>
      <c r="P27" s="6"/>
      <c r="Q27" s="6"/>
      <c r="R27" s="6"/>
      <c r="S27" s="6"/>
      <c r="T27" s="6"/>
    </row>
    <row r="28" spans="1:20">
      <c r="A28" t="s">
        <v>61</v>
      </c>
      <c r="B28" s="25" t="s">
        <v>212</v>
      </c>
      <c r="C28" s="45">
        <v>425</v>
      </c>
      <c r="D28" s="253">
        <f>E28/30.4</f>
        <v>0.39453947368421055</v>
      </c>
      <c r="E28" s="47">
        <v>11.994</v>
      </c>
      <c r="F28" s="42">
        <f>C28*E28</f>
        <v>5097.45</v>
      </c>
      <c r="G28" s="39">
        <v>5</v>
      </c>
      <c r="H28" s="42">
        <f>G28*F28-2</f>
        <v>25485.25</v>
      </c>
      <c r="I28" s="48"/>
      <c r="J28" s="42"/>
      <c r="K28" s="70"/>
      <c r="M28" s="6"/>
      <c r="N28" s="6"/>
      <c r="O28" s="49"/>
      <c r="P28" s="6"/>
      <c r="Q28" s="6"/>
      <c r="R28" s="6"/>
      <c r="S28" s="6"/>
      <c r="T28" s="6"/>
    </row>
    <row r="29" spans="1:20">
      <c r="C29" s="45"/>
      <c r="D29" s="45"/>
      <c r="E29" s="47"/>
      <c r="F29" s="42"/>
      <c r="G29" s="39"/>
      <c r="H29" s="42"/>
      <c r="I29" s="48"/>
      <c r="J29" s="42"/>
      <c r="K29" s="42"/>
      <c r="M29" s="6"/>
      <c r="N29" s="6"/>
      <c r="O29" s="6"/>
      <c r="P29" s="6"/>
      <c r="Q29" s="6"/>
      <c r="R29" s="6"/>
      <c r="S29" s="6"/>
      <c r="T29" s="6"/>
    </row>
    <row r="30" spans="1:20">
      <c r="A30" t="s">
        <v>211</v>
      </c>
      <c r="B30" t="s">
        <v>216</v>
      </c>
      <c r="C30" s="45">
        <v>6670</v>
      </c>
      <c r="D30" s="53"/>
      <c r="E30" s="47">
        <f>H30/C30</f>
        <v>7.358170914542729</v>
      </c>
      <c r="F30" s="42">
        <f>H30/G30</f>
        <v>16359.666666666666</v>
      </c>
      <c r="G30" s="39">
        <v>3</v>
      </c>
      <c r="H30" s="42">
        <v>49079</v>
      </c>
      <c r="I30" s="48"/>
      <c r="J30" s="42"/>
      <c r="K30" s="70" t="s">
        <v>248</v>
      </c>
      <c r="M30" s="6"/>
      <c r="N30" s="6"/>
      <c r="O30" s="49"/>
      <c r="P30" s="6"/>
      <c r="Q30" s="6"/>
      <c r="R30" s="6"/>
      <c r="S30" s="6"/>
      <c r="T30" s="6"/>
    </row>
    <row r="31" spans="1:20">
      <c r="C31" s="45"/>
      <c r="D31" s="45"/>
      <c r="E31" s="47"/>
      <c r="F31" s="42"/>
      <c r="G31" s="39"/>
      <c r="H31" s="42"/>
      <c r="I31" s="48"/>
      <c r="J31" s="42"/>
      <c r="K31" s="42"/>
      <c r="M31" s="6"/>
      <c r="N31" s="6"/>
      <c r="O31" s="6"/>
      <c r="P31" s="6"/>
      <c r="Q31" s="6"/>
      <c r="R31" s="6"/>
      <c r="S31" s="6"/>
      <c r="T31" s="6"/>
    </row>
    <row r="32" spans="1:20">
      <c r="A32" t="s">
        <v>217</v>
      </c>
      <c r="B32" t="s">
        <v>218</v>
      </c>
      <c r="C32" s="45"/>
      <c r="D32" s="45"/>
      <c r="E32" s="47">
        <f>H32/1057000</f>
        <v>0.15210690633869442</v>
      </c>
      <c r="F32" s="42"/>
      <c r="G32" s="39">
        <v>5</v>
      </c>
      <c r="H32" s="42">
        <v>160777</v>
      </c>
      <c r="I32" s="48"/>
      <c r="J32" s="42"/>
      <c r="K32" s="70" t="s">
        <v>220</v>
      </c>
      <c r="M32" s="6"/>
      <c r="N32" s="6"/>
      <c r="O32" s="6"/>
      <c r="P32" s="6"/>
      <c r="Q32" s="6"/>
      <c r="R32" s="6"/>
      <c r="S32" s="6"/>
      <c r="T32" s="6"/>
    </row>
    <row r="33" spans="1:20">
      <c r="A33" t="s">
        <v>217</v>
      </c>
      <c r="B33" t="s">
        <v>219</v>
      </c>
      <c r="C33" s="45"/>
      <c r="D33" s="45"/>
      <c r="E33" s="47">
        <f>H33/2996000</f>
        <v>0.10100000000000001</v>
      </c>
      <c r="F33" s="42"/>
      <c r="G33" s="39">
        <v>7</v>
      </c>
      <c r="H33" s="42">
        <v>302596</v>
      </c>
      <c r="I33" s="48"/>
      <c r="J33" s="42"/>
      <c r="K33" s="70" t="s">
        <v>220</v>
      </c>
      <c r="M33" s="6"/>
      <c r="N33" s="6"/>
      <c r="O33" s="6"/>
      <c r="P33" s="6"/>
      <c r="Q33" s="6"/>
      <c r="R33" s="6"/>
      <c r="S33" s="6"/>
      <c r="T33" s="6"/>
    </row>
    <row r="34" spans="1:20">
      <c r="C34" s="45"/>
      <c r="D34" s="45"/>
      <c r="E34" s="47"/>
      <c r="F34" s="42"/>
      <c r="G34" s="39"/>
      <c r="H34" s="42"/>
      <c r="I34" s="48"/>
      <c r="J34" s="42"/>
      <c r="K34" s="42"/>
      <c r="M34" s="6"/>
      <c r="N34" s="6"/>
      <c r="O34" s="6"/>
      <c r="P34" s="6"/>
      <c r="Q34" s="6"/>
      <c r="R34" s="6"/>
      <c r="S34" s="6"/>
      <c r="T34" s="6"/>
    </row>
    <row r="35" spans="1:20">
      <c r="A35" t="s">
        <v>239</v>
      </c>
      <c r="B35" t="s">
        <v>240</v>
      </c>
      <c r="C35" s="45">
        <v>740</v>
      </c>
      <c r="D35" s="94">
        <f>E35/30.4</f>
        <v>0.19728692508297774</v>
      </c>
      <c r="E35" s="47">
        <f>F35/C35</f>
        <v>5.997522522522523</v>
      </c>
      <c r="F35" s="42">
        <f>H35/G35</f>
        <v>4438.166666666667</v>
      </c>
      <c r="G35" s="39">
        <v>12</v>
      </c>
      <c r="H35" s="42">
        <v>53258</v>
      </c>
      <c r="I35" s="48"/>
      <c r="J35" s="42"/>
      <c r="K35" s="70" t="s">
        <v>247</v>
      </c>
      <c r="M35" s="6"/>
      <c r="N35" s="6"/>
      <c r="O35" s="6"/>
      <c r="P35" s="6"/>
      <c r="Q35" s="6"/>
      <c r="R35" s="6"/>
      <c r="S35" s="6"/>
      <c r="T35" s="6"/>
    </row>
    <row r="36" spans="1:20">
      <c r="C36" s="45"/>
      <c r="D36" s="45"/>
      <c r="E36" s="47"/>
      <c r="F36" s="42"/>
      <c r="G36" s="39"/>
      <c r="H36" s="42"/>
      <c r="I36" s="48"/>
      <c r="J36" s="42"/>
      <c r="K36" s="42"/>
      <c r="M36" s="6"/>
      <c r="N36" s="6"/>
      <c r="O36" s="6"/>
      <c r="P36" s="6"/>
      <c r="Q36" s="6"/>
      <c r="R36" s="6"/>
      <c r="S36" s="6"/>
      <c r="T36" s="6"/>
    </row>
    <row r="37" spans="1:20">
      <c r="A37" t="s">
        <v>241</v>
      </c>
      <c r="B37" t="s">
        <v>242</v>
      </c>
      <c r="C37" s="45">
        <v>400</v>
      </c>
      <c r="D37" s="94">
        <f>E37/30.4</f>
        <v>0.39453947368421055</v>
      </c>
      <c r="E37" s="47">
        <v>11.994</v>
      </c>
      <c r="F37" s="42">
        <f>H37/G37</f>
        <v>4798</v>
      </c>
      <c r="G37" s="39">
        <v>5</v>
      </c>
      <c r="H37" s="42">
        <v>23990</v>
      </c>
      <c r="I37" s="48"/>
      <c r="J37" s="42"/>
      <c r="K37" s="42"/>
      <c r="M37" s="6"/>
      <c r="N37" s="6"/>
      <c r="O37" s="6"/>
      <c r="P37" s="6"/>
      <c r="Q37" s="6"/>
      <c r="R37" s="6"/>
      <c r="S37" s="6"/>
      <c r="T37" s="6"/>
    </row>
    <row r="38" spans="1:20">
      <c r="C38" s="45"/>
      <c r="D38" s="94"/>
      <c r="E38" s="47"/>
      <c r="F38" s="42"/>
      <c r="G38" s="39"/>
      <c r="H38" s="42"/>
      <c r="I38" s="48"/>
      <c r="J38" s="42"/>
      <c r="K38" s="42"/>
      <c r="M38" s="6"/>
      <c r="N38" s="6"/>
      <c r="O38" s="6"/>
      <c r="P38" s="6"/>
      <c r="Q38" s="6"/>
      <c r="R38" s="6"/>
      <c r="S38" s="6"/>
      <c r="T38" s="6"/>
    </row>
    <row r="39" spans="1:20">
      <c r="A39" t="s">
        <v>241</v>
      </c>
      <c r="B39" t="s">
        <v>240</v>
      </c>
      <c r="C39" s="45">
        <v>700</v>
      </c>
      <c r="D39" s="94">
        <f>E39/30.4</f>
        <v>0.19728226817042607</v>
      </c>
      <c r="E39" s="47">
        <f>F39/C39</f>
        <v>5.9973809523809525</v>
      </c>
      <c r="F39" s="42">
        <f>H39/G39</f>
        <v>4198.166666666667</v>
      </c>
      <c r="G39" s="39">
        <v>12</v>
      </c>
      <c r="H39" s="42">
        <v>50378</v>
      </c>
      <c r="I39" s="48"/>
      <c r="J39" s="42"/>
      <c r="K39" s="70" t="s">
        <v>247</v>
      </c>
      <c r="M39" s="6"/>
      <c r="N39" s="6"/>
      <c r="O39" s="6"/>
      <c r="P39" s="6"/>
      <c r="Q39" s="6"/>
      <c r="R39" s="6"/>
      <c r="S39" s="6"/>
      <c r="T39" s="6"/>
    </row>
    <row r="40" spans="1:20">
      <c r="C40" s="45"/>
      <c r="D40" s="94"/>
      <c r="E40" s="47"/>
      <c r="F40" s="42"/>
      <c r="G40" s="39"/>
      <c r="H40" s="42"/>
      <c r="I40" s="48"/>
      <c r="J40" s="42"/>
      <c r="K40" s="42"/>
      <c r="M40" s="6"/>
      <c r="N40" s="6"/>
      <c r="O40" s="6"/>
      <c r="P40" s="6"/>
      <c r="Q40" s="6"/>
      <c r="R40" s="6"/>
      <c r="S40" s="6"/>
      <c r="T40" s="6"/>
    </row>
    <row r="41" spans="1:20">
      <c r="A41" t="s">
        <v>243</v>
      </c>
      <c r="B41" t="s">
        <v>244</v>
      </c>
      <c r="C41" s="45">
        <v>1580</v>
      </c>
      <c r="D41" s="94">
        <f>E41/30.4</f>
        <v>0.26632245169886742</v>
      </c>
      <c r="E41" s="47">
        <f>F41/C41</f>
        <v>8.0962025316455701</v>
      </c>
      <c r="F41" s="42">
        <f>H41/G41</f>
        <v>12792</v>
      </c>
      <c r="G41" s="39">
        <v>2</v>
      </c>
      <c r="H41" s="42">
        <v>25584</v>
      </c>
      <c r="I41" s="48"/>
      <c r="J41" s="42"/>
      <c r="K41" s="42"/>
      <c r="M41" s="6"/>
      <c r="N41" s="6"/>
      <c r="O41" s="6"/>
      <c r="P41" s="6"/>
      <c r="Q41" s="6"/>
      <c r="R41" s="6"/>
      <c r="S41" s="6"/>
      <c r="T41" s="6"/>
    </row>
    <row r="42" spans="1:20">
      <c r="C42" s="45"/>
      <c r="D42" s="94"/>
      <c r="E42" s="47"/>
      <c r="F42" s="42"/>
      <c r="G42" s="39"/>
      <c r="H42" s="42"/>
      <c r="I42" s="48"/>
      <c r="J42" s="42"/>
      <c r="K42" s="42"/>
      <c r="M42" s="6"/>
      <c r="N42" s="6"/>
      <c r="O42" s="6"/>
      <c r="P42" s="6"/>
      <c r="Q42" s="6"/>
      <c r="R42" s="6"/>
      <c r="S42" s="6"/>
      <c r="T42" s="6"/>
    </row>
    <row r="43" spans="1:20">
      <c r="A43" t="s">
        <v>245</v>
      </c>
      <c r="B43" t="s">
        <v>246</v>
      </c>
      <c r="C43" s="45"/>
      <c r="D43" s="94">
        <v>7.0000000000000007E-2</v>
      </c>
      <c r="E43" s="47"/>
      <c r="F43" s="42"/>
      <c r="G43" s="39"/>
      <c r="H43" s="42">
        <v>21266</v>
      </c>
      <c r="I43" s="48"/>
      <c r="J43" s="42"/>
      <c r="K43" s="42"/>
      <c r="M43" s="6"/>
      <c r="N43" s="6"/>
      <c r="O43" s="6"/>
      <c r="P43" s="6"/>
      <c r="Q43" s="6"/>
      <c r="R43" s="6"/>
      <c r="S43" s="6"/>
      <c r="T43" s="6"/>
    </row>
    <row r="44" spans="1:20">
      <c r="C44" s="45"/>
      <c r="D44" s="45"/>
      <c r="E44" s="47"/>
      <c r="F44" s="42"/>
      <c r="G44" s="39"/>
      <c r="H44" s="42"/>
      <c r="I44" s="54"/>
      <c r="J44" s="42"/>
      <c r="K44" s="70"/>
      <c r="M44" s="55"/>
      <c r="N44" s="55"/>
      <c r="O44" s="55"/>
      <c r="P44" s="55"/>
      <c r="Q44" s="55"/>
      <c r="R44" s="6"/>
      <c r="S44" s="49"/>
      <c r="T44" s="6"/>
    </row>
    <row r="45" spans="1:20">
      <c r="A45" t="s">
        <v>57</v>
      </c>
      <c r="B45" t="s">
        <v>350</v>
      </c>
      <c r="C45" s="45"/>
      <c r="D45" s="94">
        <v>3.27E-2</v>
      </c>
      <c r="E45" s="47"/>
      <c r="F45" s="42"/>
      <c r="G45" s="39">
        <v>5</v>
      </c>
      <c r="H45" s="42">
        <v>41865</v>
      </c>
      <c r="I45" s="54"/>
      <c r="J45" s="42"/>
      <c r="K45" s="70"/>
      <c r="M45" s="55"/>
      <c r="N45" s="55"/>
      <c r="O45" s="55"/>
      <c r="P45" s="55"/>
      <c r="Q45" s="55"/>
      <c r="R45" s="6"/>
      <c r="S45" s="49"/>
      <c r="T45" s="6"/>
    </row>
    <row r="46" spans="1:20">
      <c r="C46" s="45"/>
      <c r="D46" s="94"/>
      <c r="E46" s="47"/>
      <c r="F46" s="42"/>
      <c r="G46" s="39"/>
      <c r="H46" s="42"/>
      <c r="I46" s="54"/>
      <c r="J46" s="42"/>
      <c r="K46" s="70"/>
      <c r="M46" s="55"/>
      <c r="N46" s="55"/>
      <c r="O46" s="55"/>
      <c r="P46" s="55"/>
      <c r="Q46" s="55"/>
      <c r="R46" s="6"/>
      <c r="S46" s="49"/>
      <c r="T46" s="6"/>
    </row>
    <row r="47" spans="1:20">
      <c r="A47" t="s">
        <v>61</v>
      </c>
      <c r="B47" t="s">
        <v>350</v>
      </c>
      <c r="C47" s="45"/>
      <c r="D47" s="94">
        <v>3.27E-2</v>
      </c>
      <c r="E47" s="47"/>
      <c r="F47" s="42"/>
      <c r="G47" s="39">
        <v>5</v>
      </c>
      <c r="H47" s="42">
        <v>16005</v>
      </c>
      <c r="I47" s="54"/>
      <c r="J47" s="42"/>
      <c r="K47" s="70"/>
      <c r="M47" s="55"/>
      <c r="N47" s="55"/>
      <c r="O47" s="55"/>
      <c r="P47" s="55"/>
      <c r="Q47" s="55"/>
      <c r="R47" s="6"/>
      <c r="S47" s="49"/>
      <c r="T47" s="6"/>
    </row>
    <row r="48" spans="1:20">
      <c r="C48" s="45"/>
      <c r="D48" s="45"/>
      <c r="E48" s="47"/>
      <c r="F48" s="42"/>
      <c r="G48" s="39"/>
      <c r="H48" s="42"/>
      <c r="I48" s="54"/>
      <c r="J48" s="42"/>
      <c r="K48" s="70"/>
      <c r="M48" s="55"/>
      <c r="N48" s="55"/>
      <c r="O48" s="55"/>
      <c r="P48" s="55"/>
      <c r="Q48" s="55"/>
      <c r="R48" s="6"/>
      <c r="S48" s="49"/>
      <c r="T48" s="6"/>
    </row>
    <row r="49" spans="1:20">
      <c r="A49" t="s">
        <v>23</v>
      </c>
      <c r="B49" t="s">
        <v>24</v>
      </c>
      <c r="C49" s="45"/>
      <c r="D49" s="45"/>
      <c r="E49" s="47"/>
      <c r="F49" s="42"/>
      <c r="G49" s="39"/>
      <c r="H49" s="42">
        <v>78897</v>
      </c>
      <c r="I49" s="54"/>
      <c r="J49" s="42"/>
      <c r="K49" s="42"/>
      <c r="M49" s="6"/>
      <c r="N49" s="6"/>
      <c r="O49" s="6"/>
      <c r="P49" s="6"/>
      <c r="Q49" s="6"/>
      <c r="R49" s="6"/>
      <c r="S49" s="6"/>
      <c r="T49" s="6"/>
    </row>
    <row r="50" spans="1:20">
      <c r="C50" s="45"/>
      <c r="D50" s="45"/>
      <c r="E50" s="47"/>
      <c r="F50" s="42"/>
      <c r="G50" s="39"/>
      <c r="H50" s="42"/>
      <c r="I50" s="54"/>
      <c r="J50" s="42"/>
      <c r="K50" s="42"/>
      <c r="M50" s="6"/>
      <c r="N50" s="6"/>
      <c r="O50" s="6"/>
      <c r="P50" s="6"/>
      <c r="Q50" s="6"/>
      <c r="R50" s="6"/>
      <c r="S50" s="6"/>
      <c r="T50" s="6"/>
    </row>
    <row r="51" spans="1:20">
      <c r="A51" t="s">
        <v>23</v>
      </c>
      <c r="B51" t="s">
        <v>209</v>
      </c>
      <c r="C51" s="45"/>
      <c r="D51" s="45"/>
      <c r="E51" s="47"/>
      <c r="F51" s="42"/>
      <c r="G51" s="39"/>
      <c r="H51" s="42">
        <v>14163</v>
      </c>
      <c r="I51" s="54"/>
      <c r="J51" s="42"/>
      <c r="K51" s="42"/>
      <c r="M51" s="6"/>
      <c r="N51" s="6"/>
      <c r="O51" s="6"/>
      <c r="P51" s="6"/>
      <c r="Q51" s="6"/>
      <c r="R51" s="6"/>
      <c r="S51" s="6"/>
      <c r="T51" s="6"/>
    </row>
    <row r="52" spans="1:20">
      <c r="C52" s="45"/>
      <c r="D52" s="45"/>
      <c r="E52" s="47"/>
      <c r="F52" s="42"/>
      <c r="G52" s="39"/>
      <c r="H52" s="42"/>
      <c r="I52" s="54"/>
      <c r="J52" s="42"/>
      <c r="K52" s="42"/>
      <c r="M52" s="6"/>
      <c r="N52" s="6"/>
      <c r="O52" s="6"/>
      <c r="P52" s="6"/>
      <c r="Q52" s="6"/>
      <c r="R52" s="6"/>
      <c r="S52" s="6"/>
      <c r="T52" s="6"/>
    </row>
    <row r="53" spans="1:20" ht="13.5" thickBot="1">
      <c r="C53" s="56"/>
      <c r="D53" s="56"/>
      <c r="E53" s="47"/>
      <c r="F53" s="55"/>
      <c r="H53" s="57">
        <f>SUM(H12:H52)</f>
        <v>3025077.25</v>
      </c>
      <c r="I53" s="104"/>
      <c r="K53" s="42"/>
      <c r="M53" s="55"/>
      <c r="N53" s="55"/>
      <c r="O53" s="55"/>
      <c r="P53" s="55"/>
      <c r="Q53" s="55"/>
      <c r="R53" s="6"/>
      <c r="S53" s="49"/>
      <c r="T53" s="6"/>
    </row>
    <row r="54" spans="1:20" ht="13.5" thickTop="1">
      <c r="C54" s="45"/>
      <c r="D54" s="45"/>
      <c r="E54" s="47"/>
      <c r="F54" s="42"/>
      <c r="H54" s="42"/>
      <c r="I54" s="54"/>
      <c r="J54" s="42"/>
      <c r="K54" s="42"/>
      <c r="M54" s="6"/>
      <c r="N54" s="6"/>
      <c r="O54" s="6"/>
      <c r="P54" s="6"/>
      <c r="Q54" s="6"/>
      <c r="R54" s="6"/>
      <c r="S54" s="6"/>
      <c r="T54" s="6"/>
    </row>
    <row r="55" spans="1:20">
      <c r="C55" s="45"/>
      <c r="D55" s="45"/>
      <c r="E55" s="47"/>
      <c r="F55" s="42"/>
      <c r="H55" s="42"/>
      <c r="I55" s="54"/>
      <c r="J55" s="42"/>
      <c r="K55" s="42"/>
      <c r="M55" s="6"/>
      <c r="N55" s="6"/>
      <c r="O55" s="6"/>
      <c r="P55" s="6"/>
      <c r="Q55" s="6"/>
      <c r="R55" s="6"/>
      <c r="S55" s="6"/>
      <c r="T55" s="6"/>
    </row>
    <row r="56" spans="1:20" ht="20.25">
      <c r="A56" s="93" t="s">
        <v>353</v>
      </c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M56" s="6"/>
      <c r="N56" s="6"/>
      <c r="O56" s="6"/>
      <c r="P56" s="6"/>
      <c r="Q56" s="6"/>
      <c r="R56" s="6"/>
      <c r="S56" s="6"/>
      <c r="T56" s="6"/>
    </row>
    <row r="57" spans="1:20">
      <c r="C57" s="45"/>
      <c r="D57" s="45"/>
      <c r="E57" s="47"/>
      <c r="F57" s="42"/>
      <c r="H57" s="42"/>
      <c r="I57" s="54"/>
      <c r="J57" s="42"/>
      <c r="K57" s="42"/>
      <c r="M57" s="6"/>
      <c r="N57" s="6"/>
      <c r="O57" s="6"/>
      <c r="P57" s="6"/>
      <c r="Q57" s="6"/>
      <c r="R57" s="6"/>
      <c r="S57" s="6"/>
      <c r="T57" s="6"/>
    </row>
    <row r="58" spans="1:20">
      <c r="A58" t="s">
        <v>249</v>
      </c>
      <c r="B58" t="s">
        <v>250</v>
      </c>
      <c r="C58" s="45">
        <v>1000</v>
      </c>
      <c r="D58" s="94">
        <v>0.2</v>
      </c>
      <c r="E58" s="47">
        <v>6.08</v>
      </c>
      <c r="F58" s="42">
        <f>C58*E58</f>
        <v>6080</v>
      </c>
      <c r="G58" s="39">
        <v>5</v>
      </c>
      <c r="H58" s="42">
        <f>F58*G58</f>
        <v>30400</v>
      </c>
      <c r="I58" s="48">
        <v>0.1</v>
      </c>
      <c r="J58" s="42">
        <f>H58*0.1</f>
        <v>3040</v>
      </c>
      <c r="K58" s="70"/>
      <c r="M58" s="49"/>
      <c r="N58" s="6"/>
      <c r="O58" s="6"/>
      <c r="P58" s="6"/>
      <c r="Q58" s="6"/>
      <c r="R58" s="6"/>
      <c r="S58" s="6"/>
      <c r="T58" s="6"/>
    </row>
    <row r="59" spans="1:20">
      <c r="C59" s="45"/>
      <c r="D59" s="45"/>
      <c r="E59" s="47"/>
      <c r="F59" s="42"/>
      <c r="G59" s="39"/>
      <c r="H59" s="42"/>
      <c r="I59" s="48"/>
      <c r="J59" s="42"/>
      <c r="K59" s="42"/>
      <c r="M59" s="6"/>
      <c r="N59" s="6"/>
      <c r="O59" s="6"/>
      <c r="P59" s="6"/>
      <c r="Q59" s="6"/>
      <c r="R59" s="6"/>
      <c r="S59" s="6"/>
      <c r="T59" s="6"/>
    </row>
    <row r="60" spans="1:20">
      <c r="A60" t="s">
        <v>251</v>
      </c>
      <c r="B60" t="s">
        <v>250</v>
      </c>
      <c r="C60" s="45">
        <v>1500</v>
      </c>
      <c r="D60" s="94">
        <v>0.2</v>
      </c>
      <c r="E60" s="47">
        <v>6.08</v>
      </c>
      <c r="F60" s="42">
        <f>C60*E60</f>
        <v>9120</v>
      </c>
      <c r="G60" s="39">
        <v>5</v>
      </c>
      <c r="H60" s="42">
        <f>G60*F60</f>
        <v>45600</v>
      </c>
      <c r="I60" s="48">
        <v>0.1</v>
      </c>
      <c r="J60" s="42">
        <f>I60*H60</f>
        <v>4560</v>
      </c>
      <c r="K60" s="70"/>
      <c r="M60" s="6"/>
      <c r="N60" s="49"/>
      <c r="O60" s="6"/>
      <c r="P60" s="6"/>
      <c r="Q60" s="6"/>
      <c r="R60" s="6"/>
      <c r="S60" s="6"/>
      <c r="T60" s="6"/>
    </row>
    <row r="61" spans="1:20">
      <c r="C61" s="45"/>
      <c r="D61" s="94"/>
      <c r="E61" s="47"/>
      <c r="F61" s="42"/>
      <c r="G61" s="39"/>
      <c r="H61" s="42"/>
      <c r="I61" s="48"/>
      <c r="J61" s="42"/>
      <c r="K61" s="42"/>
      <c r="M61" s="6"/>
      <c r="N61" s="6"/>
      <c r="O61" s="6"/>
      <c r="P61" s="6"/>
      <c r="Q61" s="6"/>
      <c r="R61" s="6"/>
      <c r="S61" s="6"/>
      <c r="T61" s="6"/>
    </row>
    <row r="62" spans="1:20">
      <c r="A62" t="s">
        <v>61</v>
      </c>
      <c r="B62" t="s">
        <v>252</v>
      </c>
      <c r="C62" s="45">
        <v>4200</v>
      </c>
      <c r="D62" s="94">
        <f>E62/30.4</f>
        <v>0.39453947368421055</v>
      </c>
      <c r="E62" s="47">
        <v>11.994</v>
      </c>
      <c r="F62" s="42">
        <f>E62*C62</f>
        <v>50374.799999999996</v>
      </c>
      <c r="G62" s="39">
        <v>2</v>
      </c>
      <c r="H62" s="42">
        <f>F62*G62</f>
        <v>100749.59999999999</v>
      </c>
      <c r="I62" s="48">
        <v>0.3</v>
      </c>
      <c r="J62" s="42">
        <v>30224</v>
      </c>
      <c r="K62" s="42"/>
      <c r="M62" s="6"/>
      <c r="N62" s="49"/>
      <c r="O62" s="6"/>
      <c r="P62" s="6"/>
      <c r="Q62" s="6"/>
      <c r="R62" s="6"/>
      <c r="S62" s="6"/>
      <c r="T62" s="6"/>
    </row>
    <row r="63" spans="1:20">
      <c r="C63" s="45"/>
      <c r="D63" s="94"/>
      <c r="E63" s="47"/>
      <c r="F63" s="42"/>
      <c r="G63" s="39"/>
      <c r="H63" s="42"/>
      <c r="I63" s="48"/>
      <c r="J63" s="42"/>
      <c r="K63" s="42"/>
      <c r="M63" s="6"/>
      <c r="N63" s="49"/>
      <c r="O63" s="6"/>
      <c r="P63" s="6"/>
      <c r="Q63" s="6"/>
      <c r="R63" s="6"/>
      <c r="S63" s="6"/>
      <c r="T63" s="6"/>
    </row>
    <row r="64" spans="1:20">
      <c r="A64" t="s">
        <v>61</v>
      </c>
      <c r="B64" t="s">
        <v>253</v>
      </c>
      <c r="C64" s="45">
        <v>60000</v>
      </c>
      <c r="E64" s="94">
        <v>0.55000000000000004</v>
      </c>
      <c r="F64" s="42"/>
      <c r="G64" s="39"/>
      <c r="H64" s="42">
        <f>C64*E64*8</f>
        <v>264000</v>
      </c>
      <c r="I64" s="48">
        <v>0.1</v>
      </c>
      <c r="J64" s="42">
        <f>I64*H64</f>
        <v>26400</v>
      </c>
      <c r="K64" s="42"/>
      <c r="M64" s="6"/>
      <c r="N64" s="49"/>
      <c r="O64" s="6"/>
      <c r="P64" s="6"/>
      <c r="Q64" s="6"/>
      <c r="R64" s="6"/>
      <c r="S64" s="6"/>
      <c r="T64" s="6"/>
    </row>
    <row r="65" spans="1:20">
      <c r="E65" s="257"/>
    </row>
    <row r="66" spans="1:20">
      <c r="A66" t="s">
        <v>61</v>
      </c>
      <c r="B66" t="s">
        <v>254</v>
      </c>
      <c r="C66" s="45">
        <v>25000</v>
      </c>
      <c r="E66" s="94">
        <v>0.7</v>
      </c>
      <c r="F66" s="42"/>
      <c r="G66" s="39"/>
      <c r="H66" s="42">
        <f>C66*E66*18</f>
        <v>315000</v>
      </c>
      <c r="I66" s="48">
        <v>0.3</v>
      </c>
      <c r="J66" s="42">
        <f>I66*H66</f>
        <v>94500</v>
      </c>
      <c r="K66" s="70"/>
      <c r="M66" s="6"/>
      <c r="N66" s="49"/>
      <c r="O66" s="6"/>
      <c r="P66" s="6"/>
      <c r="Q66" s="6"/>
      <c r="R66" s="6"/>
      <c r="S66" s="6"/>
      <c r="T66" s="6"/>
    </row>
    <row r="67" spans="1:20">
      <c r="C67" s="45"/>
      <c r="E67" s="94"/>
      <c r="F67" s="42"/>
      <c r="G67" s="39"/>
      <c r="H67" s="42"/>
      <c r="I67" s="48"/>
      <c r="J67" s="42"/>
      <c r="K67" s="42"/>
      <c r="M67" s="6"/>
      <c r="N67" s="49"/>
      <c r="O67" s="6"/>
      <c r="P67" s="6"/>
      <c r="Q67" s="6"/>
      <c r="R67" s="6"/>
      <c r="S67" s="6"/>
      <c r="T67" s="6"/>
    </row>
    <row r="68" spans="1:20">
      <c r="A68" t="s">
        <v>59</v>
      </c>
      <c r="B68" t="s">
        <v>255</v>
      </c>
      <c r="C68" s="45">
        <v>40000</v>
      </c>
      <c r="E68" s="94">
        <v>0.4</v>
      </c>
      <c r="F68" s="42"/>
      <c r="G68" s="39">
        <v>5</v>
      </c>
      <c r="H68" s="42">
        <f>G68*E68*C68</f>
        <v>80000</v>
      </c>
      <c r="I68" s="48">
        <v>0.1</v>
      </c>
      <c r="J68" s="42">
        <f>I68*H68</f>
        <v>8000</v>
      </c>
      <c r="K68" s="70"/>
      <c r="M68" s="6"/>
      <c r="N68" s="49"/>
      <c r="O68" s="6"/>
      <c r="P68" s="6"/>
      <c r="Q68" s="6"/>
      <c r="R68" s="6"/>
      <c r="S68" s="6"/>
      <c r="T68" s="6"/>
    </row>
    <row r="69" spans="1:20">
      <c r="C69" s="45"/>
      <c r="D69" s="94"/>
      <c r="E69" s="47"/>
      <c r="F69" s="42"/>
      <c r="G69" s="39"/>
      <c r="H69" s="42"/>
      <c r="I69" s="48"/>
      <c r="J69" s="42"/>
      <c r="K69" s="42"/>
      <c r="M69" s="6"/>
      <c r="N69" s="49"/>
      <c r="O69" s="6"/>
      <c r="P69" s="6"/>
      <c r="Q69" s="6"/>
      <c r="R69" s="6"/>
      <c r="S69" s="6"/>
      <c r="T69" s="6"/>
    </row>
    <row r="70" spans="1:20">
      <c r="A70" t="s">
        <v>61</v>
      </c>
      <c r="B70" t="s">
        <v>256</v>
      </c>
      <c r="C70" s="45">
        <v>10000</v>
      </c>
      <c r="D70" s="94">
        <f>E70/30.4</f>
        <v>0.32894736842105265</v>
      </c>
      <c r="E70" s="47">
        <v>10</v>
      </c>
      <c r="F70" s="42">
        <f>E70*C70</f>
        <v>100000</v>
      </c>
      <c r="G70" s="39">
        <v>5</v>
      </c>
      <c r="H70" s="42">
        <f>G70*F70</f>
        <v>500000</v>
      </c>
      <c r="I70" s="48">
        <v>0.2</v>
      </c>
      <c r="J70" s="42">
        <f>I70*H70</f>
        <v>100000</v>
      </c>
      <c r="K70" s="42"/>
      <c r="M70" s="6"/>
      <c r="N70" s="49"/>
      <c r="O70" s="6"/>
      <c r="P70" s="6"/>
      <c r="Q70" s="6"/>
      <c r="R70" s="6"/>
      <c r="S70" s="6"/>
      <c r="T70" s="6"/>
    </row>
    <row r="71" spans="1:20">
      <c r="C71" s="45"/>
      <c r="D71" s="45"/>
      <c r="E71" s="47"/>
      <c r="F71" s="42"/>
      <c r="G71" s="39"/>
      <c r="H71" s="42"/>
      <c r="I71" s="48"/>
      <c r="J71" s="42"/>
      <c r="K71" s="42"/>
      <c r="M71" s="6"/>
      <c r="N71" s="49"/>
      <c r="O71" s="6"/>
      <c r="P71" s="6"/>
      <c r="Q71" s="6"/>
      <c r="R71" s="6"/>
      <c r="S71" s="6"/>
      <c r="T71" s="6"/>
    </row>
    <row r="72" spans="1:20">
      <c r="A72" t="s">
        <v>23</v>
      </c>
      <c r="B72" t="s">
        <v>257</v>
      </c>
      <c r="C72" s="45">
        <v>15000</v>
      </c>
      <c r="D72" s="94">
        <f>E72/30.4</f>
        <v>0.2</v>
      </c>
      <c r="E72" s="47">
        <v>6.08</v>
      </c>
      <c r="F72" s="42">
        <f>E72*C72</f>
        <v>91200</v>
      </c>
      <c r="G72" s="39">
        <v>2</v>
      </c>
      <c r="H72" s="42">
        <f>G72*F72</f>
        <v>182400</v>
      </c>
      <c r="I72" s="48">
        <v>0.2</v>
      </c>
      <c r="J72" s="42">
        <f>I72*H72</f>
        <v>36480</v>
      </c>
      <c r="K72" s="70"/>
      <c r="M72" s="6"/>
      <c r="N72" s="49"/>
      <c r="O72" s="6"/>
      <c r="P72" s="6"/>
      <c r="Q72" s="6"/>
      <c r="R72" s="6"/>
      <c r="S72" s="6"/>
      <c r="T72" s="6"/>
    </row>
    <row r="73" spans="1:20">
      <c r="C73" s="45"/>
      <c r="D73" s="45"/>
      <c r="E73" s="47"/>
      <c r="F73" s="42"/>
      <c r="G73" s="39"/>
      <c r="H73" s="42"/>
      <c r="I73" s="48"/>
      <c r="J73" s="42"/>
      <c r="K73" s="42"/>
      <c r="M73" s="6"/>
      <c r="N73" s="49"/>
      <c r="O73" s="6"/>
      <c r="P73" s="6"/>
      <c r="Q73" s="6"/>
      <c r="R73" s="6"/>
      <c r="S73" s="6"/>
      <c r="T73" s="6"/>
    </row>
    <row r="74" spans="1:20">
      <c r="A74" t="s">
        <v>258</v>
      </c>
      <c r="B74" t="s">
        <v>259</v>
      </c>
      <c r="C74" s="45">
        <v>1000</v>
      </c>
      <c r="D74" s="94">
        <v>0.04</v>
      </c>
      <c r="E74" s="47">
        <v>1.216</v>
      </c>
      <c r="F74" s="42">
        <f>E74*C74</f>
        <v>1216</v>
      </c>
      <c r="G74" s="39">
        <v>7</v>
      </c>
      <c r="H74" s="42">
        <f>G74*F74</f>
        <v>8512</v>
      </c>
      <c r="I74" s="48">
        <v>0.1</v>
      </c>
      <c r="J74" s="42">
        <v>854</v>
      </c>
      <c r="K74" s="70"/>
      <c r="M74" s="6"/>
      <c r="N74" s="49"/>
      <c r="O74" s="6"/>
      <c r="P74" s="6"/>
      <c r="Q74" s="6"/>
      <c r="R74" s="6"/>
      <c r="S74" s="6"/>
      <c r="T74" s="6"/>
    </row>
    <row r="75" spans="1:20">
      <c r="C75" s="45"/>
      <c r="D75" s="94"/>
      <c r="E75" s="47"/>
      <c r="F75" s="42"/>
      <c r="G75" s="39"/>
      <c r="H75" s="42"/>
      <c r="I75" s="48"/>
      <c r="J75" s="106"/>
      <c r="K75" s="42"/>
      <c r="M75" s="6"/>
      <c r="N75" s="49"/>
      <c r="O75" s="6"/>
      <c r="P75" s="6"/>
      <c r="Q75" s="6"/>
      <c r="R75" s="6"/>
      <c r="S75" s="6"/>
      <c r="T75" s="6"/>
    </row>
    <row r="76" spans="1:20">
      <c r="A76" t="s">
        <v>241</v>
      </c>
      <c r="B76" t="s">
        <v>260</v>
      </c>
      <c r="C76" s="45">
        <v>2000</v>
      </c>
      <c r="D76" s="94">
        <v>0.2</v>
      </c>
      <c r="E76" s="47">
        <v>6.08</v>
      </c>
      <c r="F76" s="42">
        <f>E76*C76</f>
        <v>12160</v>
      </c>
      <c r="G76" s="39">
        <v>5</v>
      </c>
      <c r="H76" s="42">
        <f>G76*F76</f>
        <v>60800</v>
      </c>
      <c r="I76" s="48">
        <v>0.5</v>
      </c>
      <c r="J76" s="42">
        <f>I76*H76</f>
        <v>30400</v>
      </c>
      <c r="K76" s="42"/>
      <c r="M76" s="6"/>
      <c r="N76" s="49"/>
      <c r="O76" s="6"/>
      <c r="P76" s="6"/>
      <c r="Q76" s="6"/>
      <c r="R76" s="6"/>
      <c r="S76" s="6"/>
      <c r="T76" s="6"/>
    </row>
    <row r="77" spans="1:20">
      <c r="C77" s="45"/>
      <c r="D77" s="94"/>
      <c r="E77" s="47"/>
      <c r="F77" s="42"/>
      <c r="G77" s="39"/>
      <c r="H77" s="42"/>
      <c r="I77" s="48"/>
      <c r="J77" s="42"/>
      <c r="K77" s="42"/>
      <c r="M77" s="6"/>
      <c r="N77" s="49"/>
      <c r="O77" s="6"/>
      <c r="P77" s="6"/>
      <c r="Q77" s="6"/>
      <c r="R77" s="6"/>
      <c r="S77" s="6"/>
      <c r="T77" s="6"/>
    </row>
    <row r="78" spans="1:20">
      <c r="A78" t="s">
        <v>261</v>
      </c>
      <c r="B78" t="s">
        <v>250</v>
      </c>
      <c r="C78" s="45">
        <v>200</v>
      </c>
      <c r="D78" s="94">
        <f>E78/30.4</f>
        <v>0.39453947368421055</v>
      </c>
      <c r="E78" s="47">
        <v>11.994</v>
      </c>
      <c r="F78" s="42">
        <f>E78*C78</f>
        <v>2398.8000000000002</v>
      </c>
      <c r="G78" s="39">
        <v>5</v>
      </c>
      <c r="H78" s="42">
        <f>G78*F78</f>
        <v>11994</v>
      </c>
      <c r="I78" s="48">
        <v>0.5</v>
      </c>
      <c r="J78" s="42">
        <v>5995</v>
      </c>
      <c r="K78" s="42"/>
      <c r="M78" s="6"/>
      <c r="N78" s="49"/>
      <c r="O78" s="6"/>
      <c r="P78" s="6"/>
      <c r="Q78" s="6"/>
      <c r="R78" s="6"/>
      <c r="S78" s="6"/>
      <c r="T78" s="6"/>
    </row>
    <row r="79" spans="1:20">
      <c r="C79" s="45"/>
      <c r="D79" s="94"/>
      <c r="E79" s="47"/>
      <c r="F79" s="42"/>
      <c r="G79" s="39"/>
      <c r="H79" s="42"/>
      <c r="I79" s="48"/>
      <c r="J79" s="42"/>
      <c r="K79" s="42"/>
      <c r="M79" s="6"/>
      <c r="N79" s="49"/>
      <c r="O79" s="6"/>
      <c r="P79" s="6"/>
      <c r="Q79" s="6"/>
      <c r="R79" s="6"/>
      <c r="S79" s="6"/>
      <c r="T79" s="6"/>
    </row>
    <row r="80" spans="1:20">
      <c r="A80" t="s">
        <v>262</v>
      </c>
      <c r="B80" t="s">
        <v>263</v>
      </c>
      <c r="C80" s="45">
        <v>243200</v>
      </c>
      <c r="E80" s="94">
        <v>0.1</v>
      </c>
      <c r="F80" s="42"/>
      <c r="G80" s="39">
        <v>7</v>
      </c>
      <c r="H80" s="42">
        <f>C80*E80*G80</f>
        <v>170240</v>
      </c>
      <c r="I80" s="48">
        <v>0.5</v>
      </c>
      <c r="J80" s="42">
        <f>I80*H80</f>
        <v>85120</v>
      </c>
      <c r="K80" s="70"/>
      <c r="M80" s="55"/>
      <c r="N80" s="55"/>
      <c r="O80" s="55"/>
      <c r="P80" s="55"/>
      <c r="Q80" s="55"/>
      <c r="R80" s="6"/>
      <c r="S80" s="49"/>
      <c r="T80" s="6"/>
    </row>
    <row r="81" spans="1:20">
      <c r="C81" s="45"/>
      <c r="D81" s="94"/>
      <c r="E81" s="47"/>
      <c r="F81" s="42"/>
      <c r="G81" s="39"/>
      <c r="H81" s="42"/>
      <c r="I81" s="54"/>
      <c r="J81" s="42"/>
      <c r="K81" s="42"/>
      <c r="M81" s="6"/>
      <c r="N81" s="6"/>
      <c r="O81" s="6"/>
      <c r="P81" s="6"/>
      <c r="Q81" s="6"/>
      <c r="R81" s="6"/>
      <c r="S81" s="6"/>
      <c r="T81" s="6"/>
    </row>
    <row r="82" spans="1:20">
      <c r="A82" t="s">
        <v>52</v>
      </c>
      <c r="B82" t="s">
        <v>372</v>
      </c>
      <c r="C82" s="45"/>
      <c r="D82" s="94"/>
      <c r="E82" s="47"/>
      <c r="F82" s="42"/>
      <c r="G82" s="39"/>
      <c r="H82" s="42"/>
      <c r="I82" s="48"/>
      <c r="J82" s="42">
        <v>700000</v>
      </c>
      <c r="K82" s="42"/>
      <c r="M82" s="6"/>
      <c r="N82" s="49"/>
      <c r="O82" s="6"/>
      <c r="P82" s="6"/>
      <c r="Q82" s="6"/>
      <c r="R82" s="6"/>
      <c r="S82" s="6"/>
      <c r="T82" s="6"/>
    </row>
    <row r="83" spans="1:20">
      <c r="C83" s="45"/>
      <c r="D83" s="94"/>
      <c r="E83" s="47"/>
      <c r="F83" s="42"/>
      <c r="G83" s="39"/>
      <c r="H83" s="42"/>
      <c r="I83" s="48"/>
      <c r="J83" s="42"/>
      <c r="K83" s="42"/>
      <c r="M83" s="6"/>
      <c r="N83" s="49"/>
      <c r="O83" s="6"/>
      <c r="P83" s="6"/>
      <c r="Q83" s="6"/>
      <c r="R83" s="6"/>
      <c r="S83" s="6"/>
      <c r="T83" s="6"/>
    </row>
    <row r="84" spans="1:20">
      <c r="C84" s="45"/>
      <c r="D84" s="45"/>
      <c r="E84" s="47"/>
      <c r="F84" s="42"/>
      <c r="G84" s="39"/>
      <c r="H84" s="42"/>
      <c r="I84" s="48"/>
      <c r="J84" s="42"/>
      <c r="K84" s="70"/>
      <c r="M84" s="6"/>
      <c r="N84" s="49"/>
      <c r="O84" s="6"/>
      <c r="P84" s="6"/>
      <c r="Q84" s="6"/>
      <c r="R84" s="6"/>
      <c r="S84" s="6"/>
      <c r="T84" s="6"/>
    </row>
    <row r="85" spans="1:20">
      <c r="C85" s="45"/>
      <c r="D85" s="45"/>
      <c r="E85" s="47"/>
      <c r="F85" s="42"/>
      <c r="G85" s="39"/>
      <c r="H85" s="42"/>
      <c r="I85" s="48"/>
      <c r="J85" s="42"/>
      <c r="K85" s="42"/>
      <c r="M85" s="6"/>
      <c r="N85" s="49"/>
      <c r="O85" s="6"/>
      <c r="P85" s="6"/>
      <c r="Q85" s="6"/>
      <c r="R85" s="6"/>
      <c r="S85" s="6"/>
      <c r="T85" s="6"/>
    </row>
    <row r="86" spans="1:20">
      <c r="C86" s="45"/>
      <c r="D86" s="45"/>
      <c r="E86" s="47"/>
      <c r="F86" s="42"/>
      <c r="G86" s="39"/>
      <c r="H86" s="42"/>
      <c r="I86" s="48"/>
      <c r="J86" s="42"/>
      <c r="K86" s="70"/>
      <c r="M86" s="6"/>
      <c r="N86" s="49"/>
      <c r="O86" s="6"/>
      <c r="P86" s="6"/>
      <c r="Q86" s="6"/>
      <c r="R86" s="6"/>
      <c r="S86" s="6"/>
      <c r="T86" s="6"/>
    </row>
    <row r="87" spans="1:20">
      <c r="E87" s="47"/>
      <c r="F87" s="42"/>
      <c r="H87" s="42"/>
      <c r="I87" s="54"/>
      <c r="J87" s="42"/>
      <c r="K87" s="42"/>
      <c r="M87" s="6"/>
      <c r="N87" s="6"/>
      <c r="O87" s="6"/>
      <c r="P87" s="6"/>
      <c r="Q87" s="6"/>
      <c r="R87" s="6"/>
      <c r="S87" s="6"/>
      <c r="T87" s="6"/>
    </row>
    <row r="88" spans="1:20" ht="13.5" thickBot="1">
      <c r="C88" s="58"/>
      <c r="D88" s="58"/>
      <c r="E88" s="47"/>
      <c r="F88" s="55"/>
      <c r="H88" s="59">
        <f>SUM(H58:H87)</f>
        <v>1769695.6</v>
      </c>
      <c r="I88" s="54"/>
      <c r="J88" s="57">
        <f>SUM(J58:J87)</f>
        <v>1125573</v>
      </c>
      <c r="K88" s="55"/>
      <c r="M88" s="55"/>
      <c r="N88" s="55"/>
      <c r="O88" s="55"/>
      <c r="P88" s="55"/>
      <c r="Q88" s="55"/>
      <c r="R88" s="6"/>
      <c r="S88" s="49"/>
      <c r="T88" s="6"/>
    </row>
    <row r="89" spans="1:20" ht="13.5" thickTop="1">
      <c r="C89" s="58"/>
      <c r="D89" s="58"/>
      <c r="E89" s="47"/>
      <c r="F89" s="55"/>
      <c r="H89" s="55"/>
      <c r="I89" s="54"/>
      <c r="J89" s="77"/>
      <c r="K89" s="55"/>
      <c r="M89" s="55"/>
      <c r="N89" s="55"/>
      <c r="O89" s="55"/>
      <c r="P89" s="55"/>
      <c r="Q89" s="55"/>
      <c r="R89" s="6"/>
      <c r="S89" s="49"/>
      <c r="T89" s="6"/>
    </row>
    <row r="90" spans="1:20">
      <c r="E90" s="47"/>
      <c r="F90" s="42"/>
      <c r="H90" s="42"/>
      <c r="I90" s="54"/>
      <c r="J90" s="42"/>
      <c r="K90" s="42"/>
      <c r="M90" s="6"/>
      <c r="N90" s="6"/>
      <c r="O90" s="6"/>
      <c r="P90" s="6"/>
      <c r="Q90" s="6"/>
      <c r="R90" s="6"/>
      <c r="S90" s="6"/>
      <c r="T90" s="6"/>
    </row>
    <row r="91" spans="1:20">
      <c r="A91" t="str">
        <f ca="1">CELL("filename")</f>
        <v xml:space="preserve">C:\Users\Felienne\Enron\EnronSpreadsheets\[danny_mccarty__4631__2002_Plan_Contracted_uncontracted_stretch 9_21_01.xls]North by Risk Category </v>
      </c>
      <c r="E91" s="47"/>
      <c r="F91" s="42"/>
      <c r="G91" s="12"/>
      <c r="H91" s="60"/>
      <c r="I91" s="61"/>
      <c r="J91" s="62"/>
      <c r="K91" s="42"/>
      <c r="M91" s="6"/>
      <c r="N91" s="6"/>
      <c r="O91" s="6"/>
      <c r="P91" s="6"/>
      <c r="Q91" s="6"/>
      <c r="R91" s="6"/>
      <c r="S91" s="6"/>
      <c r="T91" s="6"/>
    </row>
    <row r="92" spans="1:20" ht="15.75">
      <c r="E92" s="47"/>
      <c r="F92" s="42"/>
      <c r="G92" s="13"/>
      <c r="H92" s="63" t="s">
        <v>355</v>
      </c>
      <c r="I92" s="6"/>
      <c r="J92" s="64">
        <v>165313397</v>
      </c>
      <c r="K92" s="42"/>
      <c r="M92" s="55"/>
      <c r="N92" s="55"/>
      <c r="O92" s="55"/>
      <c r="P92" s="65"/>
      <c r="Q92" s="55"/>
      <c r="R92" s="56"/>
      <c r="S92" s="6"/>
      <c r="T92" s="6"/>
    </row>
    <row r="93" spans="1:20" ht="15.75">
      <c r="E93" s="47"/>
      <c r="F93" s="42"/>
      <c r="G93" s="13"/>
      <c r="H93" s="66"/>
      <c r="I93" s="6"/>
      <c r="J93" s="64"/>
      <c r="K93" s="42"/>
      <c r="M93" s="55"/>
      <c r="N93" s="55"/>
      <c r="O93" s="55"/>
      <c r="P93" s="55"/>
      <c r="Q93" s="55"/>
      <c r="R93" s="56"/>
      <c r="S93" s="6"/>
      <c r="T93" s="6"/>
    </row>
    <row r="94" spans="1:20" ht="15.75">
      <c r="E94" s="47"/>
      <c r="F94" s="42"/>
      <c r="G94" s="13"/>
      <c r="H94" s="66" t="s">
        <v>356</v>
      </c>
      <c r="I94" s="6"/>
      <c r="J94" s="64">
        <f>H53</f>
        <v>3025077.25</v>
      </c>
      <c r="K94" s="42"/>
      <c r="M94" s="55"/>
      <c r="N94" s="55"/>
      <c r="O94" s="55"/>
      <c r="P94" s="55"/>
      <c r="Q94" s="55"/>
      <c r="R94" s="56"/>
      <c r="S94" s="6"/>
      <c r="T94" s="6"/>
    </row>
    <row r="95" spans="1:20" ht="15.75">
      <c r="E95" s="47"/>
      <c r="G95" s="13"/>
      <c r="H95" s="66"/>
      <c r="I95" s="6"/>
      <c r="J95" s="64"/>
      <c r="K95" s="42"/>
      <c r="M95" s="55"/>
      <c r="N95" s="55"/>
      <c r="O95" s="55"/>
      <c r="P95" s="55"/>
      <c r="Q95" s="55"/>
      <c r="R95" s="56"/>
      <c r="S95" s="6"/>
      <c r="T95" s="6"/>
    </row>
    <row r="96" spans="1:20" ht="15.75">
      <c r="E96" s="47"/>
      <c r="G96" s="13"/>
      <c r="H96" s="66" t="s">
        <v>357</v>
      </c>
      <c r="I96" s="6"/>
      <c r="J96" s="64">
        <f>J88</f>
        <v>1125573</v>
      </c>
      <c r="K96" s="42"/>
      <c r="M96" s="55"/>
      <c r="N96" s="55"/>
      <c r="O96" s="55"/>
      <c r="P96" s="55"/>
      <c r="Q96" s="55"/>
      <c r="R96" s="56"/>
      <c r="S96" s="6"/>
      <c r="T96" s="6"/>
    </row>
    <row r="97" spans="5:20" ht="15.75">
      <c r="E97" s="47"/>
      <c r="G97" s="13"/>
      <c r="H97" s="66"/>
      <c r="I97" s="6"/>
      <c r="J97" s="64"/>
      <c r="K97" s="42"/>
      <c r="M97" s="55"/>
      <c r="N97" s="55"/>
      <c r="O97" s="55"/>
      <c r="P97" s="55"/>
      <c r="Q97" s="55"/>
      <c r="R97" s="56"/>
      <c r="S97" s="6"/>
      <c r="T97" s="6"/>
    </row>
    <row r="98" spans="5:20" ht="15.75">
      <c r="E98" s="47"/>
      <c r="G98" s="17"/>
      <c r="H98" s="67" t="s">
        <v>345</v>
      </c>
      <c r="I98" s="68"/>
      <c r="J98" s="69">
        <f>SUM(J92:J97)</f>
        <v>169464047.25</v>
      </c>
      <c r="K98" s="70"/>
      <c r="M98" s="55"/>
      <c r="N98" s="55"/>
      <c r="O98" s="55"/>
      <c r="P98" s="55"/>
      <c r="Q98" s="55"/>
      <c r="R98" s="56"/>
      <c r="S98" s="6"/>
      <c r="T98" s="6"/>
    </row>
    <row r="99" spans="5:20">
      <c r="E99" s="47"/>
      <c r="H99" s="42"/>
      <c r="I99" s="54"/>
      <c r="J99" s="42"/>
      <c r="K99" s="42"/>
      <c r="M99" s="6"/>
      <c r="N99" s="6"/>
      <c r="O99" s="6"/>
      <c r="P99" s="6"/>
      <c r="Q99" s="6"/>
      <c r="R99" s="56"/>
      <c r="S99" s="6"/>
      <c r="T99" s="6"/>
    </row>
    <row r="100" spans="5:20">
      <c r="I100" s="54"/>
    </row>
    <row r="101" spans="5:20">
      <c r="I101" s="54"/>
    </row>
    <row r="102" spans="5:20">
      <c r="I102" s="54"/>
    </row>
    <row r="103" spans="5:20">
      <c r="I103" s="54"/>
    </row>
    <row r="104" spans="5:20">
      <c r="I104" s="54"/>
    </row>
    <row r="105" spans="5:20">
      <c r="I105" s="54"/>
    </row>
    <row r="106" spans="5:20">
      <c r="I106" s="54"/>
    </row>
    <row r="107" spans="5:20">
      <c r="I107" s="54"/>
    </row>
    <row r="108" spans="5:20">
      <c r="I108" s="54"/>
    </row>
    <row r="109" spans="5:20">
      <c r="I109" s="54"/>
    </row>
    <row r="110" spans="5:20">
      <c r="I110" s="54"/>
    </row>
    <row r="111" spans="5:20">
      <c r="I111" s="54"/>
    </row>
    <row r="112" spans="5:20">
      <c r="I112" s="54"/>
    </row>
    <row r="113" spans="9:9">
      <c r="I113" s="54"/>
    </row>
    <row r="114" spans="9:9">
      <c r="I114" s="54"/>
    </row>
    <row r="115" spans="9:9">
      <c r="I115" s="54"/>
    </row>
    <row r="116" spans="9:9">
      <c r="I116" s="54"/>
    </row>
    <row r="117" spans="9:9">
      <c r="I117" s="54"/>
    </row>
    <row r="118" spans="9:9">
      <c r="I118" s="54"/>
    </row>
    <row r="119" spans="9:9">
      <c r="I119" s="54"/>
    </row>
    <row r="120" spans="9:9">
      <c r="I120" s="54"/>
    </row>
    <row r="121" spans="9:9">
      <c r="I121" s="54"/>
    </row>
    <row r="122" spans="9:9">
      <c r="I122" s="54"/>
    </row>
    <row r="123" spans="9:9">
      <c r="I123" s="54"/>
    </row>
    <row r="124" spans="9:9">
      <c r="I124" s="54"/>
    </row>
    <row r="125" spans="9:9">
      <c r="I125" s="54"/>
    </row>
    <row r="126" spans="9:9">
      <c r="I126" s="54"/>
    </row>
    <row r="127" spans="9:9">
      <c r="I127" s="54"/>
    </row>
    <row r="128" spans="9:9">
      <c r="I128" s="54"/>
    </row>
  </sheetData>
  <phoneticPr fontId="0" type="noConversion"/>
  <pageMargins left="0" right="0" top="0.3" bottom="0.28999999999999998" header="0.21" footer="0.2"/>
  <pageSetup scale="58" orientation="landscape" r:id="rId1"/>
  <headerFooter alignWithMargins="0">
    <oddFooter>&amp;L&amp;D
&amp;T&amp;CPage &amp;P of &amp;N&amp;R&amp;F
&amp;A</oddFooter>
  </headerFooter>
  <rowBreaks count="1" manualBreakCount="1">
    <brk id="5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B66" zoomScale="60" zoomScaleNormal="60" workbookViewId="0">
      <selection activeCell="B3" sqref="B3"/>
    </sheetView>
  </sheetViews>
  <sheetFormatPr defaultRowHeight="12.75"/>
  <cols>
    <col min="1" max="1" width="0" hidden="1" customWidth="1"/>
    <col min="2" max="2" width="16.42578125" customWidth="1"/>
    <col min="3" max="3" width="46" customWidth="1"/>
    <col min="4" max="5" width="10.28515625" customWidth="1"/>
    <col min="6" max="6" width="10.42578125" customWidth="1"/>
    <col min="7" max="7" width="12.28515625" customWidth="1"/>
    <col min="9" max="9" width="18.7109375" customWidth="1"/>
    <col min="10" max="10" width="12" customWidth="1"/>
    <col min="11" max="11" width="19.7109375" customWidth="1"/>
    <col min="12" max="12" width="42" customWidth="1"/>
    <col min="13" max="13" width="2.42578125" customWidth="1"/>
    <col min="14" max="15" width="12.85546875" customWidth="1"/>
    <col min="16" max="16" width="12.7109375" customWidth="1"/>
    <col min="17" max="18" width="12.85546875" customWidth="1"/>
    <col min="19" max="19" width="14.28515625" customWidth="1"/>
    <col min="20" max="20" width="11.28515625" customWidth="1"/>
  </cols>
  <sheetData>
    <row r="1" spans="1:21" ht="26.25">
      <c r="B1" s="36" t="s">
        <v>267</v>
      </c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21" ht="15.75">
      <c r="B2" s="38" t="s">
        <v>354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21">
      <c r="C3" s="2"/>
    </row>
    <row r="4" spans="1:21">
      <c r="N4" s="6"/>
      <c r="O4" s="6"/>
      <c r="P4" s="6"/>
      <c r="Q4" s="6"/>
      <c r="R4" s="6"/>
      <c r="S4" s="6"/>
      <c r="T4" s="6"/>
      <c r="U4" s="6"/>
    </row>
    <row r="5" spans="1:21">
      <c r="B5" s="39"/>
      <c r="C5" s="39"/>
      <c r="D5" s="39"/>
      <c r="E5" s="39"/>
      <c r="F5" s="39" t="s">
        <v>11</v>
      </c>
      <c r="G5" s="39" t="s">
        <v>11</v>
      </c>
      <c r="H5" s="39"/>
      <c r="I5" s="39" t="s">
        <v>1</v>
      </c>
      <c r="J5" s="40" t="s">
        <v>12</v>
      </c>
      <c r="K5" s="39" t="s">
        <v>13</v>
      </c>
      <c r="L5" s="39"/>
      <c r="N5" s="6"/>
      <c r="O5" s="6"/>
      <c r="P5" s="6"/>
      <c r="Q5" s="6"/>
      <c r="R5" s="6"/>
      <c r="S5" s="6"/>
      <c r="T5" s="6"/>
      <c r="U5" s="6"/>
    </row>
    <row r="6" spans="1:21">
      <c r="B6" s="41" t="s">
        <v>14</v>
      </c>
      <c r="C6" s="41" t="s">
        <v>15</v>
      </c>
      <c r="D6" s="41" t="s">
        <v>16</v>
      </c>
      <c r="E6" s="41" t="s">
        <v>17</v>
      </c>
      <c r="F6" s="41" t="s">
        <v>17</v>
      </c>
      <c r="G6" s="41" t="s">
        <v>18</v>
      </c>
      <c r="H6" s="41" t="s">
        <v>19</v>
      </c>
      <c r="I6" s="41" t="s">
        <v>18</v>
      </c>
      <c r="J6" s="41" t="s">
        <v>20</v>
      </c>
      <c r="K6" s="41" t="s">
        <v>18</v>
      </c>
      <c r="L6" s="41" t="s">
        <v>21</v>
      </c>
      <c r="N6" s="40"/>
      <c r="O6" s="40"/>
      <c r="P6" s="40"/>
      <c r="Q6" s="40"/>
      <c r="R6" s="40"/>
      <c r="S6" s="6"/>
      <c r="T6" s="6"/>
      <c r="U6" s="6"/>
    </row>
    <row r="7" spans="1:21" ht="9.75" customHeight="1">
      <c r="G7" s="42"/>
      <c r="K7" s="42"/>
      <c r="L7" s="42"/>
      <c r="N7" s="6"/>
      <c r="O7" s="6"/>
      <c r="P7" s="6"/>
      <c r="Q7" s="6"/>
      <c r="R7" s="6"/>
      <c r="S7" s="6"/>
      <c r="T7" s="6"/>
      <c r="U7" s="6"/>
    </row>
    <row r="8" spans="1:21" ht="20.25">
      <c r="B8" s="43" t="s">
        <v>352</v>
      </c>
      <c r="C8" s="4"/>
      <c r="D8" s="43"/>
      <c r="E8" s="43"/>
      <c r="F8" s="43"/>
      <c r="G8" s="43"/>
      <c r="H8" s="43"/>
      <c r="I8" s="43"/>
      <c r="J8" s="43"/>
      <c r="K8" s="43"/>
      <c r="L8" s="43"/>
      <c r="N8" s="6"/>
      <c r="O8" s="6"/>
      <c r="P8" s="6"/>
      <c r="Q8" s="6"/>
      <c r="R8" s="6"/>
      <c r="S8" s="6"/>
      <c r="T8" s="6"/>
      <c r="U8" s="6"/>
    </row>
    <row r="9" spans="1:21" ht="12" customHeight="1">
      <c r="C9" s="262" t="s">
        <v>264</v>
      </c>
      <c r="G9" s="42"/>
      <c r="K9" s="42"/>
      <c r="L9" s="42"/>
      <c r="N9" s="6"/>
      <c r="O9" s="6"/>
      <c r="P9" s="6"/>
      <c r="Q9" s="6"/>
      <c r="R9" s="6"/>
      <c r="S9" s="6"/>
      <c r="T9" s="6"/>
      <c r="U9" s="6"/>
    </row>
    <row r="10" spans="1:21" ht="12" customHeight="1">
      <c r="G10" s="42"/>
      <c r="K10" s="42"/>
      <c r="L10" s="42"/>
      <c r="N10" s="6"/>
      <c r="O10" s="6"/>
      <c r="P10" s="6"/>
      <c r="Q10" s="6"/>
      <c r="R10" s="6"/>
      <c r="S10" s="6"/>
      <c r="T10" s="6"/>
      <c r="U10" s="6"/>
    </row>
    <row r="11" spans="1:21">
      <c r="A11" t="s">
        <v>268</v>
      </c>
      <c r="B11" t="s">
        <v>23</v>
      </c>
      <c r="C11" s="25" t="s">
        <v>269</v>
      </c>
      <c r="D11" s="45">
        <v>30000</v>
      </c>
      <c r="E11" s="94">
        <v>0.06</v>
      </c>
      <c r="F11" s="47">
        <f>+E11*30.4</f>
        <v>1.8239999999999998</v>
      </c>
      <c r="G11" s="42">
        <f>+F11*D11</f>
        <v>54719.999999999993</v>
      </c>
      <c r="H11" s="39">
        <v>7</v>
      </c>
      <c r="I11" s="42">
        <f>+H11*G11</f>
        <v>383039.99999999994</v>
      </c>
      <c r="J11" s="48"/>
      <c r="K11" s="42"/>
      <c r="L11" s="70" t="s">
        <v>270</v>
      </c>
      <c r="N11" s="50"/>
      <c r="O11" s="49"/>
      <c r="P11" s="51"/>
      <c r="Q11" s="6"/>
      <c r="R11" s="6"/>
      <c r="S11" s="6"/>
      <c r="T11" s="6"/>
      <c r="U11" s="6"/>
    </row>
    <row r="12" spans="1:21">
      <c r="A12" t="s">
        <v>271</v>
      </c>
      <c r="C12" s="25" t="s">
        <v>272</v>
      </c>
      <c r="D12" s="45">
        <v>20000</v>
      </c>
      <c r="E12" s="265"/>
      <c r="F12" s="47"/>
      <c r="G12" s="42"/>
      <c r="H12" s="39"/>
      <c r="I12" s="42"/>
      <c r="J12" s="48"/>
      <c r="K12" s="42"/>
      <c r="L12" s="70"/>
      <c r="N12" s="50"/>
      <c r="O12" s="49"/>
      <c r="P12" s="51"/>
      <c r="Q12" s="6"/>
      <c r="R12" s="6"/>
      <c r="S12" s="6"/>
      <c r="T12" s="6"/>
      <c r="U12" s="6"/>
    </row>
    <row r="13" spans="1:21">
      <c r="I13" s="245"/>
      <c r="J13" s="88"/>
      <c r="K13" s="42"/>
      <c r="L13" s="70"/>
      <c r="N13" s="52"/>
      <c r="O13" s="6"/>
      <c r="P13" s="6"/>
      <c r="Q13" s="6"/>
      <c r="R13" s="6"/>
      <c r="S13" s="6"/>
      <c r="T13" s="6"/>
      <c r="U13" s="6"/>
    </row>
    <row r="14" spans="1:21">
      <c r="D14" s="45"/>
      <c r="E14" s="45"/>
      <c r="F14" s="47"/>
      <c r="G14" s="42"/>
      <c r="H14" s="39"/>
      <c r="I14" s="42"/>
      <c r="J14" s="48"/>
      <c r="K14" s="42"/>
      <c r="L14" s="42"/>
      <c r="N14" s="52"/>
      <c r="O14" s="6"/>
      <c r="P14" s="6"/>
      <c r="Q14" s="6"/>
      <c r="R14" s="6"/>
      <c r="S14" s="6"/>
      <c r="T14" s="6"/>
      <c r="U14" s="6"/>
    </row>
    <row r="15" spans="1:21">
      <c r="A15" t="s">
        <v>273</v>
      </c>
      <c r="B15" t="s">
        <v>23</v>
      </c>
      <c r="C15" t="s">
        <v>274</v>
      </c>
      <c r="D15" s="45">
        <v>5000</v>
      </c>
      <c r="E15" s="94">
        <v>0.14000000000000001</v>
      </c>
      <c r="F15" s="97">
        <f>+E15*30.4</f>
        <v>4.2560000000000002</v>
      </c>
      <c r="G15" s="42">
        <f>+F15*D15</f>
        <v>21280</v>
      </c>
      <c r="H15" s="39">
        <v>7</v>
      </c>
      <c r="I15" s="42">
        <f>+H15*G15</f>
        <v>148960</v>
      </c>
      <c r="J15" s="48"/>
      <c r="K15" s="42"/>
      <c r="L15" s="70" t="s">
        <v>275</v>
      </c>
      <c r="N15" s="50"/>
      <c r="O15" s="49"/>
      <c r="P15" s="51"/>
      <c r="Q15" s="6"/>
      <c r="R15" s="6"/>
      <c r="S15" s="6"/>
      <c r="T15" s="6"/>
      <c r="U15" s="6"/>
    </row>
    <row r="16" spans="1:21">
      <c r="C16" t="s">
        <v>276</v>
      </c>
      <c r="D16" s="45">
        <v>10000</v>
      </c>
      <c r="E16" s="94">
        <v>0.06</v>
      </c>
      <c r="F16" s="266">
        <f>+E16*30.4</f>
        <v>1.8239999999999998</v>
      </c>
      <c r="G16" s="42">
        <f>+F16*D16</f>
        <v>18240</v>
      </c>
      <c r="H16" s="39">
        <v>7</v>
      </c>
      <c r="I16" s="42">
        <f>+H16*G16</f>
        <v>127680</v>
      </c>
      <c r="J16" s="48"/>
      <c r="K16" s="42"/>
      <c r="L16" s="70" t="s">
        <v>270</v>
      </c>
      <c r="N16" s="50"/>
      <c r="O16" s="49"/>
      <c r="P16" s="51"/>
      <c r="Q16" s="6"/>
      <c r="R16" s="6"/>
      <c r="S16" s="6"/>
      <c r="T16" s="6"/>
      <c r="U16" s="6"/>
    </row>
    <row r="17" spans="1:21">
      <c r="I17" s="245"/>
      <c r="J17" s="88"/>
      <c r="K17" s="42"/>
      <c r="L17" s="70"/>
      <c r="N17" s="50"/>
      <c r="O17" s="49"/>
      <c r="P17" s="51"/>
      <c r="Q17" s="6"/>
      <c r="R17" s="6"/>
      <c r="S17" s="6"/>
      <c r="T17" s="6"/>
      <c r="U17" s="6"/>
    </row>
    <row r="18" spans="1:21">
      <c r="A18" t="s">
        <v>277</v>
      </c>
      <c r="B18" t="s">
        <v>278</v>
      </c>
      <c r="C18" t="s">
        <v>279</v>
      </c>
      <c r="D18" s="45">
        <v>10000</v>
      </c>
      <c r="E18" s="46">
        <v>0.16</v>
      </c>
      <c r="F18" s="47">
        <f>+E18*30.4</f>
        <v>4.8639999999999999</v>
      </c>
      <c r="G18" s="42">
        <f>+F18*D18</f>
        <v>48640</v>
      </c>
      <c r="H18" s="39">
        <v>5</v>
      </c>
      <c r="I18" s="42">
        <f>+H18*G18</f>
        <v>243200</v>
      </c>
      <c r="J18" s="48"/>
      <c r="K18" s="42"/>
      <c r="L18" s="70"/>
      <c r="N18" s="6"/>
      <c r="O18" s="6"/>
      <c r="P18" s="6"/>
      <c r="Q18" s="6"/>
      <c r="R18" s="6"/>
      <c r="S18" s="6"/>
      <c r="T18" s="6"/>
      <c r="U18" s="6"/>
    </row>
    <row r="19" spans="1:21">
      <c r="D19" s="45"/>
      <c r="E19" s="46"/>
      <c r="F19" s="47"/>
      <c r="G19" s="42"/>
      <c r="H19" s="39"/>
      <c r="I19" s="42"/>
      <c r="J19" s="48"/>
      <c r="K19" s="42"/>
      <c r="L19" s="70"/>
      <c r="N19" s="6"/>
      <c r="O19" s="6"/>
      <c r="P19" s="6"/>
      <c r="Q19" s="6"/>
      <c r="R19" s="6"/>
      <c r="S19" s="6"/>
      <c r="T19" s="6"/>
      <c r="U19" s="6"/>
    </row>
    <row r="20" spans="1:21">
      <c r="A20" t="s">
        <v>280</v>
      </c>
      <c r="B20" t="s">
        <v>281</v>
      </c>
      <c r="C20" s="267" t="s">
        <v>348</v>
      </c>
      <c r="D20" s="45">
        <v>8000</v>
      </c>
      <c r="E20" s="270">
        <f>+F20/30.4</f>
        <v>0.39671052631578951</v>
      </c>
      <c r="F20" s="47">
        <v>12.06</v>
      </c>
      <c r="G20" s="42">
        <f>+F20*D20</f>
        <v>96480</v>
      </c>
      <c r="H20" s="39">
        <v>5</v>
      </c>
      <c r="I20" s="268">
        <f>+H20*G20</f>
        <v>482400</v>
      </c>
      <c r="J20" s="269"/>
      <c r="K20" s="195"/>
      <c r="L20" s="42"/>
      <c r="N20" s="55"/>
      <c r="O20" s="55"/>
      <c r="P20" s="55"/>
      <c r="Q20" s="55"/>
      <c r="R20" s="55"/>
      <c r="S20" s="6"/>
      <c r="T20" s="49"/>
      <c r="U20" s="6"/>
    </row>
    <row r="21" spans="1:21">
      <c r="C21" s="25"/>
      <c r="D21" s="45"/>
      <c r="E21" s="45"/>
      <c r="F21" s="47"/>
      <c r="G21" s="42"/>
      <c r="H21" s="39" t="s">
        <v>282</v>
      </c>
      <c r="I21" s="55">
        <f>SUM(I11:I20)</f>
        <v>1385280</v>
      </c>
      <c r="J21" s="48"/>
      <c r="K21" s="42"/>
      <c r="L21" s="42"/>
      <c r="N21" s="50"/>
      <c r="O21" s="49"/>
      <c r="P21" s="51"/>
      <c r="Q21" s="6"/>
      <c r="R21" s="6"/>
      <c r="S21" s="6"/>
      <c r="T21" s="6"/>
      <c r="U21" s="6"/>
    </row>
    <row r="22" spans="1:21">
      <c r="C22" s="262" t="s">
        <v>265</v>
      </c>
      <c r="D22" s="45"/>
      <c r="E22" s="45"/>
      <c r="F22" s="47"/>
      <c r="G22" s="42"/>
      <c r="H22" s="39"/>
      <c r="I22" s="42"/>
      <c r="J22" s="48"/>
      <c r="K22" s="42"/>
      <c r="L22" s="42"/>
      <c r="N22" s="50"/>
      <c r="O22" s="49"/>
      <c r="P22" s="51"/>
      <c r="Q22" s="6"/>
      <c r="R22" s="6"/>
      <c r="S22" s="6"/>
      <c r="T22" s="6"/>
      <c r="U22" s="6"/>
    </row>
    <row r="23" spans="1:21">
      <c r="C23" s="25"/>
      <c r="D23" s="45"/>
      <c r="E23" s="45"/>
      <c r="F23" s="47"/>
      <c r="G23" s="42"/>
      <c r="H23" s="39"/>
      <c r="I23" s="42"/>
      <c r="J23" s="48"/>
      <c r="K23" s="42"/>
      <c r="L23" s="42"/>
      <c r="N23" s="50"/>
      <c r="O23" s="49"/>
      <c r="P23" s="51"/>
      <c r="Q23" s="6"/>
      <c r="R23" s="6"/>
      <c r="S23" s="6"/>
      <c r="T23" s="6"/>
      <c r="U23" s="6"/>
    </row>
    <row r="24" spans="1:21">
      <c r="A24" t="s">
        <v>283</v>
      </c>
      <c r="B24" t="s">
        <v>278</v>
      </c>
      <c r="C24" s="25" t="s">
        <v>284</v>
      </c>
      <c r="D24" s="45">
        <v>50000</v>
      </c>
      <c r="E24" s="94">
        <f>+F24/30.4</f>
        <v>9.8684210526315791E-2</v>
      </c>
      <c r="F24" s="47">
        <v>3</v>
      </c>
      <c r="G24" s="42">
        <f>+F24*D24</f>
        <v>150000</v>
      </c>
      <c r="H24" s="39">
        <v>5</v>
      </c>
      <c r="I24" s="42">
        <f>+H24*G24</f>
        <v>750000</v>
      </c>
      <c r="J24" s="48"/>
      <c r="K24" s="42"/>
      <c r="L24" s="42"/>
      <c r="N24" s="50"/>
      <c r="O24" s="49"/>
      <c r="P24" s="51"/>
      <c r="Q24" s="6"/>
      <c r="R24" s="6"/>
      <c r="S24" s="6"/>
      <c r="T24" s="6"/>
      <c r="U24" s="6"/>
    </row>
    <row r="25" spans="1:21">
      <c r="C25" s="25"/>
      <c r="D25" s="45"/>
      <c r="E25" s="45"/>
      <c r="F25" s="47"/>
      <c r="G25" s="42"/>
      <c r="H25" s="39"/>
      <c r="I25" s="42"/>
      <c r="J25" s="48"/>
      <c r="K25" s="42"/>
      <c r="L25" s="42"/>
      <c r="N25" s="50"/>
      <c r="O25" s="49"/>
      <c r="P25" s="51"/>
      <c r="Q25" s="6"/>
      <c r="R25" s="6"/>
      <c r="S25" s="6"/>
      <c r="T25" s="6"/>
      <c r="U25" s="6"/>
    </row>
    <row r="26" spans="1:21">
      <c r="A26" t="s">
        <v>285</v>
      </c>
      <c r="B26" t="s">
        <v>286</v>
      </c>
      <c r="C26" s="25" t="s">
        <v>287</v>
      </c>
      <c r="D26" s="45">
        <v>20000</v>
      </c>
      <c r="E26" s="47">
        <v>0.06</v>
      </c>
      <c r="F26" s="47">
        <f>+E26*30.4</f>
        <v>1.8239999999999998</v>
      </c>
      <c r="G26" s="42">
        <f>+F26*D26</f>
        <v>36480</v>
      </c>
      <c r="H26" s="39">
        <v>7</v>
      </c>
      <c r="I26" s="42">
        <f>+H26*G26</f>
        <v>255360</v>
      </c>
      <c r="J26" s="48"/>
      <c r="K26" s="42"/>
      <c r="L26" s="70" t="s">
        <v>288</v>
      </c>
      <c r="N26" s="50"/>
      <c r="O26" s="49"/>
      <c r="P26" s="51"/>
      <c r="Q26" s="6"/>
      <c r="R26" s="6"/>
      <c r="S26" s="6"/>
      <c r="T26" s="6"/>
      <c r="U26" s="6"/>
    </row>
    <row r="27" spans="1:21">
      <c r="A27" t="s">
        <v>289</v>
      </c>
      <c r="C27" s="25" t="s">
        <v>290</v>
      </c>
      <c r="D27" s="45">
        <v>20000</v>
      </c>
      <c r="E27" s="94">
        <v>1.5100000000000001E-2</v>
      </c>
      <c r="F27" s="47">
        <f>+E27*30.4</f>
        <v>0.45904</v>
      </c>
      <c r="G27" s="42">
        <f>+F27*D27</f>
        <v>9180.7999999999993</v>
      </c>
      <c r="H27" s="39">
        <v>2</v>
      </c>
      <c r="I27" s="42">
        <f>+H27*G27+2</f>
        <v>18363.599999999999</v>
      </c>
      <c r="J27" s="88"/>
      <c r="K27" s="42"/>
      <c r="L27" s="70" t="s">
        <v>291</v>
      </c>
      <c r="N27" s="50"/>
      <c r="O27" s="49"/>
      <c r="P27" s="51"/>
      <c r="Q27" s="6"/>
      <c r="R27" s="6"/>
      <c r="S27" s="6"/>
      <c r="T27" s="6"/>
      <c r="U27" s="6"/>
    </row>
    <row r="28" spans="1:21">
      <c r="C28" s="25"/>
      <c r="D28" s="45"/>
      <c r="E28" s="45"/>
      <c r="F28" s="47"/>
      <c r="G28" s="42"/>
      <c r="H28" s="39"/>
      <c r="I28" s="42"/>
      <c r="J28" s="48"/>
      <c r="K28" s="42"/>
      <c r="L28" s="42"/>
      <c r="N28" s="50"/>
      <c r="O28" s="49"/>
      <c r="P28" s="51"/>
      <c r="Q28" s="6"/>
      <c r="R28" s="6"/>
      <c r="S28" s="6"/>
      <c r="T28" s="6"/>
      <c r="U28" s="6"/>
    </row>
    <row r="29" spans="1:21">
      <c r="A29" t="s">
        <v>292</v>
      </c>
      <c r="B29" t="s">
        <v>286</v>
      </c>
      <c r="C29" s="25" t="s">
        <v>293</v>
      </c>
      <c r="D29" s="45">
        <v>18600</v>
      </c>
      <c r="E29" s="94">
        <v>1.5100000000000001E-2</v>
      </c>
      <c r="F29" s="47">
        <f>+E29*30.4</f>
        <v>0.45904</v>
      </c>
      <c r="G29" s="42">
        <f>+F29*D29</f>
        <v>8538.1440000000002</v>
      </c>
      <c r="H29" s="39">
        <v>2</v>
      </c>
      <c r="I29" s="42">
        <f>+H29*G29+2</f>
        <v>17078.288</v>
      </c>
      <c r="J29" s="48"/>
      <c r="K29" s="42"/>
      <c r="L29" s="70" t="s">
        <v>294</v>
      </c>
      <c r="N29" s="50"/>
      <c r="O29" s="49"/>
      <c r="P29" s="51"/>
      <c r="Q29" s="6"/>
      <c r="R29" s="6"/>
      <c r="S29" s="6"/>
      <c r="T29" s="6"/>
      <c r="U29" s="6"/>
    </row>
    <row r="30" spans="1:21">
      <c r="C30" s="25"/>
      <c r="D30" s="45"/>
      <c r="E30" s="94"/>
      <c r="F30" s="47"/>
      <c r="G30" s="42"/>
      <c r="H30" s="39"/>
      <c r="I30" s="42"/>
      <c r="J30" s="48"/>
      <c r="K30" s="42"/>
      <c r="L30" s="70"/>
      <c r="N30" s="50"/>
      <c r="O30" s="49"/>
      <c r="P30" s="51"/>
      <c r="Q30" s="6"/>
      <c r="R30" s="6"/>
      <c r="S30" s="6"/>
      <c r="T30" s="6"/>
      <c r="U30" s="6"/>
    </row>
    <row r="31" spans="1:21">
      <c r="A31" t="s">
        <v>295</v>
      </c>
      <c r="B31" t="s">
        <v>296</v>
      </c>
      <c r="C31" s="25" t="s">
        <v>297</v>
      </c>
      <c r="D31" s="45">
        <f>17882+6847</f>
        <v>24729</v>
      </c>
      <c r="E31" s="94">
        <f>+F31/30.4</f>
        <v>0.19736842105263158</v>
      </c>
      <c r="F31" s="47">
        <v>6</v>
      </c>
      <c r="G31" s="42">
        <f>+F31*D31</f>
        <v>148374</v>
      </c>
      <c r="H31" s="39">
        <v>2</v>
      </c>
      <c r="I31" s="42">
        <f>+H31*G31</f>
        <v>296748</v>
      </c>
      <c r="J31" s="48"/>
      <c r="K31" s="42"/>
      <c r="L31" s="70" t="s">
        <v>298</v>
      </c>
      <c r="N31" s="50"/>
      <c r="O31" s="49"/>
      <c r="P31" s="51"/>
      <c r="Q31" s="6"/>
      <c r="R31" s="6"/>
      <c r="S31" s="6"/>
      <c r="T31" s="6"/>
      <c r="U31" s="6"/>
    </row>
    <row r="32" spans="1:21">
      <c r="C32" s="25"/>
      <c r="D32" s="45"/>
      <c r="E32" s="94"/>
      <c r="F32" s="47"/>
      <c r="G32" s="42"/>
      <c r="H32" s="39"/>
      <c r="I32" s="42"/>
      <c r="J32" s="48"/>
      <c r="K32" s="42"/>
      <c r="L32" s="70"/>
      <c r="N32" s="50"/>
      <c r="O32" s="49"/>
      <c r="P32" s="51"/>
      <c r="Q32" s="6"/>
      <c r="R32" s="6"/>
      <c r="S32" s="6"/>
      <c r="T32" s="6"/>
      <c r="U32" s="6"/>
    </row>
    <row r="33" spans="1:21">
      <c r="A33" t="s">
        <v>299</v>
      </c>
      <c r="B33" t="s">
        <v>48</v>
      </c>
      <c r="C33" t="s">
        <v>300</v>
      </c>
      <c r="D33" s="45">
        <v>5000</v>
      </c>
      <c r="E33" s="270">
        <f>+F33/30.4</f>
        <v>0.10555451127819548</v>
      </c>
      <c r="F33" s="47">
        <f>+G33/D33</f>
        <v>3.2088571428571426</v>
      </c>
      <c r="G33" s="42">
        <f>+I33/H33</f>
        <v>16044.285714285714</v>
      </c>
      <c r="H33" s="39">
        <v>7</v>
      </c>
      <c r="I33" s="42">
        <v>112310</v>
      </c>
      <c r="J33" s="269"/>
      <c r="K33" s="195"/>
      <c r="L33" s="42"/>
      <c r="N33" s="55"/>
      <c r="O33" s="55"/>
      <c r="P33" s="55"/>
      <c r="Q33" s="55"/>
      <c r="R33" s="55"/>
      <c r="S33" s="6"/>
      <c r="T33" s="49"/>
      <c r="U33" s="6"/>
    </row>
    <row r="34" spans="1:21">
      <c r="D34" s="45"/>
      <c r="E34" s="45"/>
      <c r="F34" s="47"/>
      <c r="G34" s="42"/>
      <c r="H34" s="39"/>
      <c r="I34" s="42"/>
      <c r="J34" s="54"/>
      <c r="K34" s="195"/>
      <c r="L34" s="42"/>
      <c r="N34" s="55"/>
      <c r="O34" s="55"/>
      <c r="P34" s="55"/>
      <c r="Q34" s="55"/>
      <c r="R34" s="55"/>
      <c r="S34" s="6"/>
      <c r="T34" s="49"/>
      <c r="U34" s="6"/>
    </row>
    <row r="35" spans="1:21">
      <c r="A35" t="s">
        <v>301</v>
      </c>
      <c r="B35" t="s">
        <v>48</v>
      </c>
      <c r="C35" s="267" t="s">
        <v>302</v>
      </c>
      <c r="D35" s="45">
        <v>1886</v>
      </c>
      <c r="E35" s="46">
        <f>+F35/30.4</f>
        <v>0.39671052631578951</v>
      </c>
      <c r="F35" s="47">
        <f>11.994+0.066</f>
        <v>12.06</v>
      </c>
      <c r="G35" s="42">
        <f>+F35*D35</f>
        <v>22745.16</v>
      </c>
      <c r="H35" s="39">
        <v>5</v>
      </c>
      <c r="I35" s="42">
        <f>+H35*G35</f>
        <v>113725.8</v>
      </c>
      <c r="J35" s="269"/>
      <c r="K35" s="195"/>
      <c r="L35" s="42"/>
      <c r="N35" s="55"/>
      <c r="O35" s="55"/>
      <c r="P35" s="55"/>
      <c r="Q35" s="55"/>
      <c r="R35" s="55"/>
      <c r="S35" s="6"/>
      <c r="T35" s="49"/>
      <c r="U35" s="6"/>
    </row>
    <row r="36" spans="1:21">
      <c r="C36" s="267"/>
      <c r="D36" s="45">
        <v>1698</v>
      </c>
      <c r="E36" s="46">
        <f>+F36/30.4</f>
        <v>0.39671052631578951</v>
      </c>
      <c r="F36" s="47">
        <f>11.994+0.066</f>
        <v>12.06</v>
      </c>
      <c r="G36" s="42">
        <f>+F36*D36</f>
        <v>20477.88</v>
      </c>
      <c r="H36" s="39">
        <v>2</v>
      </c>
      <c r="I36" s="268">
        <f>+H36*G36</f>
        <v>40955.760000000002</v>
      </c>
      <c r="J36" s="271"/>
      <c r="K36" s="195"/>
      <c r="L36" s="42"/>
      <c r="N36" s="55"/>
      <c r="O36" s="55"/>
      <c r="P36" s="55"/>
      <c r="Q36" s="55"/>
      <c r="R36" s="55"/>
      <c r="S36" s="6"/>
      <c r="T36" s="49"/>
      <c r="U36" s="6"/>
    </row>
    <row r="37" spans="1:21">
      <c r="C37" s="267"/>
      <c r="D37" s="45"/>
      <c r="E37" s="46"/>
      <c r="F37" s="47"/>
      <c r="G37" s="42"/>
      <c r="H37" s="39" t="s">
        <v>282</v>
      </c>
      <c r="I37" s="42">
        <f>SUM(I24:I36)</f>
        <v>1604541.4480000001</v>
      </c>
      <c r="J37" s="271"/>
      <c r="K37" s="195"/>
      <c r="L37" s="42"/>
      <c r="N37" s="55"/>
      <c r="O37" s="55"/>
      <c r="P37" s="55"/>
      <c r="Q37" s="55"/>
      <c r="R37" s="55"/>
      <c r="S37" s="6"/>
      <c r="T37" s="49"/>
      <c r="U37" s="6"/>
    </row>
    <row r="38" spans="1:21">
      <c r="C38" s="272" t="s">
        <v>266</v>
      </c>
      <c r="D38" s="45"/>
      <c r="E38" s="46"/>
      <c r="F38" s="47"/>
      <c r="G38" s="42"/>
      <c r="H38" s="39"/>
      <c r="I38" s="42"/>
      <c r="J38" s="271"/>
      <c r="K38" s="195"/>
      <c r="L38" s="42"/>
      <c r="N38" s="55"/>
      <c r="O38" s="55"/>
      <c r="P38" s="55"/>
      <c r="Q38" s="55"/>
      <c r="R38" s="55"/>
      <c r="S38" s="6"/>
      <c r="T38" s="49"/>
      <c r="U38" s="6"/>
    </row>
    <row r="39" spans="1:21">
      <c r="C39" s="267"/>
      <c r="D39" s="45"/>
      <c r="E39" s="46"/>
      <c r="F39" s="47"/>
      <c r="G39" s="42"/>
      <c r="H39" s="39"/>
      <c r="I39" s="42"/>
      <c r="J39" s="269"/>
      <c r="K39" s="195"/>
      <c r="L39" s="42"/>
      <c r="N39" s="55"/>
      <c r="O39" s="55"/>
      <c r="P39" s="55"/>
      <c r="Q39" s="55"/>
      <c r="R39" s="55"/>
      <c r="S39" s="6"/>
      <c r="T39" s="49"/>
      <c r="U39" s="6"/>
    </row>
    <row r="40" spans="1:21">
      <c r="A40" t="s">
        <v>303</v>
      </c>
      <c r="B40" t="s">
        <v>304</v>
      </c>
      <c r="C40" s="267" t="s">
        <v>305</v>
      </c>
      <c r="D40" s="45">
        <v>4000</v>
      </c>
      <c r="E40" s="46">
        <f>+F40/30.4</f>
        <v>0.18790131578947369</v>
      </c>
      <c r="F40" s="47">
        <v>5.7122000000000002</v>
      </c>
      <c r="G40" s="42">
        <f>+D40*F40</f>
        <v>22848.799999999999</v>
      </c>
      <c r="H40" s="39">
        <v>6</v>
      </c>
      <c r="I40" s="42">
        <v>137092</v>
      </c>
      <c r="J40" s="269"/>
      <c r="K40" s="195"/>
      <c r="L40" s="42"/>
      <c r="N40" s="55"/>
      <c r="O40" s="55"/>
      <c r="P40" s="55"/>
      <c r="Q40" s="55"/>
      <c r="R40" s="55"/>
      <c r="S40" s="6"/>
      <c r="T40" s="49"/>
      <c r="U40" s="6"/>
    </row>
    <row r="41" spans="1:21">
      <c r="C41" s="267"/>
      <c r="D41" s="45"/>
      <c r="E41" s="46"/>
      <c r="F41" s="47"/>
      <c r="G41" s="42"/>
      <c r="H41" s="39"/>
      <c r="I41" s="42"/>
      <c r="J41" s="269"/>
      <c r="K41" s="195"/>
      <c r="L41" s="42"/>
      <c r="N41" s="55"/>
      <c r="O41" s="55"/>
      <c r="P41" s="55"/>
      <c r="Q41" s="55"/>
      <c r="R41" s="55"/>
      <c r="S41" s="6"/>
      <c r="T41" s="49"/>
      <c r="U41" s="6"/>
    </row>
    <row r="42" spans="1:21">
      <c r="A42" t="s">
        <v>306</v>
      </c>
      <c r="B42" t="s">
        <v>49</v>
      </c>
      <c r="C42" s="267" t="s">
        <v>307</v>
      </c>
      <c r="D42" s="45">
        <v>25000</v>
      </c>
      <c r="E42" s="47">
        <f>+F42/30.4</f>
        <v>0.16367653508771932</v>
      </c>
      <c r="F42" s="47">
        <f>+G42/D42</f>
        <v>4.9757666666666669</v>
      </c>
      <c r="G42" s="42">
        <f>+I42/12</f>
        <v>124394.16666666667</v>
      </c>
      <c r="H42" s="39">
        <v>12</v>
      </c>
      <c r="I42" s="42">
        <f>1641650-148920</f>
        <v>1492730</v>
      </c>
      <c r="J42" s="269"/>
      <c r="K42" s="195"/>
      <c r="L42" s="42"/>
      <c r="N42" s="55"/>
      <c r="O42" s="55"/>
      <c r="P42" s="55"/>
      <c r="Q42" s="55"/>
      <c r="R42" s="55"/>
      <c r="S42" s="6"/>
      <c r="T42" s="49"/>
      <c r="U42" s="6"/>
    </row>
    <row r="43" spans="1:21">
      <c r="C43" s="267"/>
      <c r="D43" s="45"/>
      <c r="E43" s="42"/>
      <c r="F43" s="47"/>
      <c r="G43" s="42"/>
      <c r="H43" s="39"/>
      <c r="I43" s="42"/>
      <c r="J43" s="269"/>
      <c r="K43" s="195"/>
      <c r="L43" s="42"/>
      <c r="N43" s="55"/>
      <c r="O43" s="55"/>
      <c r="P43" s="55"/>
      <c r="Q43" s="55"/>
      <c r="R43" s="55"/>
      <c r="S43" s="6"/>
      <c r="T43" s="49"/>
      <c r="U43" s="6"/>
    </row>
    <row r="44" spans="1:21">
      <c r="A44" t="s">
        <v>308</v>
      </c>
      <c r="B44" t="s">
        <v>309</v>
      </c>
      <c r="C44" t="s">
        <v>310</v>
      </c>
      <c r="D44" s="45">
        <v>19500</v>
      </c>
      <c r="E44" s="47">
        <f>+F44/30.4</f>
        <v>0.19243421052631579</v>
      </c>
      <c r="F44" s="47">
        <v>5.85</v>
      </c>
      <c r="G44" s="42">
        <f>+F44*D44</f>
        <v>114075</v>
      </c>
      <c r="H44" s="39">
        <v>12</v>
      </c>
      <c r="I44" s="42">
        <f>+G44*H44</f>
        <v>1368900</v>
      </c>
      <c r="J44" s="269"/>
      <c r="K44" s="195"/>
      <c r="L44" s="273" t="s">
        <v>311</v>
      </c>
      <c r="N44" s="55"/>
      <c r="O44" s="55"/>
      <c r="P44" s="55"/>
      <c r="Q44" s="55"/>
      <c r="R44" s="55"/>
      <c r="S44" s="6"/>
      <c r="T44" s="49"/>
      <c r="U44" s="6"/>
    </row>
    <row r="45" spans="1:21">
      <c r="C45" s="267"/>
      <c r="D45" s="263"/>
      <c r="E45" s="46"/>
      <c r="F45" s="47"/>
      <c r="G45" s="42"/>
      <c r="H45" s="39"/>
      <c r="I45" s="42"/>
      <c r="J45" s="269"/>
      <c r="K45" s="195"/>
      <c r="L45" s="42"/>
      <c r="N45" s="55"/>
      <c r="O45" s="55"/>
      <c r="P45" s="55"/>
      <c r="Q45" s="55"/>
      <c r="R45" s="55"/>
      <c r="S45" s="6"/>
      <c r="T45" s="49"/>
      <c r="U45" s="6"/>
    </row>
    <row r="46" spans="1:21">
      <c r="A46" t="s">
        <v>312</v>
      </c>
      <c r="B46" t="s">
        <v>313</v>
      </c>
      <c r="C46" t="s">
        <v>314</v>
      </c>
      <c r="D46" s="45">
        <v>22000</v>
      </c>
      <c r="E46" s="94">
        <f>+F46/30.4</f>
        <v>7.575782496012759E-2</v>
      </c>
      <c r="F46" s="47">
        <f>+G46/D46</f>
        <v>2.3030378787878787</v>
      </c>
      <c r="G46" s="42">
        <f>+I46/12</f>
        <v>50666.833333333336</v>
      </c>
      <c r="H46" s="39">
        <v>12</v>
      </c>
      <c r="I46" s="268">
        <v>608002</v>
      </c>
      <c r="J46" s="269"/>
      <c r="K46" s="195"/>
      <c r="L46" s="273" t="s">
        <v>311</v>
      </c>
      <c r="N46" s="55"/>
      <c r="O46" s="55"/>
      <c r="P46" s="55"/>
      <c r="Q46" s="55"/>
      <c r="R46" s="55"/>
      <c r="S46" s="6"/>
      <c r="T46" s="49"/>
      <c r="U46" s="6"/>
    </row>
    <row r="47" spans="1:21">
      <c r="C47" s="267"/>
      <c r="D47" s="45"/>
      <c r="E47" s="46"/>
      <c r="F47" s="47"/>
      <c r="G47" s="42"/>
      <c r="H47" s="39" t="s">
        <v>282</v>
      </c>
      <c r="I47" s="42">
        <f>SUM(I40:I46)</f>
        <v>3606724</v>
      </c>
      <c r="J47" s="269"/>
      <c r="K47" s="195"/>
      <c r="L47" s="42"/>
      <c r="N47" s="55"/>
      <c r="O47" s="55"/>
      <c r="P47" s="55"/>
      <c r="Q47" s="55"/>
      <c r="R47" s="55"/>
      <c r="S47" s="6"/>
      <c r="T47" s="49"/>
      <c r="U47" s="6"/>
    </row>
    <row r="48" spans="1:21">
      <c r="C48" s="272" t="s">
        <v>315</v>
      </c>
      <c r="D48" s="45"/>
      <c r="E48" s="46"/>
      <c r="F48" s="47"/>
      <c r="G48" s="42"/>
      <c r="H48" s="39"/>
      <c r="I48" s="42"/>
      <c r="J48" s="269"/>
      <c r="K48" s="195"/>
      <c r="L48" s="42"/>
      <c r="N48" s="55"/>
      <c r="O48" s="55"/>
      <c r="P48" s="55"/>
      <c r="Q48" s="55"/>
      <c r="R48" s="55"/>
      <c r="S48" s="6"/>
      <c r="T48" s="49"/>
      <c r="U48" s="6"/>
    </row>
    <row r="49" spans="1:21">
      <c r="C49" s="267"/>
      <c r="D49" s="45"/>
      <c r="E49" s="46"/>
      <c r="F49" s="47"/>
      <c r="G49" s="42"/>
      <c r="H49" s="39"/>
      <c r="I49" s="42"/>
      <c r="J49" s="269"/>
      <c r="K49" s="195"/>
      <c r="L49" s="42"/>
      <c r="N49" s="55"/>
      <c r="O49" s="55"/>
      <c r="P49" s="55"/>
      <c r="Q49" s="55"/>
      <c r="R49" s="55"/>
      <c r="S49" s="6"/>
      <c r="T49" s="49"/>
      <c r="U49" s="6"/>
    </row>
    <row r="50" spans="1:21">
      <c r="A50" t="s">
        <v>316</v>
      </c>
      <c r="B50" t="s">
        <v>317</v>
      </c>
      <c r="C50" s="267" t="s">
        <v>318</v>
      </c>
      <c r="D50" s="263" t="s">
        <v>23</v>
      </c>
      <c r="E50" s="46">
        <v>0.21</v>
      </c>
      <c r="F50" s="47">
        <f>+E50*30.4</f>
        <v>6.3839999999999995</v>
      </c>
      <c r="G50" s="42">
        <f>+I50/2</f>
        <v>3510.5</v>
      </c>
      <c r="H50" s="39">
        <v>2</v>
      </c>
      <c r="I50" s="42">
        <f>3351+3670</f>
        <v>7021</v>
      </c>
      <c r="J50" s="269"/>
      <c r="K50" s="195"/>
      <c r="L50" s="42"/>
      <c r="N50" s="55"/>
      <c r="O50" s="55"/>
      <c r="P50" s="55"/>
      <c r="Q50" s="55"/>
      <c r="R50" s="55"/>
      <c r="S50" s="6"/>
      <c r="T50" s="49"/>
      <c r="U50" s="6"/>
    </row>
    <row r="51" spans="1:21">
      <c r="A51" t="s">
        <v>319</v>
      </c>
      <c r="B51" t="s">
        <v>317</v>
      </c>
      <c r="C51" s="267" t="s">
        <v>318</v>
      </c>
      <c r="D51" s="263" t="s">
        <v>23</v>
      </c>
      <c r="E51" s="46">
        <v>0.21</v>
      </c>
      <c r="F51" s="47">
        <f>+E51*30.4</f>
        <v>6.3839999999999995</v>
      </c>
      <c r="G51" s="42">
        <f>+I51/2</f>
        <v>2953</v>
      </c>
      <c r="H51" s="39">
        <v>2</v>
      </c>
      <c r="I51" s="42">
        <f>2554+3352</f>
        <v>5906</v>
      </c>
      <c r="J51" s="269"/>
      <c r="K51" s="195"/>
      <c r="L51" s="42"/>
      <c r="N51" s="55"/>
      <c r="O51" s="55"/>
      <c r="P51" s="55"/>
      <c r="Q51" s="55"/>
      <c r="R51" s="55"/>
      <c r="S51" s="6"/>
      <c r="T51" s="49"/>
      <c r="U51" s="6"/>
    </row>
    <row r="52" spans="1:21">
      <c r="C52" s="267"/>
      <c r="D52" s="263"/>
      <c r="E52" s="46"/>
      <c r="F52" s="47"/>
      <c r="G52" s="42"/>
      <c r="H52" s="39"/>
      <c r="I52" s="42"/>
      <c r="J52" s="269"/>
      <c r="K52" s="195"/>
      <c r="L52" s="42"/>
      <c r="N52" s="55"/>
      <c r="O52" s="55"/>
      <c r="P52" s="55"/>
      <c r="Q52" s="55"/>
      <c r="R52" s="55"/>
      <c r="S52" s="6"/>
      <c r="T52" s="49"/>
      <c r="U52" s="6"/>
    </row>
    <row r="53" spans="1:21">
      <c r="A53" t="s">
        <v>320</v>
      </c>
      <c r="B53" t="s">
        <v>321</v>
      </c>
      <c r="C53" s="25" t="s">
        <v>322</v>
      </c>
      <c r="D53" s="45">
        <v>2000</v>
      </c>
      <c r="E53" s="94">
        <f>+F53/30.4</f>
        <v>0.39671052631578951</v>
      </c>
      <c r="F53" s="47">
        <v>12.06</v>
      </c>
      <c r="G53" s="42">
        <f>+F53*D53</f>
        <v>24120</v>
      </c>
      <c r="H53" s="39">
        <v>2</v>
      </c>
      <c r="I53" s="42">
        <f>+H53*G53</f>
        <v>48240</v>
      </c>
      <c r="J53" s="48"/>
      <c r="K53" s="42"/>
      <c r="L53" s="42"/>
      <c r="N53" s="50"/>
      <c r="O53" s="49"/>
      <c r="P53" s="51"/>
      <c r="Q53" s="6"/>
      <c r="R53" s="6"/>
      <c r="S53" s="6"/>
      <c r="T53" s="6"/>
      <c r="U53" s="6"/>
    </row>
    <row r="54" spans="1:21">
      <c r="C54" s="25"/>
      <c r="D54" s="45"/>
      <c r="E54" s="94"/>
      <c r="F54" s="47"/>
      <c r="G54" s="42"/>
      <c r="H54" s="39"/>
      <c r="I54" s="42"/>
      <c r="J54" s="48"/>
      <c r="K54" s="42"/>
      <c r="L54" s="42"/>
      <c r="N54" s="50"/>
      <c r="O54" s="49"/>
      <c r="P54" s="51"/>
      <c r="Q54" s="6"/>
      <c r="R54" s="6"/>
      <c r="S54" s="6"/>
      <c r="T54" s="6"/>
      <c r="U54" s="6"/>
    </row>
    <row r="55" spans="1:21">
      <c r="A55" t="s">
        <v>323</v>
      </c>
      <c r="B55" t="s">
        <v>324</v>
      </c>
      <c r="C55" s="25" t="s">
        <v>325</v>
      </c>
      <c r="D55" s="45">
        <v>4000</v>
      </c>
      <c r="E55" s="94">
        <f>+F55/30.4</f>
        <v>0.35509868421052632</v>
      </c>
      <c r="F55" s="47">
        <v>10.795</v>
      </c>
      <c r="G55" s="42">
        <f>+F55*D55</f>
        <v>43180</v>
      </c>
      <c r="H55" s="39">
        <v>2</v>
      </c>
      <c r="I55" s="42">
        <f>+H55*G55</f>
        <v>86360</v>
      </c>
      <c r="J55" s="48"/>
      <c r="K55" s="42"/>
      <c r="L55" s="42"/>
      <c r="N55" s="50"/>
      <c r="O55" s="49"/>
      <c r="P55" s="51"/>
      <c r="Q55" s="6"/>
      <c r="R55" s="6"/>
      <c r="S55" s="6"/>
      <c r="T55" s="6"/>
      <c r="U55" s="6"/>
    </row>
    <row r="56" spans="1:21">
      <c r="C56" s="25"/>
      <c r="D56" s="45"/>
      <c r="E56" s="94"/>
      <c r="F56" s="47"/>
      <c r="G56" s="42"/>
      <c r="H56" s="39"/>
      <c r="I56" s="42"/>
      <c r="J56" s="48"/>
      <c r="K56" s="42"/>
      <c r="L56" s="42"/>
      <c r="N56" s="50"/>
      <c r="O56" s="49"/>
      <c r="P56" s="51"/>
      <c r="Q56" s="6"/>
      <c r="R56" s="6"/>
      <c r="S56" s="6"/>
      <c r="T56" s="6"/>
      <c r="U56" s="6"/>
    </row>
    <row r="57" spans="1:21">
      <c r="A57" t="s">
        <v>326</v>
      </c>
      <c r="B57" t="s">
        <v>327</v>
      </c>
      <c r="C57" s="25" t="s">
        <v>328</v>
      </c>
      <c r="D57" s="45">
        <v>1000</v>
      </c>
      <c r="E57" s="94">
        <f>+F57/30.4</f>
        <v>0.39671052631578951</v>
      </c>
      <c r="F57" s="47">
        <v>12.06</v>
      </c>
      <c r="G57" s="42">
        <f>+F57*D57</f>
        <v>12060</v>
      </c>
      <c r="H57" s="39">
        <v>1</v>
      </c>
      <c r="I57" s="42">
        <f>+H57*G57</f>
        <v>12060</v>
      </c>
      <c r="J57" s="48"/>
      <c r="K57" s="42"/>
      <c r="L57" s="42"/>
      <c r="N57" s="50"/>
      <c r="O57" s="49"/>
      <c r="P57" s="51"/>
      <c r="Q57" s="6"/>
      <c r="R57" s="6"/>
      <c r="S57" s="6"/>
      <c r="T57" s="6"/>
      <c r="U57" s="6"/>
    </row>
    <row r="58" spans="1:21">
      <c r="C58" s="25" t="s">
        <v>329</v>
      </c>
      <c r="D58" s="45">
        <v>1600</v>
      </c>
      <c r="E58" s="94">
        <f>+F58/30.4</f>
        <v>0.39671052631578951</v>
      </c>
      <c r="F58" s="47">
        <v>12.06</v>
      </c>
      <c r="G58" s="42">
        <f>+F58*D58</f>
        <v>19296</v>
      </c>
      <c r="H58" s="39">
        <v>1</v>
      </c>
      <c r="I58" s="42">
        <f>+H58*G58</f>
        <v>19296</v>
      </c>
      <c r="J58" s="88"/>
      <c r="K58" s="42"/>
      <c r="L58" s="42"/>
      <c r="N58" s="50"/>
      <c r="O58" s="49"/>
      <c r="P58" s="51"/>
      <c r="Q58" s="6"/>
      <c r="R58" s="6"/>
      <c r="S58" s="6"/>
      <c r="T58" s="6"/>
      <c r="U58" s="6"/>
    </row>
    <row r="59" spans="1:21">
      <c r="C59" s="25"/>
      <c r="D59" s="45"/>
      <c r="E59" s="94"/>
      <c r="F59" s="47"/>
      <c r="G59" s="42"/>
      <c r="H59" s="39"/>
      <c r="I59" s="42"/>
      <c r="J59" s="88"/>
      <c r="K59" s="42"/>
      <c r="L59" s="42"/>
      <c r="N59" s="50"/>
      <c r="O59" s="49"/>
      <c r="P59" s="51"/>
      <c r="Q59" s="6"/>
      <c r="R59" s="6"/>
      <c r="S59" s="6"/>
      <c r="T59" s="6"/>
      <c r="U59" s="6"/>
    </row>
    <row r="60" spans="1:21">
      <c r="A60" t="s">
        <v>330</v>
      </c>
      <c r="B60" t="s">
        <v>331</v>
      </c>
      <c r="C60" s="25" t="s">
        <v>332</v>
      </c>
      <c r="D60" s="45">
        <v>2200</v>
      </c>
      <c r="E60" s="94">
        <f>+F60/30.4</f>
        <v>8.2236842105263164E-2</v>
      </c>
      <c r="F60" s="47">
        <v>2.5</v>
      </c>
      <c r="G60" s="42">
        <f>+F60*D60</f>
        <v>5500</v>
      </c>
      <c r="H60" s="39">
        <v>1</v>
      </c>
      <c r="I60" s="42">
        <f>+H60*G60</f>
        <v>5500</v>
      </c>
      <c r="J60" s="48"/>
      <c r="K60" s="42"/>
      <c r="L60" s="42"/>
      <c r="N60" s="50"/>
      <c r="O60" s="49"/>
      <c r="P60" s="51"/>
      <c r="Q60" s="6"/>
      <c r="R60" s="6"/>
      <c r="S60" s="6"/>
      <c r="T60" s="6"/>
      <c r="U60" s="6"/>
    </row>
    <row r="61" spans="1:21">
      <c r="C61" s="25" t="s">
        <v>333</v>
      </c>
      <c r="D61" s="45">
        <v>2200</v>
      </c>
      <c r="E61" s="94">
        <f>+F61/30.4</f>
        <v>0.39671052631578951</v>
      </c>
      <c r="F61" s="47">
        <v>12.06</v>
      </c>
      <c r="G61" s="42">
        <f>+F61*D61</f>
        <v>26532</v>
      </c>
      <c r="H61" s="39">
        <v>2</v>
      </c>
      <c r="I61" s="268">
        <f>+H61*G61</f>
        <v>53064</v>
      </c>
      <c r="J61" s="88"/>
      <c r="K61" s="42"/>
      <c r="L61" s="42"/>
      <c r="N61" s="50"/>
      <c r="O61" s="49"/>
      <c r="P61" s="51"/>
      <c r="Q61" s="6"/>
      <c r="R61" s="6"/>
      <c r="S61" s="6"/>
      <c r="T61" s="6"/>
      <c r="U61" s="6"/>
    </row>
    <row r="62" spans="1:21">
      <c r="C62" s="25"/>
      <c r="D62" s="45"/>
      <c r="E62" s="94"/>
      <c r="F62" s="47"/>
      <c r="G62" s="42"/>
      <c r="H62" s="39" t="s">
        <v>282</v>
      </c>
      <c r="I62" s="42">
        <f>SUM(I50:I61)</f>
        <v>237447</v>
      </c>
      <c r="J62" s="88"/>
      <c r="K62" s="42"/>
      <c r="L62" s="42"/>
      <c r="N62" s="50"/>
      <c r="O62" s="49"/>
      <c r="P62" s="51"/>
      <c r="Q62" s="6"/>
      <c r="R62" s="6"/>
      <c r="S62" s="6"/>
      <c r="T62" s="6"/>
      <c r="U62" s="6"/>
    </row>
    <row r="63" spans="1:21">
      <c r="C63" s="279" t="s">
        <v>4</v>
      </c>
      <c r="D63" s="45"/>
      <c r="E63" s="94"/>
      <c r="F63" s="47"/>
      <c r="G63" s="42"/>
      <c r="H63" s="39"/>
      <c r="I63" s="42"/>
      <c r="J63" s="88"/>
      <c r="K63" s="42"/>
      <c r="L63" s="42"/>
      <c r="N63" s="50"/>
      <c r="O63" s="49"/>
      <c r="P63" s="51"/>
      <c r="Q63" s="6"/>
      <c r="R63" s="6"/>
      <c r="S63" s="6"/>
      <c r="T63" s="6"/>
      <c r="U63" s="6"/>
    </row>
    <row r="64" spans="1:21">
      <c r="B64" t="s">
        <v>23</v>
      </c>
      <c r="C64" s="25" t="s">
        <v>347</v>
      </c>
      <c r="D64" s="45"/>
      <c r="E64" s="94"/>
      <c r="F64" s="47"/>
      <c r="G64" s="42"/>
      <c r="H64" s="39"/>
      <c r="I64" s="42">
        <v>1280448</v>
      </c>
      <c r="J64" s="88"/>
      <c r="K64" s="42"/>
      <c r="L64" s="42"/>
      <c r="N64" s="50"/>
      <c r="O64" s="49"/>
      <c r="P64" s="51"/>
      <c r="Q64" s="6"/>
      <c r="R64" s="6"/>
      <c r="S64" s="6"/>
      <c r="T64" s="6"/>
      <c r="U64" s="6"/>
    </row>
    <row r="65" spans="1:21">
      <c r="C65" s="25"/>
      <c r="D65" s="45"/>
      <c r="E65" s="94"/>
      <c r="F65" s="47"/>
      <c r="G65" s="42"/>
      <c r="H65" s="39"/>
      <c r="I65" s="42"/>
      <c r="J65" s="88"/>
      <c r="K65" s="42"/>
      <c r="L65" s="42"/>
      <c r="N65" s="50"/>
      <c r="O65" s="49"/>
      <c r="P65" s="51"/>
      <c r="Q65" s="6"/>
      <c r="R65" s="6"/>
      <c r="S65" s="6"/>
      <c r="T65" s="6"/>
      <c r="U65" s="6"/>
    </row>
    <row r="66" spans="1:21">
      <c r="D66" s="45"/>
      <c r="E66" s="45"/>
      <c r="F66" s="47"/>
      <c r="G66" s="42"/>
      <c r="H66" s="39"/>
      <c r="I66" s="42"/>
      <c r="J66" s="54"/>
      <c r="K66" s="42"/>
      <c r="L66" s="42"/>
      <c r="N66" s="6"/>
      <c r="O66" s="6"/>
      <c r="P66" s="6"/>
      <c r="Q66" s="6"/>
      <c r="R66" s="6"/>
      <c r="S66" s="6"/>
      <c r="T66" s="6"/>
      <c r="U66" s="6"/>
    </row>
    <row r="67" spans="1:21" ht="13.5" thickBot="1">
      <c r="D67" s="56"/>
      <c r="E67" s="56"/>
      <c r="F67" s="47"/>
      <c r="G67" s="281" t="s">
        <v>356</v>
      </c>
      <c r="I67" s="274">
        <f>SUM(I11:I62)/2+I64</f>
        <v>8114440.4479999999</v>
      </c>
      <c r="J67" s="54"/>
      <c r="L67" s="42"/>
      <c r="N67" s="55"/>
      <c r="O67" s="55"/>
      <c r="P67" s="55"/>
      <c r="Q67" s="55"/>
      <c r="R67" s="55"/>
      <c r="S67" s="6"/>
      <c r="T67" s="49"/>
      <c r="U67" s="6"/>
    </row>
    <row r="68" spans="1:21" ht="13.5" thickTop="1">
      <c r="D68" s="45"/>
      <c r="E68" s="45"/>
      <c r="F68" s="47"/>
      <c r="G68" s="42"/>
      <c r="I68" s="42"/>
      <c r="J68" s="54"/>
      <c r="K68" s="42"/>
      <c r="L68" s="42"/>
      <c r="N68" s="6"/>
      <c r="O68" s="6"/>
      <c r="P68" s="6"/>
      <c r="Q68" s="6"/>
      <c r="R68" s="6"/>
      <c r="S68" s="6"/>
      <c r="T68" s="6"/>
      <c r="U68" s="6"/>
    </row>
    <row r="69" spans="1:21">
      <c r="D69" s="45"/>
      <c r="E69" s="45"/>
      <c r="F69" s="47"/>
      <c r="G69" s="42"/>
      <c r="I69" s="42"/>
      <c r="J69" s="54"/>
      <c r="K69" s="42"/>
      <c r="L69" s="42"/>
      <c r="N69" s="6"/>
      <c r="O69" s="6"/>
      <c r="P69" s="6"/>
      <c r="Q69" s="6"/>
      <c r="R69" s="6"/>
      <c r="S69" s="6"/>
      <c r="T69" s="6"/>
      <c r="U69" s="6"/>
    </row>
    <row r="70" spans="1:21" ht="20.25">
      <c r="B70" s="43" t="s">
        <v>353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N70" s="6"/>
      <c r="O70" s="6"/>
      <c r="P70" s="6"/>
      <c r="Q70" s="6"/>
      <c r="R70" s="6"/>
      <c r="S70" s="6"/>
      <c r="T70" s="6"/>
      <c r="U70" s="6"/>
    </row>
    <row r="71" spans="1:21">
      <c r="D71" s="45"/>
      <c r="E71" s="45"/>
      <c r="F71" s="47"/>
      <c r="G71" s="42"/>
      <c r="I71" s="42"/>
      <c r="J71" s="54"/>
      <c r="K71" s="42"/>
      <c r="L71" s="42"/>
      <c r="N71" s="6"/>
      <c r="O71" s="6"/>
      <c r="P71" s="6"/>
      <c r="Q71" s="6"/>
      <c r="R71" s="6"/>
      <c r="S71" s="6"/>
      <c r="T71" s="6"/>
      <c r="U71" s="6"/>
    </row>
    <row r="72" spans="1:21">
      <c r="B72" t="s">
        <v>23</v>
      </c>
      <c r="C72" t="s">
        <v>334</v>
      </c>
      <c r="D72" s="45">
        <v>15000</v>
      </c>
      <c r="E72" s="270">
        <v>0.16</v>
      </c>
      <c r="F72" s="47">
        <f>+E72*30.4</f>
        <v>4.8639999999999999</v>
      </c>
      <c r="G72" s="42">
        <f>+F72*D72</f>
        <v>72960</v>
      </c>
      <c r="H72" s="39">
        <v>3</v>
      </c>
      <c r="I72" s="42">
        <f>+H72*G72</f>
        <v>218880</v>
      </c>
      <c r="J72" s="54">
        <v>1</v>
      </c>
      <c r="K72" s="42">
        <f>+J72*I72</f>
        <v>218880</v>
      </c>
      <c r="L72" s="70"/>
      <c r="N72" s="6"/>
      <c r="O72" s="6"/>
      <c r="P72" s="6"/>
      <c r="Q72" s="6"/>
      <c r="R72" s="6"/>
      <c r="S72" s="6"/>
      <c r="T72" s="6"/>
      <c r="U72" s="6"/>
    </row>
    <row r="73" spans="1:21">
      <c r="C73" t="s">
        <v>335</v>
      </c>
      <c r="D73" s="45">
        <v>15000</v>
      </c>
      <c r="E73" s="275">
        <v>0.16</v>
      </c>
      <c r="F73" s="47">
        <f>+E73*30.4</f>
        <v>4.8639999999999999</v>
      </c>
      <c r="G73" s="42">
        <f>+F73*D73</f>
        <v>72960</v>
      </c>
      <c r="H73" s="39">
        <v>2</v>
      </c>
      <c r="I73" s="42">
        <f>+H73*G73</f>
        <v>145920</v>
      </c>
      <c r="J73" s="54">
        <v>1</v>
      </c>
      <c r="K73" s="42">
        <f>+J73*I73</f>
        <v>145920</v>
      </c>
      <c r="L73" s="70"/>
      <c r="N73" s="6"/>
      <c r="O73" s="6"/>
      <c r="P73" s="6"/>
      <c r="Q73" s="6"/>
      <c r="R73" s="6"/>
      <c r="S73" s="6"/>
      <c r="T73" s="6"/>
      <c r="U73" s="6"/>
    </row>
    <row r="74" spans="1:21">
      <c r="D74" s="45"/>
      <c r="E74" s="45"/>
      <c r="F74" s="47"/>
      <c r="G74" s="42"/>
      <c r="I74" s="42"/>
      <c r="J74" s="54"/>
      <c r="K74" s="42"/>
      <c r="L74" s="42"/>
      <c r="N74" s="6"/>
      <c r="O74" s="6"/>
      <c r="P74" s="6"/>
      <c r="Q74" s="6"/>
      <c r="R74" s="6"/>
      <c r="S74" s="6"/>
      <c r="T74" s="6"/>
      <c r="U74" s="6"/>
    </row>
    <row r="75" spans="1:21">
      <c r="D75" s="45"/>
      <c r="E75" s="45"/>
      <c r="F75" s="47"/>
      <c r="G75" s="42"/>
      <c r="H75" s="39"/>
      <c r="I75" s="42"/>
      <c r="J75" s="48"/>
      <c r="K75" s="42"/>
      <c r="L75" s="42"/>
      <c r="N75" s="6"/>
      <c r="O75" s="49"/>
      <c r="P75" s="6"/>
      <c r="Q75" s="6"/>
      <c r="R75" s="6"/>
      <c r="S75" s="6"/>
      <c r="T75" s="6"/>
      <c r="U75" s="6"/>
    </row>
    <row r="76" spans="1:21">
      <c r="A76" t="s">
        <v>336</v>
      </c>
      <c r="B76" t="s">
        <v>337</v>
      </c>
      <c r="C76" t="s">
        <v>338</v>
      </c>
      <c r="D76" s="45">
        <v>284</v>
      </c>
      <c r="E76" s="47">
        <f>+F76/30.4</f>
        <v>0.21200889547813198</v>
      </c>
      <c r="F76" s="47">
        <f>+G76/D76</f>
        <v>6.4450704225352116</v>
      </c>
      <c r="G76" s="42">
        <f>9152/5</f>
        <v>1830.4</v>
      </c>
      <c r="H76" s="39">
        <v>5</v>
      </c>
      <c r="I76" s="42">
        <v>9152</v>
      </c>
      <c r="J76" s="54">
        <v>1</v>
      </c>
      <c r="K76" s="42">
        <f>+J76*I76</f>
        <v>9152</v>
      </c>
      <c r="L76" s="70" t="s">
        <v>270</v>
      </c>
      <c r="N76" s="6"/>
      <c r="O76" s="49"/>
      <c r="P76" s="6"/>
      <c r="Q76" s="6"/>
      <c r="R76" s="6"/>
      <c r="S76" s="6"/>
      <c r="T76" s="6"/>
      <c r="U76" s="6"/>
    </row>
    <row r="77" spans="1:21">
      <c r="D77" s="45"/>
      <c r="E77" s="47"/>
      <c r="F77" s="47"/>
      <c r="G77" s="42"/>
      <c r="H77" s="39"/>
      <c r="I77" s="42"/>
      <c r="J77" s="54"/>
      <c r="K77" s="42"/>
      <c r="L77" s="42"/>
      <c r="N77" s="6"/>
      <c r="O77" s="49"/>
      <c r="P77" s="6"/>
      <c r="Q77" s="6"/>
      <c r="R77" s="6"/>
      <c r="S77" s="6"/>
      <c r="T77" s="6"/>
      <c r="U77" s="6"/>
    </row>
    <row r="78" spans="1:21">
      <c r="D78" s="58"/>
      <c r="E78" s="58"/>
      <c r="F78" s="47"/>
      <c r="G78" s="55"/>
      <c r="I78" s="55"/>
      <c r="J78" s="54"/>
      <c r="K78" s="82"/>
      <c r="L78" s="55"/>
      <c r="N78" s="55"/>
      <c r="O78" s="55"/>
      <c r="P78" s="55"/>
      <c r="Q78" s="55"/>
      <c r="R78" s="55"/>
      <c r="S78" s="6"/>
      <c r="T78" s="49"/>
      <c r="U78" s="6"/>
    </row>
    <row r="79" spans="1:21">
      <c r="A79" t="s">
        <v>339</v>
      </c>
      <c r="B79" t="s">
        <v>281</v>
      </c>
      <c r="C79" t="s">
        <v>340</v>
      </c>
      <c r="D79" s="58"/>
      <c r="E79" s="58"/>
      <c r="F79" s="47"/>
      <c r="G79" s="55"/>
      <c r="I79" s="55">
        <v>1200000</v>
      </c>
      <c r="J79" s="54">
        <v>0.5</v>
      </c>
      <c r="K79" s="77">
        <v>600000</v>
      </c>
      <c r="L79" s="55"/>
      <c r="N79" s="55"/>
      <c r="O79" s="55"/>
      <c r="P79" s="55"/>
      <c r="Q79" s="55"/>
      <c r="R79" s="55"/>
      <c r="S79" s="6"/>
      <c r="T79" s="49"/>
      <c r="U79" s="6"/>
    </row>
    <row r="80" spans="1:21">
      <c r="D80" s="58"/>
      <c r="E80" s="58"/>
      <c r="F80" s="47"/>
      <c r="G80" s="55"/>
      <c r="I80" s="55"/>
      <c r="J80" s="54"/>
      <c r="K80" s="82"/>
      <c r="L80" s="55"/>
      <c r="N80" s="55"/>
      <c r="O80" s="55"/>
      <c r="P80" s="55"/>
      <c r="Q80" s="55"/>
      <c r="R80" s="55"/>
      <c r="S80" s="6"/>
      <c r="T80" s="49"/>
      <c r="U80" s="6"/>
    </row>
    <row r="81" spans="1:21">
      <c r="B81" t="s">
        <v>385</v>
      </c>
      <c r="C81" s="25" t="s">
        <v>384</v>
      </c>
      <c r="D81" s="58">
        <v>20000</v>
      </c>
      <c r="E81" s="321">
        <f>+F81/30.4</f>
        <v>0.12971710526315791</v>
      </c>
      <c r="F81" s="47">
        <f>+G81/D81</f>
        <v>3.9434</v>
      </c>
      <c r="G81" s="55">
        <v>78868</v>
      </c>
      <c r="H81" s="39">
        <v>3</v>
      </c>
      <c r="I81" s="55">
        <v>236604</v>
      </c>
      <c r="J81" s="48">
        <v>1</v>
      </c>
      <c r="K81" s="77">
        <f>78868*3</f>
        <v>236604</v>
      </c>
      <c r="L81" s="55"/>
      <c r="N81" s="55"/>
      <c r="O81" s="55"/>
      <c r="P81" s="55"/>
      <c r="Q81" s="55"/>
      <c r="R81" s="55"/>
      <c r="S81" s="6"/>
      <c r="T81" s="49"/>
      <c r="U81" s="6"/>
    </row>
    <row r="82" spans="1:21">
      <c r="A82" t="s">
        <v>271</v>
      </c>
      <c r="C82" s="25" t="s">
        <v>383</v>
      </c>
      <c r="D82" s="45">
        <v>20000</v>
      </c>
      <c r="E82" s="94">
        <v>1.5100000000000001E-2</v>
      </c>
      <c r="F82" s="47">
        <f>+E82*30.4</f>
        <v>0.45904</v>
      </c>
      <c r="G82" s="42">
        <f>+F82*D82</f>
        <v>9180.7999999999993</v>
      </c>
      <c r="H82" s="39">
        <v>2</v>
      </c>
      <c r="I82" s="42">
        <f>+H82*G82</f>
        <v>18361.599999999999</v>
      </c>
      <c r="J82" s="48">
        <v>1</v>
      </c>
      <c r="K82" s="42">
        <f>+J82*I82</f>
        <v>18361.599999999999</v>
      </c>
      <c r="L82" s="70"/>
      <c r="N82" s="50"/>
      <c r="O82" s="49"/>
      <c r="P82" s="51"/>
      <c r="Q82" s="6"/>
      <c r="R82" s="6"/>
      <c r="S82" s="6"/>
      <c r="T82" s="6"/>
      <c r="U82" s="6"/>
    </row>
    <row r="83" spans="1:21">
      <c r="C83" s="25"/>
      <c r="D83" s="45"/>
      <c r="E83" s="94"/>
      <c r="F83" s="47"/>
      <c r="G83" s="42"/>
      <c r="H83" s="39"/>
      <c r="I83" s="42"/>
      <c r="J83" s="48"/>
      <c r="K83" s="42"/>
      <c r="L83" s="70"/>
      <c r="N83" s="50"/>
      <c r="O83" s="49"/>
      <c r="P83" s="51"/>
      <c r="Q83" s="6"/>
      <c r="R83" s="6"/>
      <c r="S83" s="6"/>
      <c r="T83" s="6"/>
      <c r="U83" s="6"/>
    </row>
    <row r="84" spans="1:21">
      <c r="B84" t="s">
        <v>52</v>
      </c>
      <c r="C84" s="25" t="s">
        <v>372</v>
      </c>
      <c r="D84" s="45"/>
      <c r="E84" s="94"/>
      <c r="F84" s="47"/>
      <c r="G84" s="42"/>
      <c r="H84" s="39"/>
      <c r="I84" s="42"/>
      <c r="J84" s="48"/>
      <c r="K84" s="42">
        <v>700000</v>
      </c>
      <c r="L84" s="70"/>
      <c r="N84" s="50"/>
      <c r="O84" s="49"/>
      <c r="P84" s="51"/>
      <c r="Q84" s="6"/>
      <c r="R84" s="6"/>
      <c r="S84" s="6"/>
      <c r="T84" s="6"/>
      <c r="U84" s="6"/>
    </row>
    <row r="85" spans="1:21">
      <c r="D85" s="45"/>
      <c r="E85" s="94"/>
      <c r="F85" s="47"/>
      <c r="G85" s="42"/>
      <c r="H85" s="39"/>
      <c r="I85" s="42"/>
      <c r="J85" s="54"/>
      <c r="K85" s="42"/>
      <c r="L85" s="70"/>
      <c r="N85" s="6"/>
      <c r="O85" s="6"/>
      <c r="P85" s="6"/>
      <c r="Q85" s="6"/>
      <c r="R85" s="6"/>
      <c r="S85" s="6"/>
      <c r="T85" s="6"/>
      <c r="U85" s="6"/>
    </row>
    <row r="86" spans="1:21" ht="13.5" thickBot="1">
      <c r="D86" s="45"/>
      <c r="E86" s="94"/>
      <c r="F86" s="47"/>
      <c r="G86" s="42"/>
      <c r="H86" s="39"/>
      <c r="I86" s="42"/>
      <c r="J86" s="54"/>
      <c r="K86" s="274">
        <f>SUM(K72:K85)</f>
        <v>1928917.6</v>
      </c>
      <c r="L86" s="70"/>
      <c r="N86" s="6"/>
      <c r="O86" s="6"/>
      <c r="P86" s="6"/>
      <c r="Q86" s="6"/>
      <c r="R86" s="6"/>
      <c r="S86" s="6"/>
      <c r="T86" s="6"/>
      <c r="U86" s="6"/>
    </row>
    <row r="87" spans="1:21" ht="13.5" thickTop="1">
      <c r="D87" s="45"/>
      <c r="E87" s="94"/>
      <c r="F87" s="47"/>
      <c r="G87" s="42"/>
      <c r="H87" s="39"/>
      <c r="I87" s="42"/>
      <c r="J87" s="54"/>
      <c r="K87" s="42"/>
      <c r="L87" s="70"/>
      <c r="N87" s="6"/>
      <c r="O87" s="6"/>
      <c r="P87" s="6"/>
      <c r="Q87" s="6"/>
      <c r="R87" s="6"/>
      <c r="S87" s="6"/>
      <c r="T87" s="6"/>
      <c r="U87" s="6"/>
    </row>
    <row r="88" spans="1:21">
      <c r="F88" s="47"/>
      <c r="G88" s="42"/>
      <c r="H88" s="12"/>
      <c r="I88" s="60"/>
      <c r="J88" s="61"/>
      <c r="K88" s="62"/>
      <c r="L88" s="42"/>
      <c r="N88" s="6"/>
      <c r="O88" s="6"/>
      <c r="P88" s="6"/>
      <c r="Q88" s="6"/>
      <c r="R88" s="6"/>
      <c r="S88" s="6"/>
      <c r="T88" s="6"/>
      <c r="U88" s="6"/>
    </row>
    <row r="89" spans="1:21" ht="15.75">
      <c r="F89" s="47"/>
      <c r="G89" s="42"/>
      <c r="H89" s="13"/>
      <c r="I89" s="63" t="s">
        <v>355</v>
      </c>
      <c r="J89" s="6"/>
      <c r="K89" s="64">
        <f>+K95-K93-K91</f>
        <v>176620779.95199999</v>
      </c>
      <c r="L89" s="42"/>
      <c r="N89" s="55"/>
      <c r="O89" s="55"/>
      <c r="P89" s="55"/>
      <c r="Q89" s="65"/>
      <c r="R89" s="55"/>
      <c r="S89" s="56"/>
      <c r="T89" s="6"/>
      <c r="U89" s="6"/>
    </row>
    <row r="90" spans="1:21" ht="15.75">
      <c r="F90" s="47"/>
      <c r="G90" s="42"/>
      <c r="H90" s="13"/>
      <c r="I90" s="66"/>
      <c r="J90" s="6"/>
      <c r="K90" s="64"/>
      <c r="L90" s="42"/>
      <c r="N90" s="55"/>
      <c r="O90" s="55"/>
      <c r="P90" s="55"/>
      <c r="Q90" s="55"/>
      <c r="R90" s="55"/>
      <c r="S90" s="56"/>
      <c r="T90" s="6"/>
      <c r="U90" s="6"/>
    </row>
    <row r="91" spans="1:21" ht="15.75">
      <c r="F91" s="47"/>
      <c r="G91" s="42"/>
      <c r="H91" s="13"/>
      <c r="I91" s="66" t="s">
        <v>356</v>
      </c>
      <c r="J91" s="6"/>
      <c r="K91" s="64">
        <f>+I67</f>
        <v>8114440.4479999999</v>
      </c>
      <c r="L91" s="42"/>
      <c r="N91" s="55"/>
      <c r="O91" s="55"/>
      <c r="P91" s="55"/>
      <c r="Q91" s="55"/>
      <c r="R91" s="55"/>
      <c r="S91" s="56"/>
      <c r="T91" s="6"/>
      <c r="U91" s="6"/>
    </row>
    <row r="92" spans="1:21" ht="15.75">
      <c r="F92" s="47"/>
      <c r="H92" s="13"/>
      <c r="I92" s="66"/>
      <c r="J92" s="6"/>
      <c r="K92" s="64"/>
      <c r="L92" s="42"/>
      <c r="N92" s="55"/>
      <c r="O92" s="55"/>
      <c r="P92" s="55"/>
      <c r="Q92" s="55"/>
      <c r="R92" s="55"/>
      <c r="S92" s="56"/>
      <c r="T92" s="6"/>
      <c r="U92" s="6"/>
    </row>
    <row r="93" spans="1:21" ht="15.75">
      <c r="F93" s="47"/>
      <c r="H93" s="13"/>
      <c r="I93" s="66" t="s">
        <v>357</v>
      </c>
      <c r="J93" s="6"/>
      <c r="K93" s="64">
        <f>+K86</f>
        <v>1928917.6</v>
      </c>
      <c r="L93" s="42"/>
      <c r="N93" s="55"/>
      <c r="O93" s="55"/>
      <c r="P93" s="55"/>
      <c r="Q93" s="55"/>
      <c r="R93" s="55"/>
      <c r="S93" s="56"/>
      <c r="T93" s="6"/>
      <c r="U93" s="6"/>
    </row>
    <row r="94" spans="1:21" ht="15.75">
      <c r="F94" s="47"/>
      <c r="H94" s="13"/>
      <c r="I94" s="256"/>
      <c r="J94" s="254"/>
      <c r="K94" s="64"/>
      <c r="L94" s="42"/>
      <c r="N94" s="55"/>
      <c r="O94" s="55"/>
      <c r="P94" s="55"/>
      <c r="Q94" s="55"/>
      <c r="R94" s="55"/>
      <c r="S94" s="56"/>
      <c r="T94" s="6"/>
      <c r="U94" s="6"/>
    </row>
    <row r="95" spans="1:21" ht="15.75">
      <c r="B95" t="str">
        <f ca="1">CELL("filename")</f>
        <v xml:space="preserve">C:\Users\Felienne\Enron\EnronSpreadsheets\[danny_mccarty__4631__2002_Plan_Contracted_uncontracted_stretch 9_21_01.xls]North by Risk Category </v>
      </c>
      <c r="F95" s="47"/>
      <c r="H95" s="17"/>
      <c r="I95" s="67" t="s">
        <v>345</v>
      </c>
      <c r="J95" s="68"/>
      <c r="K95" s="69">
        <v>186664138</v>
      </c>
      <c r="L95" s="70"/>
      <c r="N95" s="55"/>
      <c r="O95" s="55"/>
      <c r="P95" s="55"/>
      <c r="Q95" s="55"/>
      <c r="R95" s="55"/>
      <c r="S95" s="56"/>
      <c r="T95" s="6"/>
      <c r="U95" s="6"/>
    </row>
    <row r="96" spans="1:21">
      <c r="F96" s="47"/>
      <c r="I96" s="42"/>
      <c r="J96" s="54"/>
      <c r="K96" s="42"/>
      <c r="L96" s="42"/>
      <c r="N96" s="6"/>
      <c r="O96" s="6"/>
      <c r="P96" s="6"/>
      <c r="Q96" s="6"/>
      <c r="R96" s="6"/>
      <c r="S96" s="56"/>
      <c r="T96" s="6"/>
      <c r="U96" s="6"/>
    </row>
    <row r="97" spans="3:21">
      <c r="F97" s="47"/>
      <c r="J97" s="54"/>
      <c r="K97" s="42"/>
      <c r="L97" s="42"/>
      <c r="N97" s="6"/>
      <c r="O97" s="6"/>
      <c r="P97" s="6"/>
      <c r="Q97" s="6"/>
      <c r="R97" s="6"/>
      <c r="S97" s="56"/>
      <c r="T97" s="6"/>
      <c r="U97" s="6"/>
    </row>
    <row r="98" spans="3:21" ht="18">
      <c r="C98" s="276"/>
      <c r="F98" s="47"/>
      <c r="J98" s="54"/>
      <c r="N98" s="6"/>
      <c r="O98" s="6"/>
      <c r="P98" s="6"/>
      <c r="Q98" s="6"/>
      <c r="R98" s="6"/>
      <c r="S98" s="6"/>
      <c r="T98" s="6"/>
      <c r="U98" s="6"/>
    </row>
    <row r="99" spans="3:21">
      <c r="F99" s="47"/>
      <c r="J99" s="54"/>
      <c r="N99" s="6"/>
      <c r="O99" s="6"/>
      <c r="P99" s="6"/>
      <c r="Q99" s="6"/>
      <c r="R99" s="6"/>
      <c r="S99" s="6"/>
      <c r="T99" s="6"/>
      <c r="U99" s="6"/>
    </row>
    <row r="100" spans="3:21">
      <c r="F100" s="47"/>
      <c r="J100" s="54"/>
      <c r="N100" s="6"/>
      <c r="O100" s="6"/>
      <c r="P100" s="6"/>
      <c r="Q100" s="6"/>
      <c r="R100" s="6"/>
      <c r="S100" s="6"/>
      <c r="T100" s="6"/>
      <c r="U100" s="6"/>
    </row>
    <row r="101" spans="3:21">
      <c r="F101" s="47"/>
      <c r="J101" s="54"/>
      <c r="N101" s="6"/>
      <c r="O101" s="6"/>
      <c r="P101" s="6"/>
      <c r="Q101" s="6"/>
      <c r="R101" s="6"/>
      <c r="S101" s="6"/>
      <c r="T101" s="6"/>
      <c r="U101" s="6"/>
    </row>
    <row r="102" spans="3:21">
      <c r="F102" s="47"/>
      <c r="J102" s="54"/>
      <c r="N102" s="6"/>
      <c r="O102" s="6"/>
      <c r="P102" s="6"/>
      <c r="Q102" s="6"/>
      <c r="R102" s="6"/>
      <c r="S102" s="6"/>
      <c r="T102" s="6"/>
      <c r="U102" s="6"/>
    </row>
    <row r="103" spans="3:21">
      <c r="F103" s="47"/>
      <c r="J103" s="54"/>
      <c r="N103" s="6"/>
      <c r="O103" s="6"/>
      <c r="P103" s="6"/>
      <c r="Q103" s="6"/>
      <c r="R103" s="6"/>
      <c r="S103" s="6"/>
      <c r="T103" s="6"/>
      <c r="U103" s="6"/>
    </row>
    <row r="104" spans="3:21">
      <c r="F104" s="47"/>
      <c r="J104" s="54"/>
      <c r="N104" s="6"/>
      <c r="O104" s="6"/>
      <c r="P104" s="6"/>
      <c r="Q104" s="6"/>
      <c r="R104" s="6"/>
      <c r="S104" s="6"/>
      <c r="T104" s="6"/>
      <c r="U104" s="6"/>
    </row>
    <row r="105" spans="3:21">
      <c r="F105" s="47"/>
      <c r="J105" s="54"/>
      <c r="N105" s="6"/>
      <c r="O105" s="6"/>
      <c r="P105" s="6"/>
      <c r="Q105" s="6"/>
      <c r="R105" s="6"/>
      <c r="S105" s="6"/>
      <c r="T105" s="6"/>
      <c r="U105" s="6"/>
    </row>
    <row r="106" spans="3:21">
      <c r="F106" s="47"/>
      <c r="J106" s="54"/>
    </row>
    <row r="107" spans="3:21">
      <c r="F107" s="47"/>
      <c r="J107" s="54"/>
    </row>
    <row r="108" spans="3:21">
      <c r="J108" s="54"/>
    </row>
    <row r="109" spans="3:21">
      <c r="J109" s="54"/>
    </row>
    <row r="110" spans="3:21">
      <c r="J110" s="54"/>
    </row>
    <row r="111" spans="3:21">
      <c r="J111" s="54"/>
    </row>
    <row r="112" spans="3:21">
      <c r="J112" s="54"/>
    </row>
    <row r="113" spans="10:10">
      <c r="J113" s="54"/>
    </row>
    <row r="114" spans="10:10">
      <c r="J114" s="54"/>
    </row>
    <row r="115" spans="10:10">
      <c r="J115" s="54"/>
    </row>
    <row r="116" spans="10:10">
      <c r="J116" s="54"/>
    </row>
    <row r="117" spans="10:10">
      <c r="J117" s="54"/>
    </row>
    <row r="118" spans="10:10">
      <c r="J118" s="54"/>
    </row>
    <row r="119" spans="10:10">
      <c r="J119" s="54"/>
    </row>
    <row r="120" spans="10:10">
      <c r="J120" s="54"/>
    </row>
    <row r="121" spans="10:10">
      <c r="J121" s="54"/>
    </row>
    <row r="122" spans="10:10">
      <c r="J122" s="54"/>
    </row>
    <row r="123" spans="10:10">
      <c r="J123" s="54"/>
    </row>
    <row r="124" spans="10:10">
      <c r="J124" s="54"/>
    </row>
    <row r="125" spans="10:10">
      <c r="J125" s="54"/>
    </row>
    <row r="126" spans="10:10">
      <c r="J126" s="54"/>
    </row>
    <row r="127" spans="10:10">
      <c r="J127" s="54"/>
    </row>
    <row r="128" spans="10:10">
      <c r="J128" s="54"/>
    </row>
    <row r="129" spans="10:10">
      <c r="J129" s="54"/>
    </row>
    <row r="130" spans="10:10">
      <c r="J130" s="54"/>
    </row>
    <row r="131" spans="10:10">
      <c r="J131" s="54"/>
    </row>
    <row r="132" spans="10:10">
      <c r="J132" s="54"/>
    </row>
    <row r="133" spans="10:10">
      <c r="J133" s="54"/>
    </row>
    <row r="134" spans="10:10">
      <c r="J134" s="54"/>
    </row>
    <row r="135" spans="10:10">
      <c r="J135" s="54"/>
    </row>
    <row r="136" spans="10:10">
      <c r="J136" s="54"/>
    </row>
    <row r="137" spans="10:10">
      <c r="J137" s="54"/>
    </row>
    <row r="138" spans="10:10">
      <c r="J138" s="54"/>
    </row>
    <row r="139" spans="10:10">
      <c r="J139" s="54"/>
    </row>
    <row r="140" spans="10:10">
      <c r="J140" s="54"/>
    </row>
    <row r="141" spans="10:10">
      <c r="J141" s="54"/>
    </row>
    <row r="142" spans="10:10">
      <c r="J142" s="54"/>
    </row>
    <row r="143" spans="10:10">
      <c r="J143" s="54"/>
    </row>
    <row r="144" spans="10:10">
      <c r="J144" s="54"/>
    </row>
    <row r="145" spans="10:10">
      <c r="J145" s="54"/>
    </row>
    <row r="146" spans="10:10">
      <c r="J146" s="54"/>
    </row>
    <row r="147" spans="10:10">
      <c r="J147" s="54"/>
    </row>
    <row r="148" spans="10:10">
      <c r="J148" s="54"/>
    </row>
    <row r="149" spans="10:10">
      <c r="J149" s="54"/>
    </row>
    <row r="150" spans="10:10">
      <c r="J150" s="54"/>
    </row>
    <row r="151" spans="10:10">
      <c r="J151" s="54"/>
    </row>
    <row r="152" spans="10:10">
      <c r="J152" s="54"/>
    </row>
    <row r="153" spans="10:10">
      <c r="J153" s="54"/>
    </row>
    <row r="154" spans="10:10">
      <c r="J154" s="54"/>
    </row>
    <row r="155" spans="10:10">
      <c r="J155" s="54"/>
    </row>
    <row r="156" spans="10:10">
      <c r="J156" s="54"/>
    </row>
    <row r="157" spans="10:10">
      <c r="J157" s="54"/>
    </row>
    <row r="158" spans="10:10">
      <c r="J158" s="54"/>
    </row>
    <row r="159" spans="10:10">
      <c r="J159" s="54"/>
    </row>
    <row r="160" spans="10:10">
      <c r="J160" s="54"/>
    </row>
    <row r="161" spans="10:10">
      <c r="J161" s="54"/>
    </row>
    <row r="162" spans="10:10">
      <c r="J162" s="54"/>
    </row>
    <row r="163" spans="10:10">
      <c r="J163" s="54"/>
    </row>
    <row r="164" spans="10:10">
      <c r="J164" s="54"/>
    </row>
    <row r="165" spans="10:10">
      <c r="J165" s="54"/>
    </row>
    <row r="166" spans="10:10">
      <c r="J166" s="54"/>
    </row>
    <row r="167" spans="10:10">
      <c r="J167" s="54"/>
    </row>
    <row r="168" spans="10:10">
      <c r="J168" s="54"/>
    </row>
    <row r="169" spans="10:10">
      <c r="J169" s="54"/>
    </row>
  </sheetData>
  <phoneticPr fontId="0" type="noConversion"/>
  <pageMargins left="0.32" right="0.28000000000000003" top="0.25" bottom="0.36" header="0.17" footer="0.21"/>
  <pageSetup scale="60" orientation="landscape" r:id="rId1"/>
  <headerFooter alignWithMargins="0">
    <oddFooter>&amp;L&amp;D
&amp;T&amp;CPage &amp;P of &amp;N&amp;R&amp;F
&amp;A</oddFooter>
  </headerFooter>
  <rowBreaks count="1" manualBreakCount="1">
    <brk id="68" min="1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zoomScale="75" zoomScaleNormal="75" workbookViewId="0">
      <selection activeCell="A2" sqref="A2"/>
    </sheetView>
  </sheetViews>
  <sheetFormatPr defaultRowHeight="12.75"/>
  <cols>
    <col min="1" max="1" width="22.85546875" customWidth="1"/>
    <col min="2" max="2" width="41.140625" customWidth="1"/>
    <col min="3" max="4" width="10.28515625" customWidth="1"/>
    <col min="5" max="5" width="11.28515625" customWidth="1"/>
    <col min="6" max="6" width="12.28515625" customWidth="1"/>
    <col min="8" max="8" width="12.28515625" customWidth="1"/>
    <col min="9" max="9" width="12" customWidth="1"/>
    <col min="10" max="10" width="21.85546875" customWidth="1"/>
    <col min="11" max="11" width="42" customWidth="1"/>
    <col min="12" max="12" width="2.42578125" customWidth="1"/>
    <col min="13" max="14" width="12.85546875" customWidth="1"/>
    <col min="15" max="15" width="18.42578125" customWidth="1"/>
    <col min="16" max="17" width="12.85546875" customWidth="1"/>
    <col min="18" max="18" width="14.28515625" customWidth="1"/>
    <col min="19" max="19" width="11.28515625" customWidth="1"/>
  </cols>
  <sheetData>
    <row r="1" spans="1:20" ht="26.25">
      <c r="A1" s="36" t="s">
        <v>200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20" ht="15.75">
      <c r="A2" s="38" t="s">
        <v>354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20">
      <c r="B3" s="2"/>
    </row>
    <row r="4" spans="1:20">
      <c r="B4" s="2"/>
      <c r="M4" s="6"/>
      <c r="N4" s="6"/>
      <c r="O4" s="6"/>
      <c r="P4" s="6"/>
      <c r="Q4" s="6"/>
      <c r="R4" s="6"/>
      <c r="S4" s="6"/>
      <c r="T4" s="6"/>
    </row>
    <row r="5" spans="1:20">
      <c r="M5" s="6"/>
      <c r="N5" s="6"/>
      <c r="O5" s="6"/>
      <c r="P5" s="6"/>
      <c r="Q5" s="6"/>
      <c r="R5" s="6"/>
      <c r="S5" s="6"/>
      <c r="T5" s="6"/>
    </row>
    <row r="6" spans="1:20">
      <c r="A6" s="39"/>
      <c r="B6" s="39"/>
      <c r="C6" s="39"/>
      <c r="D6" s="39"/>
      <c r="E6" s="39" t="s">
        <v>11</v>
      </c>
      <c r="F6" s="39" t="s">
        <v>11</v>
      </c>
      <c r="G6" s="39"/>
      <c r="H6" s="39" t="s">
        <v>1</v>
      </c>
      <c r="I6" s="40" t="s">
        <v>12</v>
      </c>
      <c r="J6" s="39" t="s">
        <v>13</v>
      </c>
      <c r="K6" s="39"/>
      <c r="M6" s="6"/>
      <c r="N6" s="6"/>
      <c r="O6" s="6"/>
      <c r="P6" s="6"/>
      <c r="Q6" s="6"/>
      <c r="R6" s="6"/>
      <c r="S6" s="6"/>
      <c r="T6" s="6"/>
    </row>
    <row r="7" spans="1:20">
      <c r="A7" s="41" t="s">
        <v>14</v>
      </c>
      <c r="B7" s="41" t="s">
        <v>15</v>
      </c>
      <c r="C7" s="41" t="s">
        <v>16</v>
      </c>
      <c r="D7" s="41" t="s">
        <v>17</v>
      </c>
      <c r="E7" s="41" t="s">
        <v>17</v>
      </c>
      <c r="F7" s="41" t="s">
        <v>18</v>
      </c>
      <c r="G7" s="41" t="s">
        <v>19</v>
      </c>
      <c r="H7" s="41" t="s">
        <v>18</v>
      </c>
      <c r="I7" s="41" t="s">
        <v>20</v>
      </c>
      <c r="J7" s="41" t="s">
        <v>18</v>
      </c>
      <c r="K7" s="41" t="s">
        <v>21</v>
      </c>
      <c r="M7" s="40"/>
      <c r="N7" s="40"/>
      <c r="O7" s="40"/>
      <c r="P7" s="40"/>
      <c r="Q7" s="40"/>
      <c r="R7" s="6"/>
      <c r="S7" s="6"/>
      <c r="T7" s="6"/>
    </row>
    <row r="8" spans="1:20">
      <c r="F8" s="42"/>
      <c r="J8" s="42"/>
      <c r="K8" s="42"/>
      <c r="M8" s="6"/>
      <c r="N8" s="6"/>
      <c r="O8" s="6"/>
      <c r="P8" s="6"/>
      <c r="Q8" s="6"/>
      <c r="R8" s="6"/>
      <c r="S8" s="6"/>
      <c r="T8" s="6"/>
    </row>
    <row r="9" spans="1:20">
      <c r="F9" s="42"/>
      <c r="J9" s="42"/>
      <c r="K9" s="42"/>
      <c r="M9" s="6"/>
      <c r="N9" s="6"/>
      <c r="O9" s="6"/>
      <c r="P9" s="6"/>
      <c r="Q9" s="6"/>
      <c r="R9" s="6"/>
      <c r="S9" s="6"/>
      <c r="T9" s="6"/>
    </row>
    <row r="10" spans="1:20" ht="20.25">
      <c r="A10" s="43" t="s">
        <v>352</v>
      </c>
      <c r="B10" s="4"/>
      <c r="C10" s="43"/>
      <c r="D10" s="43"/>
      <c r="E10" s="43"/>
      <c r="F10" s="43"/>
      <c r="G10" s="43"/>
      <c r="H10" s="43"/>
      <c r="I10" s="43"/>
      <c r="J10" s="43"/>
      <c r="K10" s="43"/>
      <c r="M10" s="6"/>
      <c r="N10" s="6"/>
      <c r="O10" s="6"/>
      <c r="P10" s="6"/>
      <c r="Q10" s="6"/>
      <c r="R10" s="6"/>
      <c r="S10" s="6"/>
      <c r="T10" s="6"/>
    </row>
    <row r="11" spans="1:20">
      <c r="F11" s="42"/>
      <c r="J11" s="42"/>
      <c r="K11" s="42"/>
      <c r="M11" s="6"/>
      <c r="N11" s="6"/>
      <c r="O11" s="6"/>
      <c r="P11" s="6"/>
      <c r="Q11" s="6"/>
      <c r="R11" s="6"/>
      <c r="S11" s="6"/>
      <c r="T11" s="6"/>
    </row>
    <row r="12" spans="1:20">
      <c r="A12" t="s">
        <v>230</v>
      </c>
      <c r="B12" s="44" t="s">
        <v>50</v>
      </c>
      <c r="C12" s="45">
        <v>4750</v>
      </c>
      <c r="D12" s="46">
        <v>0</v>
      </c>
      <c r="E12" s="47">
        <v>7.0627000000000004</v>
      </c>
      <c r="F12" s="42">
        <f>+E12*C12</f>
        <v>33547.825000000004</v>
      </c>
      <c r="G12" s="39">
        <v>6</v>
      </c>
      <c r="H12" s="42">
        <f>+G12*F12</f>
        <v>201286.95</v>
      </c>
      <c r="I12" s="48">
        <v>1</v>
      </c>
      <c r="J12" s="42">
        <f>+H12*I12</f>
        <v>201286.95</v>
      </c>
      <c r="K12" s="70" t="s">
        <v>231</v>
      </c>
      <c r="M12" s="49"/>
      <c r="N12" s="6"/>
      <c r="O12" s="6"/>
      <c r="P12" s="6"/>
      <c r="Q12" s="6"/>
      <c r="R12" s="6"/>
      <c r="S12" s="6"/>
      <c r="T12" s="6"/>
    </row>
    <row r="13" spans="1:20">
      <c r="B13" s="44"/>
      <c r="C13" s="45"/>
      <c r="D13" s="46"/>
      <c r="E13" s="47"/>
      <c r="F13" s="42"/>
      <c r="G13" s="39"/>
      <c r="H13" s="42"/>
      <c r="I13" s="48"/>
      <c r="J13" s="42"/>
      <c r="K13" s="70"/>
      <c r="M13" s="49"/>
      <c r="N13" s="6"/>
      <c r="O13" s="6"/>
      <c r="P13" s="6"/>
      <c r="Q13" s="6"/>
      <c r="R13" s="6"/>
      <c r="S13" s="6"/>
      <c r="T13" s="6"/>
    </row>
    <row r="14" spans="1:20">
      <c r="A14" t="s">
        <v>232</v>
      </c>
      <c r="B14" s="44" t="s">
        <v>55</v>
      </c>
      <c r="C14" s="45">
        <v>4500</v>
      </c>
      <c r="D14" s="46">
        <v>0</v>
      </c>
      <c r="E14" s="47">
        <v>6.4630999999999998</v>
      </c>
      <c r="F14" s="42">
        <f>+E14*C14</f>
        <v>29083.95</v>
      </c>
      <c r="G14" s="39">
        <v>2</v>
      </c>
      <c r="H14" s="42">
        <f>+G14*F14</f>
        <v>58167.9</v>
      </c>
      <c r="I14" s="48">
        <v>1</v>
      </c>
      <c r="J14" s="42">
        <f>+H14*I14</f>
        <v>58167.9</v>
      </c>
      <c r="K14" s="70" t="s">
        <v>233</v>
      </c>
      <c r="M14" s="49"/>
      <c r="N14" s="6"/>
      <c r="O14" s="6"/>
      <c r="P14" s="6"/>
      <c r="Q14" s="6"/>
      <c r="R14" s="6"/>
      <c r="S14" s="6"/>
      <c r="T14" s="6"/>
    </row>
    <row r="15" spans="1:20">
      <c r="B15" s="44"/>
      <c r="C15" s="45"/>
      <c r="D15" s="46"/>
      <c r="E15" s="47"/>
      <c r="F15" s="42"/>
      <c r="G15" s="39"/>
      <c r="H15" s="42"/>
      <c r="I15" s="48"/>
      <c r="J15" s="42"/>
      <c r="K15" s="70"/>
      <c r="M15" s="49"/>
      <c r="N15" s="6"/>
      <c r="O15" s="6"/>
      <c r="P15" s="6"/>
      <c r="Q15" s="6"/>
      <c r="R15" s="6"/>
      <c r="S15" s="6"/>
      <c r="T15" s="6"/>
    </row>
    <row r="16" spans="1:20">
      <c r="B16" s="44"/>
      <c r="C16" s="45"/>
      <c r="D16" s="46"/>
      <c r="E16" s="47"/>
      <c r="F16" s="42"/>
      <c r="G16" s="39"/>
      <c r="H16" s="42"/>
      <c r="I16" s="48"/>
      <c r="J16" s="42"/>
      <c r="K16" s="70"/>
      <c r="M16" s="49"/>
      <c r="N16" s="6"/>
      <c r="O16" s="6"/>
      <c r="P16" s="6"/>
      <c r="Q16" s="6"/>
      <c r="R16" s="6"/>
      <c r="S16" s="6"/>
      <c r="T16" s="6"/>
    </row>
    <row r="17" spans="1:20">
      <c r="B17" s="44"/>
      <c r="C17" s="45"/>
      <c r="D17" s="46"/>
      <c r="E17" s="47"/>
      <c r="F17" s="42"/>
      <c r="G17" s="39"/>
      <c r="H17" s="42"/>
      <c r="I17" s="48"/>
      <c r="J17" s="42"/>
      <c r="K17" s="70"/>
      <c r="M17" s="49"/>
      <c r="N17" s="6"/>
      <c r="O17" s="6"/>
      <c r="P17" s="6"/>
      <c r="Q17" s="6"/>
      <c r="R17" s="6"/>
      <c r="S17" s="6"/>
      <c r="T17" s="6"/>
    </row>
    <row r="18" spans="1:20">
      <c r="B18" s="44"/>
      <c r="C18" s="45"/>
      <c r="D18" s="46"/>
      <c r="E18" s="47"/>
      <c r="F18" s="42"/>
      <c r="G18" s="39"/>
      <c r="H18" s="42"/>
      <c r="I18" s="48"/>
      <c r="J18" s="42"/>
      <c r="K18" s="70"/>
      <c r="M18" s="49"/>
      <c r="N18" s="6"/>
      <c r="O18" s="6"/>
      <c r="P18" s="6"/>
      <c r="Q18" s="6"/>
      <c r="R18" s="6"/>
      <c r="S18" s="6"/>
      <c r="T18" s="6"/>
    </row>
    <row r="19" spans="1:20">
      <c r="B19" s="44"/>
      <c r="C19" s="45"/>
      <c r="D19" s="46"/>
      <c r="E19" s="47"/>
      <c r="F19" s="42"/>
      <c r="G19" s="39"/>
      <c r="H19" s="42"/>
      <c r="I19" s="48"/>
      <c r="J19" s="42"/>
      <c r="K19" s="70"/>
      <c r="M19" s="49"/>
      <c r="N19" s="6"/>
      <c r="O19" s="6"/>
      <c r="P19" s="6"/>
      <c r="Q19" s="6"/>
      <c r="R19" s="6"/>
      <c r="S19" s="6"/>
      <c r="T19" s="6"/>
    </row>
    <row r="20" spans="1:20">
      <c r="C20" s="45"/>
      <c r="D20" s="45"/>
      <c r="E20" s="47"/>
      <c r="F20" s="42"/>
      <c r="G20" s="39"/>
      <c r="H20" s="42"/>
      <c r="I20" s="48"/>
      <c r="J20" s="42"/>
      <c r="K20" s="42"/>
      <c r="M20" s="52"/>
      <c r="N20" s="6"/>
      <c r="O20" s="6"/>
      <c r="P20" s="6"/>
      <c r="Q20" s="6"/>
      <c r="R20" s="6"/>
      <c r="S20" s="6"/>
      <c r="T20" s="6"/>
    </row>
    <row r="21" spans="1:20">
      <c r="A21" t="s">
        <v>23</v>
      </c>
      <c r="B21" t="s">
        <v>51</v>
      </c>
      <c r="C21" s="45"/>
      <c r="D21" s="46"/>
      <c r="E21" s="47"/>
      <c r="F21" s="42"/>
      <c r="G21" s="39">
        <v>6</v>
      </c>
      <c r="H21" s="70">
        <v>15023</v>
      </c>
      <c r="I21" s="48">
        <v>1</v>
      </c>
      <c r="J21" s="42">
        <f>+H21*I21-1</f>
        <v>15022</v>
      </c>
      <c r="K21" s="42"/>
      <c r="M21" s="50"/>
      <c r="N21" s="49"/>
      <c r="O21" s="51"/>
      <c r="P21" s="6"/>
      <c r="Q21" s="6"/>
      <c r="R21" s="6"/>
      <c r="S21" s="6"/>
      <c r="T21" s="6"/>
    </row>
    <row r="22" spans="1:20">
      <c r="C22" s="45"/>
      <c r="D22" s="46"/>
      <c r="E22" s="47"/>
      <c r="F22" s="42"/>
      <c r="K22" s="42"/>
      <c r="M22" s="52"/>
      <c r="N22" s="6"/>
      <c r="O22" s="6"/>
      <c r="P22" s="6"/>
      <c r="Q22" s="6"/>
      <c r="R22" s="6"/>
      <c r="S22" s="6"/>
      <c r="T22" s="6"/>
    </row>
    <row r="23" spans="1:20">
      <c r="B23" s="25"/>
      <c r="C23" s="45"/>
      <c r="D23" s="45"/>
      <c r="E23" s="47"/>
      <c r="F23" s="42"/>
      <c r="G23" s="39"/>
      <c r="H23" s="42"/>
      <c r="I23" s="88"/>
      <c r="J23" s="42"/>
      <c r="K23" s="42"/>
      <c r="M23" s="50"/>
      <c r="N23" s="49"/>
      <c r="O23" s="51"/>
      <c r="P23" s="6"/>
      <c r="Q23" s="6"/>
      <c r="R23" s="6"/>
      <c r="S23" s="6"/>
      <c r="T23" s="6"/>
    </row>
    <row r="24" spans="1:20">
      <c r="C24" s="45"/>
      <c r="D24" s="45"/>
      <c r="E24" s="47"/>
      <c r="G24" s="39"/>
      <c r="H24" s="42"/>
      <c r="I24" s="54"/>
      <c r="J24" s="42"/>
      <c r="K24" s="42"/>
      <c r="M24" s="55"/>
      <c r="N24" s="55"/>
      <c r="O24" s="55"/>
      <c r="P24" s="55"/>
      <c r="Q24" s="55"/>
      <c r="R24" s="6"/>
      <c r="S24" s="49"/>
      <c r="T24" s="6"/>
    </row>
    <row r="25" spans="1:20">
      <c r="C25" s="45"/>
      <c r="D25" s="45"/>
      <c r="E25" s="47"/>
      <c r="F25" s="42"/>
      <c r="G25" s="39"/>
      <c r="H25" s="42"/>
      <c r="I25" s="54"/>
      <c r="J25" s="42"/>
      <c r="K25" s="42"/>
      <c r="M25" s="6"/>
      <c r="N25" s="6"/>
      <c r="O25" s="6"/>
      <c r="P25" s="6"/>
      <c r="Q25" s="6"/>
      <c r="R25" s="6"/>
      <c r="S25" s="6"/>
      <c r="T25" s="6"/>
    </row>
    <row r="26" spans="1:20" ht="13.5" thickBot="1">
      <c r="C26" s="56"/>
      <c r="D26" s="56"/>
      <c r="E26" s="47"/>
      <c r="F26" s="55"/>
      <c r="H26" s="57">
        <f>SUM(H12:H23)</f>
        <v>274477.84999999998</v>
      </c>
      <c r="I26" s="54"/>
      <c r="J26" s="57">
        <f>SUM(J12:J23)</f>
        <v>274476.84999999998</v>
      </c>
      <c r="K26" s="42"/>
      <c r="M26" s="55"/>
      <c r="N26" s="55"/>
      <c r="O26" s="55"/>
      <c r="P26" s="55"/>
      <c r="Q26" s="55"/>
      <c r="R26" s="6"/>
      <c r="S26" s="49"/>
      <c r="T26" s="6"/>
    </row>
    <row r="27" spans="1:20" ht="13.5" thickTop="1">
      <c r="C27" s="45"/>
      <c r="D27" s="45"/>
      <c r="E27" s="47"/>
      <c r="F27" s="42"/>
      <c r="H27" s="42"/>
      <c r="I27" s="54"/>
      <c r="J27" s="42"/>
      <c r="K27" s="42"/>
      <c r="M27" s="6"/>
      <c r="N27" s="6"/>
      <c r="O27" s="6"/>
      <c r="P27" s="6"/>
      <c r="Q27" s="6"/>
      <c r="R27" s="6"/>
      <c r="S27" s="6"/>
      <c r="T27" s="6"/>
    </row>
    <row r="28" spans="1:20">
      <c r="C28" s="45"/>
      <c r="D28" s="45"/>
      <c r="E28" s="47"/>
      <c r="F28" s="42"/>
      <c r="H28" s="42"/>
      <c r="I28" s="54"/>
      <c r="J28" s="42"/>
      <c r="K28" s="42"/>
      <c r="M28" s="6"/>
      <c r="N28" s="6"/>
      <c r="O28" s="6"/>
      <c r="P28" s="6"/>
      <c r="Q28" s="6"/>
      <c r="R28" s="6"/>
      <c r="S28" s="6"/>
      <c r="T28" s="6"/>
    </row>
    <row r="29" spans="1:20" ht="20.25">
      <c r="A29" s="43" t="s">
        <v>353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M29" s="6"/>
      <c r="N29" s="6"/>
      <c r="O29" s="6"/>
      <c r="P29" s="6"/>
      <c r="Q29" s="6"/>
      <c r="R29" s="6"/>
      <c r="S29" s="6"/>
      <c r="T29" s="6"/>
    </row>
    <row r="30" spans="1:20">
      <c r="C30" s="45"/>
      <c r="D30" s="45"/>
      <c r="E30" s="47"/>
      <c r="F30" s="42"/>
      <c r="H30" s="42"/>
      <c r="I30" s="54"/>
      <c r="J30" s="42"/>
      <c r="K30" s="42"/>
      <c r="M30" s="6"/>
      <c r="N30" s="6"/>
      <c r="O30" s="6"/>
      <c r="P30" s="6"/>
      <c r="Q30" s="6"/>
      <c r="R30" s="6"/>
      <c r="S30" s="6"/>
      <c r="T30" s="6"/>
    </row>
    <row r="31" spans="1:20">
      <c r="A31" t="s">
        <v>234</v>
      </c>
      <c r="B31" s="44" t="s">
        <v>382</v>
      </c>
      <c r="C31" s="45"/>
      <c r="D31" s="46"/>
      <c r="E31" s="47"/>
      <c r="F31" s="42"/>
      <c r="G31" s="39"/>
      <c r="H31" s="42">
        <v>400000</v>
      </c>
      <c r="I31" s="48">
        <v>1</v>
      </c>
      <c r="J31" s="42">
        <f>+H31*I31</f>
        <v>400000</v>
      </c>
      <c r="K31" s="70" t="s">
        <v>235</v>
      </c>
      <c r="M31" s="6"/>
      <c r="N31" s="6"/>
      <c r="O31" s="6"/>
      <c r="P31" s="6"/>
      <c r="Q31" s="6"/>
      <c r="R31" s="6"/>
      <c r="S31" s="6"/>
      <c r="T31" s="6"/>
    </row>
    <row r="32" spans="1:20">
      <c r="C32" s="45"/>
      <c r="D32" s="45"/>
      <c r="E32" s="47"/>
      <c r="F32" s="42"/>
      <c r="H32" s="42"/>
      <c r="I32" s="48"/>
      <c r="J32" s="42"/>
      <c r="K32" s="42"/>
      <c r="M32" s="6"/>
      <c r="N32" s="6"/>
      <c r="O32" s="6"/>
      <c r="P32" s="6"/>
      <c r="Q32" s="6"/>
      <c r="R32" s="6"/>
      <c r="S32" s="6"/>
      <c r="T32" s="6"/>
    </row>
    <row r="33" spans="1:20">
      <c r="B33" s="44" t="s">
        <v>236</v>
      </c>
      <c r="C33" s="45">
        <v>1666.66</v>
      </c>
      <c r="D33" s="46">
        <v>0</v>
      </c>
      <c r="E33" s="47">
        <v>5</v>
      </c>
      <c r="F33" s="42">
        <f>+E33*C33</f>
        <v>8333.3000000000011</v>
      </c>
      <c r="G33" s="39">
        <v>12</v>
      </c>
      <c r="H33" s="42">
        <f>+G33*F33</f>
        <v>99999.6</v>
      </c>
      <c r="I33" s="48">
        <v>1</v>
      </c>
      <c r="J33" s="42">
        <f>+H33*I33</f>
        <v>99999.6</v>
      </c>
      <c r="K33" s="70" t="s">
        <v>237</v>
      </c>
      <c r="M33" s="6"/>
      <c r="N33" s="6"/>
      <c r="O33" s="6"/>
      <c r="P33" s="6"/>
      <c r="Q33" s="6"/>
      <c r="R33" s="6"/>
      <c r="S33" s="6"/>
      <c r="T33" s="6"/>
    </row>
    <row r="34" spans="1:20">
      <c r="B34" s="44"/>
      <c r="C34" s="45"/>
      <c r="D34" s="46"/>
      <c r="E34" s="47"/>
      <c r="F34" s="42"/>
      <c r="G34" s="39"/>
      <c r="H34" s="42"/>
      <c r="I34" s="48"/>
      <c r="J34" s="42"/>
      <c r="K34" s="70"/>
      <c r="M34" s="6"/>
      <c r="N34" s="6"/>
      <c r="O34" s="6"/>
      <c r="P34" s="6"/>
      <c r="Q34" s="6"/>
      <c r="R34" s="6"/>
      <c r="S34" s="6"/>
      <c r="T34" s="6"/>
    </row>
    <row r="35" spans="1:20">
      <c r="C35" s="45"/>
      <c r="D35" s="46"/>
      <c r="E35" s="47"/>
      <c r="F35" s="42"/>
      <c r="G35" s="39"/>
      <c r="H35" s="42"/>
      <c r="I35" s="48"/>
      <c r="J35" s="42"/>
      <c r="K35" s="42"/>
      <c r="P35" s="6"/>
      <c r="Q35" s="6"/>
      <c r="R35" s="6"/>
      <c r="S35" s="6"/>
      <c r="T35" s="6"/>
    </row>
    <row r="36" spans="1:20" ht="13.5" thickBot="1">
      <c r="C36" s="58"/>
      <c r="D36" s="58"/>
      <c r="E36" s="47"/>
      <c r="F36" s="55"/>
      <c r="H36" s="59">
        <f>SUM(H31:H34)</f>
        <v>499999.6</v>
      </c>
      <c r="I36" s="54"/>
      <c r="J36" s="59">
        <f>SUM(J31:J34)</f>
        <v>499999.6</v>
      </c>
      <c r="K36" s="55"/>
      <c r="P36" s="55"/>
      <c r="Q36" s="55"/>
      <c r="R36" s="6"/>
      <c r="S36" s="49"/>
      <c r="T36" s="6"/>
    </row>
    <row r="37" spans="1:20" ht="13.5" thickTop="1">
      <c r="C37" s="58"/>
      <c r="D37" s="58"/>
      <c r="E37" s="47"/>
      <c r="F37" s="55"/>
      <c r="H37" s="55"/>
      <c r="I37" s="54"/>
      <c r="J37" s="55"/>
      <c r="K37" s="55"/>
      <c r="P37" s="55"/>
      <c r="Q37" s="55"/>
      <c r="R37" s="6"/>
      <c r="S37" s="49"/>
      <c r="T37" s="6"/>
    </row>
    <row r="38" spans="1:20">
      <c r="C38" s="82"/>
      <c r="D38" s="82"/>
      <c r="E38" s="47"/>
      <c r="I38" s="54"/>
      <c r="J38" s="42"/>
      <c r="K38" s="42"/>
      <c r="M38" s="6"/>
      <c r="N38" s="6"/>
      <c r="O38" s="6"/>
      <c r="P38" s="6"/>
      <c r="Q38" s="6"/>
      <c r="R38" s="6"/>
      <c r="S38" s="6"/>
      <c r="T38" s="6"/>
    </row>
    <row r="39" spans="1:20">
      <c r="C39" s="82"/>
      <c r="D39" s="87"/>
      <c r="E39" s="47"/>
      <c r="I39" s="54"/>
      <c r="J39" s="42"/>
      <c r="K39" s="42"/>
      <c r="M39" s="6"/>
      <c r="N39" s="6"/>
      <c r="O39" s="6"/>
      <c r="P39" s="6"/>
      <c r="Q39" s="6"/>
      <c r="R39" s="6"/>
      <c r="S39" s="6"/>
      <c r="T39" s="6"/>
    </row>
    <row r="40" spans="1:20">
      <c r="E40" s="47"/>
      <c r="I40" s="54"/>
      <c r="J40" s="42"/>
      <c r="K40" s="42"/>
      <c r="M40" s="6"/>
      <c r="N40" s="6"/>
      <c r="O40" s="6"/>
      <c r="P40" s="6"/>
      <c r="Q40" s="6"/>
      <c r="R40" s="6"/>
      <c r="S40" s="6"/>
      <c r="T40" s="6"/>
    </row>
    <row r="41" spans="1:20">
      <c r="E41" s="47"/>
      <c r="I41" s="54"/>
      <c r="J41" s="42"/>
      <c r="K41" s="42"/>
      <c r="M41" s="6"/>
      <c r="N41" s="6"/>
      <c r="O41" s="6"/>
      <c r="P41" s="6"/>
      <c r="Q41" s="6"/>
      <c r="R41" s="6"/>
      <c r="S41" s="6"/>
      <c r="T41" s="6"/>
    </row>
    <row r="42" spans="1:20" ht="15.75">
      <c r="E42" s="47"/>
      <c r="H42" s="89" t="s">
        <v>355</v>
      </c>
      <c r="I42" s="264"/>
      <c r="J42" s="90">
        <v>515042</v>
      </c>
      <c r="K42" s="42"/>
      <c r="M42" s="6"/>
      <c r="N42" s="6"/>
      <c r="O42" s="6"/>
      <c r="P42" s="6"/>
      <c r="Q42" s="6"/>
      <c r="R42" s="6"/>
      <c r="S42" s="6"/>
      <c r="T42" s="6"/>
    </row>
    <row r="43" spans="1:20" ht="15.75">
      <c r="E43" s="47"/>
      <c r="H43" s="83"/>
      <c r="I43" s="6"/>
      <c r="J43" s="64"/>
      <c r="M43" s="6"/>
      <c r="N43" s="6"/>
      <c r="O43" s="6"/>
      <c r="P43" s="6"/>
      <c r="Q43" s="6"/>
      <c r="R43" s="6"/>
      <c r="S43" s="6"/>
      <c r="T43" s="6"/>
    </row>
    <row r="44" spans="1:20" ht="15.75">
      <c r="E44" s="47"/>
      <c r="H44" s="83" t="s">
        <v>356</v>
      </c>
      <c r="I44" s="6"/>
      <c r="J44" s="64">
        <f>J26</f>
        <v>274476.84999999998</v>
      </c>
      <c r="M44" s="6"/>
      <c r="N44" s="6"/>
      <c r="O44" s="6"/>
      <c r="P44" s="6"/>
      <c r="Q44" s="6"/>
      <c r="R44" s="6"/>
      <c r="S44" s="6"/>
      <c r="T44" s="6"/>
    </row>
    <row r="45" spans="1:20" ht="15.75">
      <c r="A45" t="str">
        <f ca="1">CELL("filename")</f>
        <v xml:space="preserve">C:\Users\Felienne\Enron\EnronSpreadsheets\[danny_mccarty__4631__2002_Plan_Contracted_uncontracted_stretch 9_21_01.xls]North by Risk Category </v>
      </c>
      <c r="E45" s="47"/>
      <c r="H45" s="83"/>
      <c r="I45" s="6"/>
      <c r="J45" s="64"/>
      <c r="M45" s="6"/>
      <c r="N45" s="6"/>
      <c r="O45" s="6"/>
      <c r="P45" s="6"/>
      <c r="Q45" s="6"/>
      <c r="R45" s="6"/>
      <c r="S45" s="6"/>
      <c r="T45" s="6"/>
    </row>
    <row r="46" spans="1:20" ht="15.75">
      <c r="E46" s="47"/>
      <c r="H46" s="83" t="s">
        <v>357</v>
      </c>
      <c r="I46" s="6"/>
      <c r="J46" s="64">
        <f>J36</f>
        <v>499999.6</v>
      </c>
      <c r="M46" s="6"/>
      <c r="N46" s="6"/>
      <c r="O46" s="6"/>
      <c r="P46" s="6"/>
      <c r="Q46" s="6"/>
      <c r="R46" s="6"/>
      <c r="S46" s="6"/>
      <c r="T46" s="6"/>
    </row>
    <row r="47" spans="1:20" ht="15.75">
      <c r="E47" s="47"/>
      <c r="H47" s="91"/>
      <c r="I47" s="6"/>
      <c r="J47" s="64"/>
      <c r="M47" s="6"/>
      <c r="N47" s="6"/>
      <c r="O47" s="6"/>
      <c r="P47" s="6"/>
      <c r="Q47" s="6"/>
      <c r="R47" s="6"/>
      <c r="S47" s="6"/>
      <c r="T47" s="6"/>
    </row>
    <row r="48" spans="1:20" ht="15.75">
      <c r="E48" s="47"/>
      <c r="H48" s="85" t="s">
        <v>1</v>
      </c>
      <c r="I48" s="18"/>
      <c r="J48" s="92">
        <f>2789519-1500000</f>
        <v>1289519</v>
      </c>
      <c r="M48" s="6"/>
      <c r="N48" s="6"/>
      <c r="O48" s="6"/>
      <c r="P48" s="6"/>
      <c r="Q48" s="6"/>
      <c r="R48" s="6"/>
      <c r="S48" s="6"/>
      <c r="T48" s="6"/>
    </row>
    <row r="49" spans="5:20">
      <c r="E49" s="47"/>
      <c r="I49" s="54"/>
      <c r="M49" s="6"/>
      <c r="N49" s="6"/>
      <c r="O49" s="6"/>
      <c r="P49" s="6"/>
      <c r="Q49" s="6"/>
      <c r="R49" s="6"/>
      <c r="S49" s="6"/>
      <c r="T49" s="6"/>
    </row>
    <row r="50" spans="5:20">
      <c r="E50" s="47"/>
      <c r="I50" s="54"/>
      <c r="M50" s="6"/>
      <c r="N50" s="6"/>
      <c r="O50" s="6"/>
      <c r="P50" s="6"/>
      <c r="Q50" s="6"/>
      <c r="R50" s="6"/>
      <c r="S50" s="6"/>
      <c r="T50" s="6"/>
    </row>
    <row r="51" spans="5:20">
      <c r="E51" s="47"/>
      <c r="I51" s="54"/>
      <c r="M51" s="6"/>
      <c r="N51" s="6"/>
      <c r="O51" s="6"/>
      <c r="P51" s="6"/>
      <c r="Q51" s="6"/>
      <c r="R51" s="6"/>
      <c r="S51" s="6"/>
      <c r="T51" s="6"/>
    </row>
    <row r="52" spans="5:20">
      <c r="E52" s="47"/>
      <c r="I52" s="54"/>
      <c r="M52" s="6"/>
      <c r="N52" s="6"/>
      <c r="O52" s="6"/>
      <c r="P52" s="6"/>
      <c r="Q52" s="6"/>
      <c r="R52" s="6"/>
      <c r="S52" s="6"/>
      <c r="T52" s="6"/>
    </row>
    <row r="53" spans="5:20">
      <c r="E53" s="47"/>
      <c r="I53" s="54"/>
      <c r="M53" s="6"/>
      <c r="N53" s="6"/>
      <c r="O53" s="6"/>
      <c r="P53" s="6"/>
      <c r="Q53" s="6"/>
      <c r="R53" s="6"/>
      <c r="S53" s="6"/>
      <c r="T53" s="6"/>
    </row>
    <row r="54" spans="5:20">
      <c r="E54" s="47"/>
      <c r="I54" s="54"/>
      <c r="M54" s="6"/>
      <c r="N54" s="6"/>
      <c r="O54" s="6"/>
      <c r="P54" s="6"/>
      <c r="Q54" s="6"/>
      <c r="R54" s="6"/>
      <c r="S54" s="6"/>
      <c r="T54" s="6"/>
    </row>
    <row r="55" spans="5:20">
      <c r="E55" s="47"/>
      <c r="I55" s="54"/>
      <c r="M55" s="6"/>
      <c r="N55" s="6"/>
      <c r="O55" s="6"/>
      <c r="P55" s="6"/>
      <c r="Q55" s="6"/>
      <c r="R55" s="6"/>
      <c r="S55" s="6"/>
      <c r="T55" s="6"/>
    </row>
    <row r="56" spans="5:20">
      <c r="E56" s="47"/>
      <c r="I56" s="54"/>
      <c r="M56" s="6"/>
      <c r="N56" s="6"/>
      <c r="O56" s="6"/>
      <c r="P56" s="6"/>
      <c r="Q56" s="6"/>
      <c r="R56" s="6"/>
      <c r="S56" s="6"/>
      <c r="T56" s="6"/>
    </row>
    <row r="57" spans="5:20">
      <c r="E57" s="47"/>
      <c r="I57" s="54"/>
      <c r="M57" s="6"/>
      <c r="N57" s="6"/>
      <c r="O57" s="6"/>
      <c r="P57" s="6"/>
      <c r="Q57" s="6"/>
      <c r="R57" s="6"/>
      <c r="S57" s="6"/>
      <c r="T57" s="6"/>
    </row>
    <row r="58" spans="5:20">
      <c r="E58" s="47"/>
      <c r="I58" s="54"/>
      <c r="M58" s="6"/>
      <c r="N58" s="6"/>
      <c r="O58" s="6"/>
      <c r="P58" s="6"/>
      <c r="Q58" s="6"/>
      <c r="R58" s="6"/>
      <c r="S58" s="6"/>
      <c r="T58" s="6"/>
    </row>
    <row r="59" spans="5:20">
      <c r="E59" s="47"/>
      <c r="I59" s="54"/>
    </row>
    <row r="60" spans="5:20">
      <c r="E60" s="47"/>
      <c r="I60" s="54"/>
    </row>
    <row r="61" spans="5:20">
      <c r="I61" s="54"/>
    </row>
    <row r="62" spans="5:20">
      <c r="I62" s="54"/>
    </row>
    <row r="63" spans="5:20">
      <c r="I63" s="54"/>
    </row>
    <row r="64" spans="5:20">
      <c r="I64" s="54"/>
    </row>
    <row r="65" spans="9:9">
      <c r="I65" s="54"/>
    </row>
    <row r="66" spans="9:9">
      <c r="I66" s="54"/>
    </row>
    <row r="67" spans="9:9">
      <c r="I67" s="54"/>
    </row>
    <row r="68" spans="9:9">
      <c r="I68" s="54"/>
    </row>
    <row r="69" spans="9:9">
      <c r="I69" s="54"/>
    </row>
    <row r="70" spans="9:9">
      <c r="I70" s="54"/>
    </row>
    <row r="71" spans="9:9">
      <c r="I71" s="54"/>
    </row>
    <row r="72" spans="9:9">
      <c r="I72" s="54"/>
    </row>
    <row r="73" spans="9:9">
      <c r="I73" s="54"/>
    </row>
    <row r="74" spans="9:9">
      <c r="I74" s="54"/>
    </row>
    <row r="75" spans="9:9">
      <c r="I75" s="54"/>
    </row>
    <row r="76" spans="9:9">
      <c r="I76" s="54"/>
    </row>
    <row r="77" spans="9:9">
      <c r="I77" s="54"/>
    </row>
    <row r="78" spans="9:9">
      <c r="I78" s="54"/>
    </row>
    <row r="79" spans="9:9">
      <c r="I79" s="54"/>
    </row>
    <row r="80" spans="9:9">
      <c r="I80" s="54"/>
    </row>
    <row r="81" spans="9:9">
      <c r="I81" s="54"/>
    </row>
    <row r="82" spans="9:9">
      <c r="I82" s="54"/>
    </row>
    <row r="83" spans="9:9">
      <c r="I83" s="54"/>
    </row>
    <row r="84" spans="9:9">
      <c r="I84" s="54"/>
    </row>
    <row r="85" spans="9:9">
      <c r="I85" s="54"/>
    </row>
    <row r="86" spans="9:9">
      <c r="I86" s="54"/>
    </row>
    <row r="87" spans="9:9">
      <c r="I87" s="54"/>
    </row>
    <row r="88" spans="9:9">
      <c r="I88" s="54"/>
    </row>
    <row r="89" spans="9:9">
      <c r="I89" s="54"/>
    </row>
    <row r="90" spans="9:9">
      <c r="I90" s="54"/>
    </row>
    <row r="91" spans="9:9">
      <c r="I91" s="54"/>
    </row>
    <row r="92" spans="9:9">
      <c r="I92" s="54"/>
    </row>
    <row r="93" spans="9:9">
      <c r="I93" s="54"/>
    </row>
    <row r="94" spans="9:9">
      <c r="I94" s="54"/>
    </row>
    <row r="95" spans="9:9">
      <c r="I95" s="54"/>
    </row>
    <row r="96" spans="9:9">
      <c r="I96" s="54"/>
    </row>
    <row r="97" spans="9:9">
      <c r="I97" s="54"/>
    </row>
    <row r="98" spans="9:9">
      <c r="I98" s="54"/>
    </row>
    <row r="99" spans="9:9">
      <c r="I99" s="54"/>
    </row>
    <row r="100" spans="9:9">
      <c r="I100" s="54"/>
    </row>
    <row r="101" spans="9:9">
      <c r="I101" s="54"/>
    </row>
    <row r="102" spans="9:9">
      <c r="I102" s="54"/>
    </row>
    <row r="103" spans="9:9">
      <c r="I103" s="54"/>
    </row>
    <row r="104" spans="9:9">
      <c r="I104" s="54"/>
    </row>
    <row r="105" spans="9:9">
      <c r="I105" s="54"/>
    </row>
    <row r="106" spans="9:9">
      <c r="I106" s="54"/>
    </row>
    <row r="107" spans="9:9">
      <c r="I107" s="54"/>
    </row>
    <row r="108" spans="9:9">
      <c r="I108" s="54"/>
    </row>
    <row r="109" spans="9:9">
      <c r="I109" s="54"/>
    </row>
    <row r="110" spans="9:9">
      <c r="I110" s="54"/>
    </row>
    <row r="111" spans="9:9">
      <c r="I111" s="54"/>
    </row>
    <row r="112" spans="9:9">
      <c r="I112" s="54"/>
    </row>
    <row r="113" spans="9:9">
      <c r="I113" s="54"/>
    </row>
    <row r="114" spans="9:9">
      <c r="I114" s="54"/>
    </row>
    <row r="115" spans="9:9">
      <c r="I115" s="54"/>
    </row>
    <row r="116" spans="9:9">
      <c r="I116" s="54"/>
    </row>
    <row r="117" spans="9:9">
      <c r="I117" s="54"/>
    </row>
    <row r="118" spans="9:9">
      <c r="I118" s="54"/>
    </row>
    <row r="119" spans="9:9">
      <c r="I119" s="54"/>
    </row>
    <row r="120" spans="9:9">
      <c r="I120" s="54"/>
    </row>
    <row r="121" spans="9:9">
      <c r="I121" s="54"/>
    </row>
    <row r="122" spans="9:9">
      <c r="I122" s="54"/>
    </row>
  </sheetData>
  <phoneticPr fontId="0" type="noConversion"/>
  <pageMargins left="0.37" right="0.33" top="0.34" bottom="0.36" header="0.18" footer="0.21"/>
  <pageSetup scale="60" fitToHeight="2" orientation="landscape" r:id="rId1"/>
  <headerFooter alignWithMargins="0">
    <oddFooter>&amp;L&amp;D
&amp;T&amp;CPage &amp;P of &amp;N&amp;R&amp;F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45" zoomScale="90" zoomScaleNormal="90" workbookViewId="0">
      <selection activeCell="C2" sqref="C2"/>
    </sheetView>
  </sheetViews>
  <sheetFormatPr defaultRowHeight="12.75"/>
  <cols>
    <col min="1" max="1" width="13" customWidth="1"/>
    <col min="2" max="2" width="11.42578125" customWidth="1"/>
    <col min="3" max="3" width="13.28515625" customWidth="1"/>
    <col min="4" max="5" width="10.28515625" customWidth="1"/>
    <col min="6" max="6" width="14.28515625" customWidth="1"/>
    <col min="7" max="7" width="4.7109375" customWidth="1"/>
    <col min="8" max="8" width="16.5703125" customWidth="1"/>
    <col min="9" max="10" width="15" bestFit="1" customWidth="1"/>
    <col min="11" max="11" width="4.7109375" customWidth="1"/>
    <col min="12" max="12" width="19.140625" customWidth="1"/>
    <col min="13" max="13" width="4.7109375" customWidth="1"/>
    <col min="14" max="14" width="15.140625" customWidth="1"/>
    <col min="15" max="15" width="4" customWidth="1"/>
    <col min="16" max="16" width="16.140625" customWidth="1"/>
    <col min="17" max="17" width="12.85546875" customWidth="1"/>
    <col min="18" max="18" width="15" customWidth="1"/>
    <col min="19" max="20" width="12.85546875" customWidth="1"/>
    <col min="21" max="21" width="14.28515625" customWidth="1"/>
    <col min="22" max="22" width="1.5703125" customWidth="1"/>
    <col min="24" max="24" width="13.28515625" bestFit="1" customWidth="1"/>
    <col min="25" max="25" width="1.85546875" customWidth="1"/>
    <col min="27" max="27" width="13.28515625" bestFit="1" customWidth="1"/>
  </cols>
  <sheetData>
    <row r="1" spans="1:22" ht="26.25">
      <c r="A1" s="36" t="s">
        <v>26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22" ht="15.75">
      <c r="A2" s="38" t="s">
        <v>354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22" ht="15.75">
      <c r="A3" s="38"/>
      <c r="B3" s="38"/>
      <c r="C3" s="38"/>
      <c r="D3" s="329" t="s">
        <v>389</v>
      </c>
      <c r="E3" s="329"/>
      <c r="F3" s="329"/>
      <c r="G3" s="38"/>
      <c r="H3" s="328"/>
      <c r="I3" s="38"/>
      <c r="J3" s="38"/>
      <c r="K3" s="38"/>
      <c r="L3" s="38"/>
      <c r="M3" s="38"/>
    </row>
    <row r="4" spans="1:22" ht="15.75">
      <c r="A4" s="327" t="s">
        <v>388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22">
      <c r="B5" s="2"/>
    </row>
    <row r="6" spans="1:22">
      <c r="P6" s="6"/>
      <c r="Q6" s="6"/>
      <c r="R6" s="6"/>
      <c r="S6" s="6"/>
      <c r="T6" s="6"/>
      <c r="U6" s="6"/>
      <c r="V6" s="6"/>
    </row>
    <row r="7" spans="1:22" ht="15.75">
      <c r="A7" s="20"/>
      <c r="B7" s="20"/>
      <c r="C7" s="20" t="s">
        <v>3</v>
      </c>
      <c r="D7" s="20" t="s">
        <v>27</v>
      </c>
      <c r="E7" s="20" t="s">
        <v>11</v>
      </c>
      <c r="F7" s="20" t="s">
        <v>3</v>
      </c>
      <c r="G7" s="20"/>
      <c r="H7" s="20" t="s">
        <v>4</v>
      </c>
      <c r="I7" s="20"/>
      <c r="J7" s="20" t="s">
        <v>28</v>
      </c>
      <c r="K7" s="170"/>
      <c r="L7" s="20" t="s">
        <v>1</v>
      </c>
      <c r="M7" s="20"/>
      <c r="N7" s="20" t="s">
        <v>97</v>
      </c>
      <c r="O7" s="20"/>
      <c r="P7" s="170">
        <v>2001</v>
      </c>
      <c r="Q7" s="6"/>
      <c r="R7" s="6"/>
      <c r="S7" s="6"/>
      <c r="T7" s="6"/>
      <c r="U7" s="6"/>
      <c r="V7" s="6"/>
    </row>
    <row r="8" spans="1:22" ht="15.75">
      <c r="A8" s="171" t="s">
        <v>29</v>
      </c>
      <c r="B8" s="171" t="s">
        <v>15</v>
      </c>
      <c r="C8" s="171" t="s">
        <v>30</v>
      </c>
      <c r="D8" s="171" t="s">
        <v>17</v>
      </c>
      <c r="E8" s="171" t="s">
        <v>17</v>
      </c>
      <c r="F8" s="171" t="s">
        <v>18</v>
      </c>
      <c r="G8" s="170"/>
      <c r="H8" s="171" t="s">
        <v>31</v>
      </c>
      <c r="I8" s="171" t="s">
        <v>17</v>
      </c>
      <c r="J8" s="171" t="s">
        <v>18</v>
      </c>
      <c r="K8" s="170"/>
      <c r="L8" s="171" t="s">
        <v>18</v>
      </c>
      <c r="M8" s="171"/>
      <c r="N8" s="20" t="s">
        <v>98</v>
      </c>
      <c r="O8" s="20"/>
      <c r="P8" s="170" t="s">
        <v>5</v>
      </c>
      <c r="Q8" s="40"/>
      <c r="R8" s="40"/>
      <c r="S8" s="40"/>
      <c r="T8" s="40"/>
      <c r="U8" s="6"/>
      <c r="V8" s="6"/>
    </row>
    <row r="9" spans="1:22" ht="20.25">
      <c r="A9" s="93" t="s">
        <v>352</v>
      </c>
      <c r="B9" s="5"/>
      <c r="C9" s="93"/>
      <c r="D9" s="93"/>
      <c r="E9" s="93"/>
      <c r="F9" s="93"/>
      <c r="G9" s="93"/>
      <c r="H9" s="93"/>
      <c r="I9" s="93"/>
      <c r="J9" s="93"/>
      <c r="K9" s="93"/>
      <c r="L9" s="93"/>
      <c r="M9" s="43"/>
      <c r="P9" s="6"/>
      <c r="Q9" s="6"/>
      <c r="R9" s="6"/>
      <c r="S9" s="6"/>
      <c r="T9" s="6"/>
      <c r="U9" s="6"/>
      <c r="V9" s="6"/>
    </row>
    <row r="10" spans="1:22">
      <c r="A10" t="s">
        <v>32</v>
      </c>
      <c r="B10" t="s">
        <v>221</v>
      </c>
      <c r="C10" s="45">
        <v>320000</v>
      </c>
      <c r="D10" s="71">
        <f>+E10/30.4</f>
        <v>0.21629995888157894</v>
      </c>
      <c r="E10" s="72">
        <f>+F10/C10</f>
        <v>6.5755187499999996</v>
      </c>
      <c r="F10" s="42">
        <v>2104166</v>
      </c>
      <c r="H10" s="45">
        <v>9484800</v>
      </c>
      <c r="I10" s="73">
        <f>+J10/H10</f>
        <v>3.4491713056680161E-2</v>
      </c>
      <c r="J10" s="42">
        <v>327147</v>
      </c>
      <c r="L10" s="42">
        <f t="shared" ref="L10:L36" si="0">+F10+J10</f>
        <v>2431313</v>
      </c>
      <c r="M10" s="42"/>
      <c r="P10" s="49">
        <f>+L10</f>
        <v>2431313</v>
      </c>
      <c r="Q10" s="6"/>
      <c r="R10" s="6"/>
      <c r="S10" s="6"/>
      <c r="T10" s="6"/>
      <c r="U10" s="6"/>
      <c r="V10" s="6"/>
    </row>
    <row r="11" spans="1:22">
      <c r="A11" t="s">
        <v>32</v>
      </c>
      <c r="B11" t="s">
        <v>33</v>
      </c>
      <c r="C11" s="45">
        <v>0</v>
      </c>
      <c r="D11" s="74">
        <v>0</v>
      </c>
      <c r="E11" s="72">
        <v>0</v>
      </c>
      <c r="F11" s="42">
        <v>0</v>
      </c>
      <c r="H11" s="45">
        <v>14999902</v>
      </c>
      <c r="I11" s="73">
        <f>+J11/H11</f>
        <v>2.7199977706521015E-2</v>
      </c>
      <c r="J11" s="42">
        <v>407997</v>
      </c>
      <c r="L11" s="42">
        <f t="shared" si="0"/>
        <v>407997</v>
      </c>
      <c r="M11" s="42"/>
      <c r="P11" s="49">
        <f t="shared" ref="P11:P38" si="1">+L11</f>
        <v>407997</v>
      </c>
      <c r="Q11" s="6"/>
      <c r="R11" s="6"/>
      <c r="S11" s="6"/>
      <c r="T11" s="6"/>
      <c r="U11" s="6"/>
      <c r="V11" s="6"/>
    </row>
    <row r="12" spans="1:22">
      <c r="A12" t="s">
        <v>32</v>
      </c>
      <c r="B12" t="s">
        <v>222</v>
      </c>
      <c r="C12" s="45">
        <v>0</v>
      </c>
      <c r="D12" s="74">
        <v>0</v>
      </c>
      <c r="E12" s="72">
        <v>0</v>
      </c>
      <c r="F12" s="42">
        <v>0</v>
      </c>
      <c r="H12" s="45">
        <v>2700000</v>
      </c>
      <c r="I12" s="73">
        <f>+J12/H12</f>
        <v>0.32861111111111113</v>
      </c>
      <c r="J12" s="42">
        <v>887250</v>
      </c>
      <c r="L12" s="42">
        <f t="shared" si="0"/>
        <v>887250</v>
      </c>
      <c r="M12" s="42"/>
      <c r="P12" s="49">
        <f t="shared" si="1"/>
        <v>887250</v>
      </c>
      <c r="Q12" s="6"/>
      <c r="R12" s="49">
        <f>SUM(P10:P12)</f>
        <v>3726560</v>
      </c>
      <c r="S12" s="6"/>
      <c r="T12" s="6"/>
      <c r="U12" s="6"/>
      <c r="V12" s="6"/>
    </row>
    <row r="13" spans="1:22">
      <c r="C13" s="45"/>
      <c r="D13" s="74"/>
      <c r="E13" s="72"/>
      <c r="F13" s="42"/>
      <c r="H13" s="45"/>
      <c r="I13" s="73"/>
      <c r="J13" s="42"/>
      <c r="L13" s="42"/>
      <c r="M13" s="42"/>
      <c r="P13" s="6"/>
      <c r="Q13" s="6"/>
      <c r="R13" s="6"/>
      <c r="S13" s="6"/>
      <c r="T13" s="6"/>
      <c r="U13" s="6"/>
      <c r="V13" s="6"/>
    </row>
    <row r="14" spans="1:22">
      <c r="A14" t="s">
        <v>224</v>
      </c>
      <c r="B14" t="s">
        <v>35</v>
      </c>
      <c r="C14" s="45">
        <v>175000</v>
      </c>
      <c r="D14" s="71">
        <f>+E14/30.4</f>
        <v>0.01</v>
      </c>
      <c r="E14" s="72">
        <f>+F14/C14</f>
        <v>0.30399999999999999</v>
      </c>
      <c r="F14" s="42">
        <v>53200</v>
      </c>
      <c r="H14" s="45">
        <v>0</v>
      </c>
      <c r="I14" s="73">
        <v>0</v>
      </c>
      <c r="J14" s="42">
        <v>0</v>
      </c>
      <c r="L14" s="42">
        <f t="shared" si="0"/>
        <v>53200</v>
      </c>
      <c r="M14" s="42"/>
      <c r="P14" s="49">
        <f t="shared" si="1"/>
        <v>53200</v>
      </c>
      <c r="Q14" s="6"/>
      <c r="R14" s="6"/>
      <c r="S14" s="6"/>
      <c r="T14" s="6"/>
      <c r="U14" s="6"/>
      <c r="V14" s="6"/>
    </row>
    <row r="15" spans="1:22">
      <c r="A15" t="s">
        <v>224</v>
      </c>
      <c r="B15" t="s">
        <v>36</v>
      </c>
      <c r="C15" s="45">
        <v>0</v>
      </c>
      <c r="D15" s="74">
        <v>0</v>
      </c>
      <c r="E15" s="72">
        <v>0</v>
      </c>
      <c r="F15" s="42">
        <v>0</v>
      </c>
      <c r="H15" s="45">
        <v>5000000</v>
      </c>
      <c r="I15" s="73">
        <f>+J15/H15</f>
        <v>0.01</v>
      </c>
      <c r="J15" s="42">
        <v>50000</v>
      </c>
      <c r="L15" s="42">
        <f t="shared" si="0"/>
        <v>50000</v>
      </c>
      <c r="M15" s="42"/>
      <c r="P15" s="49">
        <f t="shared" si="1"/>
        <v>50000</v>
      </c>
      <c r="Q15" s="6"/>
      <c r="R15" s="6"/>
      <c r="S15" s="6"/>
      <c r="T15" s="6"/>
      <c r="U15" s="6"/>
      <c r="V15" s="6"/>
    </row>
    <row r="16" spans="1:22">
      <c r="A16" t="s">
        <v>224</v>
      </c>
      <c r="B16" t="s">
        <v>37</v>
      </c>
      <c r="C16" s="45">
        <v>0</v>
      </c>
      <c r="D16" s="74">
        <v>0</v>
      </c>
      <c r="E16" s="72">
        <v>0</v>
      </c>
      <c r="F16" s="42">
        <v>0</v>
      </c>
      <c r="H16" s="45">
        <v>15128000</v>
      </c>
      <c r="I16" s="73">
        <f>+J16/H16</f>
        <v>1.0120571126388155E-2</v>
      </c>
      <c r="J16" s="42">
        <v>153104</v>
      </c>
      <c r="L16" s="42">
        <f t="shared" si="0"/>
        <v>153104</v>
      </c>
      <c r="M16" s="42"/>
      <c r="P16" s="49">
        <f t="shared" si="1"/>
        <v>153104</v>
      </c>
      <c r="Q16" s="6"/>
      <c r="R16" s="6"/>
      <c r="S16" s="6"/>
      <c r="T16" s="6"/>
      <c r="U16" s="6"/>
      <c r="V16" s="6"/>
    </row>
    <row r="17" spans="1:22">
      <c r="A17" t="s">
        <v>224</v>
      </c>
      <c r="B17" t="s">
        <v>38</v>
      </c>
      <c r="C17" s="45">
        <v>0</v>
      </c>
      <c r="D17" s="74">
        <v>0</v>
      </c>
      <c r="E17" s="72">
        <v>0</v>
      </c>
      <c r="F17" s="42">
        <v>0</v>
      </c>
      <c r="H17" s="45">
        <v>1600000</v>
      </c>
      <c r="I17" s="73">
        <f>+J17/H17</f>
        <v>0.15</v>
      </c>
      <c r="J17" s="42">
        <v>240000</v>
      </c>
      <c r="L17" s="42">
        <f t="shared" si="0"/>
        <v>240000</v>
      </c>
      <c r="M17" s="42"/>
      <c r="P17" s="49">
        <f t="shared" si="1"/>
        <v>240000</v>
      </c>
      <c r="Q17" s="6"/>
      <c r="R17" s="49">
        <f>SUM(L14:L17)</f>
        <v>496304</v>
      </c>
      <c r="S17" s="6"/>
      <c r="T17" s="6"/>
      <c r="U17" s="6"/>
      <c r="V17" s="6"/>
    </row>
    <row r="18" spans="1:22">
      <c r="C18" s="45"/>
      <c r="D18" s="74"/>
      <c r="E18" s="72"/>
      <c r="F18" s="42"/>
      <c r="H18" s="45"/>
      <c r="I18" s="73"/>
      <c r="J18" s="42"/>
      <c r="L18" s="42"/>
      <c r="M18" s="42"/>
      <c r="P18" s="6"/>
      <c r="Q18" s="6"/>
      <c r="R18" s="6"/>
      <c r="S18" s="6"/>
      <c r="T18" s="6"/>
      <c r="U18" s="6"/>
      <c r="V18" s="6"/>
    </row>
    <row r="19" spans="1:22">
      <c r="A19" t="s">
        <v>225</v>
      </c>
      <c r="B19" s="44" t="s">
        <v>3</v>
      </c>
      <c r="C19" s="56">
        <v>550000</v>
      </c>
      <c r="D19" s="71">
        <f>+E19/30.4</f>
        <v>2.0008253588516746E-2</v>
      </c>
      <c r="E19" s="72">
        <f>+F19/C19</f>
        <v>0.60825090909090906</v>
      </c>
      <c r="F19" s="42">
        <v>334538</v>
      </c>
      <c r="G19" s="47"/>
      <c r="H19" s="45">
        <v>0</v>
      </c>
      <c r="I19" s="73">
        <v>0</v>
      </c>
      <c r="J19" s="42">
        <v>0</v>
      </c>
      <c r="K19" s="48"/>
      <c r="L19" s="42">
        <f t="shared" si="0"/>
        <v>334538</v>
      </c>
      <c r="M19" s="42"/>
      <c r="P19" s="49">
        <f t="shared" si="1"/>
        <v>334538</v>
      </c>
      <c r="Q19" s="6"/>
      <c r="R19" s="6"/>
      <c r="S19" s="6"/>
      <c r="T19" s="6"/>
      <c r="U19" s="6"/>
      <c r="V19" s="6"/>
    </row>
    <row r="20" spans="1:22">
      <c r="A20" t="s">
        <v>225</v>
      </c>
      <c r="B20" t="s">
        <v>37</v>
      </c>
      <c r="C20" s="45">
        <v>0</v>
      </c>
      <c r="D20" s="45">
        <v>0</v>
      </c>
      <c r="E20" s="72">
        <v>0</v>
      </c>
      <c r="F20" s="42">
        <v>0</v>
      </c>
      <c r="G20" s="47"/>
      <c r="H20" s="45">
        <v>59091200</v>
      </c>
      <c r="I20" s="73">
        <f>+J20/H20</f>
        <v>1.2115374201234702E-2</v>
      </c>
      <c r="J20" s="42">
        <v>715912</v>
      </c>
      <c r="K20" s="48"/>
      <c r="L20" s="42">
        <f t="shared" si="0"/>
        <v>715912</v>
      </c>
      <c r="M20" s="42"/>
      <c r="P20" s="49">
        <f t="shared" si="1"/>
        <v>715912</v>
      </c>
      <c r="Q20" s="6"/>
      <c r="R20" s="6"/>
      <c r="S20" s="6"/>
      <c r="T20" s="6"/>
      <c r="U20" s="6"/>
      <c r="V20" s="6"/>
    </row>
    <row r="21" spans="1:22">
      <c r="A21" t="s">
        <v>225</v>
      </c>
      <c r="B21" s="44" t="s">
        <v>38</v>
      </c>
      <c r="C21" s="45">
        <v>0</v>
      </c>
      <c r="D21" s="45">
        <v>0</v>
      </c>
      <c r="E21" s="72">
        <v>0</v>
      </c>
      <c r="F21" s="42">
        <v>0</v>
      </c>
      <c r="G21" s="47"/>
      <c r="H21" s="45">
        <v>25000000</v>
      </c>
      <c r="I21" s="73">
        <f>+J21/H21</f>
        <v>0.03</v>
      </c>
      <c r="J21" s="42">
        <v>750000</v>
      </c>
      <c r="K21" s="48"/>
      <c r="L21" s="42">
        <f t="shared" si="0"/>
        <v>750000</v>
      </c>
      <c r="M21" s="42"/>
      <c r="P21" s="49">
        <f t="shared" si="1"/>
        <v>750000</v>
      </c>
      <c r="Q21" s="6"/>
      <c r="R21" s="6"/>
      <c r="S21" s="6"/>
      <c r="T21" s="6"/>
      <c r="U21" s="6"/>
      <c r="V21" s="6"/>
    </row>
    <row r="22" spans="1:22">
      <c r="A22" t="s">
        <v>225</v>
      </c>
      <c r="B22" s="44" t="s">
        <v>39</v>
      </c>
      <c r="C22" s="45">
        <v>0</v>
      </c>
      <c r="D22" s="45">
        <v>0</v>
      </c>
      <c r="E22" s="72">
        <v>0</v>
      </c>
      <c r="F22" s="42">
        <v>0</v>
      </c>
      <c r="G22" s="47"/>
      <c r="H22" s="45">
        <v>27000000</v>
      </c>
      <c r="I22" s="73">
        <f>+J22/H22</f>
        <v>0.02</v>
      </c>
      <c r="J22" s="42">
        <v>540000</v>
      </c>
      <c r="K22" s="48"/>
      <c r="L22" s="42">
        <f t="shared" si="0"/>
        <v>540000</v>
      </c>
      <c r="M22" s="42"/>
      <c r="P22" s="49">
        <f t="shared" si="1"/>
        <v>540000</v>
      </c>
      <c r="Q22" s="49"/>
      <c r="R22" s="282">
        <f>SUM(L19:L22)</f>
        <v>2340450</v>
      </c>
      <c r="S22" s="6"/>
      <c r="T22" s="6"/>
      <c r="U22" s="6"/>
      <c r="V22" s="6"/>
    </row>
    <row r="23" spans="1:22">
      <c r="B23" s="44"/>
      <c r="C23" s="45"/>
      <c r="D23" s="45"/>
      <c r="E23" s="72"/>
      <c r="F23" s="42"/>
      <c r="G23" s="47"/>
      <c r="H23" s="45"/>
      <c r="I23" s="73"/>
      <c r="J23" s="42"/>
      <c r="K23" s="48"/>
      <c r="L23" s="42"/>
      <c r="M23" s="42"/>
      <c r="P23" s="50"/>
      <c r="Q23" s="49"/>
      <c r="R23" s="51"/>
      <c r="S23" s="6"/>
      <c r="T23" s="6"/>
      <c r="U23" s="6"/>
      <c r="V23" s="6"/>
    </row>
    <row r="24" spans="1:22">
      <c r="C24" s="45"/>
      <c r="D24" s="45"/>
      <c r="E24" s="72"/>
      <c r="F24" s="42"/>
      <c r="G24" s="47"/>
      <c r="H24" s="45"/>
      <c r="I24" s="73"/>
      <c r="J24" s="42"/>
      <c r="K24" s="48"/>
      <c r="L24" s="42"/>
      <c r="M24" s="42"/>
      <c r="P24" s="52"/>
      <c r="Q24" s="49"/>
      <c r="R24" s="51"/>
      <c r="S24" s="6"/>
      <c r="T24" s="6"/>
      <c r="U24" s="6"/>
      <c r="V24" s="6"/>
    </row>
    <row r="25" spans="1:22">
      <c r="A25" t="s">
        <v>40</v>
      </c>
      <c r="B25" t="s">
        <v>342</v>
      </c>
      <c r="C25" s="45">
        <v>35000</v>
      </c>
      <c r="D25" s="71">
        <f>+E25/30.4</f>
        <v>0.01</v>
      </c>
      <c r="E25" s="72">
        <f>+F25/C25</f>
        <v>0.30399999999999999</v>
      </c>
      <c r="F25" s="42">
        <v>10640</v>
      </c>
      <c r="G25" s="47"/>
      <c r="H25" s="45">
        <v>0</v>
      </c>
      <c r="I25" s="73">
        <v>0</v>
      </c>
      <c r="J25" s="42">
        <v>0</v>
      </c>
      <c r="K25" s="48"/>
      <c r="L25" s="42">
        <f t="shared" si="0"/>
        <v>10640</v>
      </c>
      <c r="M25" s="42"/>
      <c r="P25" s="49">
        <f t="shared" si="1"/>
        <v>10640</v>
      </c>
      <c r="Q25" s="6"/>
      <c r="R25" s="6"/>
      <c r="S25" s="6"/>
      <c r="T25" s="6"/>
      <c r="U25" s="6"/>
      <c r="V25" s="6"/>
    </row>
    <row r="26" spans="1:22">
      <c r="A26" t="s">
        <v>40</v>
      </c>
      <c r="B26" t="s">
        <v>37</v>
      </c>
      <c r="C26" s="45">
        <v>0</v>
      </c>
      <c r="D26" s="45">
        <v>0</v>
      </c>
      <c r="E26" s="72">
        <v>0</v>
      </c>
      <c r="F26" s="42">
        <v>0</v>
      </c>
      <c r="G26" s="47"/>
      <c r="H26" s="45">
        <v>100987008</v>
      </c>
      <c r="I26" s="73">
        <f>+J26/H26</f>
        <v>1.7151750847000043E-2</v>
      </c>
      <c r="J26" s="42">
        <v>1732104</v>
      </c>
      <c r="K26" s="48"/>
      <c r="L26" s="42">
        <f t="shared" si="0"/>
        <v>1732104</v>
      </c>
      <c r="M26" s="42"/>
      <c r="P26" s="49">
        <f t="shared" si="1"/>
        <v>1732104</v>
      </c>
      <c r="Q26" s="49"/>
      <c r="R26" s="51"/>
      <c r="S26" s="6"/>
      <c r="T26" s="6"/>
      <c r="U26" s="6"/>
      <c r="V26" s="6"/>
    </row>
    <row r="27" spans="1:22">
      <c r="A27" t="s">
        <v>40</v>
      </c>
      <c r="B27" s="25" t="s">
        <v>38</v>
      </c>
      <c r="C27" s="45">
        <v>0</v>
      </c>
      <c r="D27" s="45">
        <v>0</v>
      </c>
      <c r="E27" s="72">
        <v>0</v>
      </c>
      <c r="F27" s="42">
        <v>0</v>
      </c>
      <c r="G27" s="47"/>
      <c r="H27" s="45">
        <v>54000000</v>
      </c>
      <c r="I27" s="73">
        <f>+J27/H27</f>
        <v>0.01</v>
      </c>
      <c r="J27" s="42">
        <v>540000</v>
      </c>
      <c r="K27" s="48"/>
      <c r="L27" s="42">
        <f t="shared" si="0"/>
        <v>540000</v>
      </c>
      <c r="M27" s="42"/>
      <c r="P27" s="49">
        <f t="shared" si="1"/>
        <v>540000</v>
      </c>
      <c r="Q27" s="6"/>
      <c r="R27" s="49">
        <f>SUM(L25:L27)</f>
        <v>2282744</v>
      </c>
      <c r="S27" s="6"/>
      <c r="T27" s="6"/>
      <c r="U27" s="6"/>
      <c r="V27" s="6"/>
    </row>
    <row r="28" spans="1:22">
      <c r="B28" s="25"/>
      <c r="C28" s="45"/>
      <c r="D28" s="45"/>
      <c r="E28" s="72"/>
      <c r="F28" s="42"/>
      <c r="G28" s="47"/>
      <c r="H28" s="45"/>
      <c r="I28" s="73"/>
      <c r="J28" s="42"/>
      <c r="K28" s="48"/>
      <c r="L28" s="42"/>
      <c r="M28" s="42"/>
      <c r="P28" s="50"/>
      <c r="Q28" s="6"/>
      <c r="R28" s="6"/>
      <c r="S28" s="6"/>
      <c r="T28" s="6"/>
      <c r="U28" s="6"/>
      <c r="V28" s="6"/>
    </row>
    <row r="29" spans="1:22">
      <c r="A29" t="s">
        <v>41</v>
      </c>
      <c r="B29" s="25" t="s">
        <v>3</v>
      </c>
      <c r="C29" s="45">
        <v>1990000</v>
      </c>
      <c r="D29" s="71">
        <f>+E29/30.4</f>
        <v>1.286427201798466E-2</v>
      </c>
      <c r="E29" s="72">
        <f>+F29/C29</f>
        <v>0.39107386934673366</v>
      </c>
      <c r="F29" s="42">
        <v>778237</v>
      </c>
      <c r="G29" s="47"/>
      <c r="H29" s="45">
        <v>0</v>
      </c>
      <c r="I29" s="73">
        <v>0</v>
      </c>
      <c r="J29" s="42">
        <v>0</v>
      </c>
      <c r="K29" s="48"/>
      <c r="L29" s="42">
        <f t="shared" si="0"/>
        <v>778237</v>
      </c>
      <c r="M29" s="42"/>
      <c r="P29" s="49">
        <f t="shared" si="1"/>
        <v>778237</v>
      </c>
      <c r="Q29" s="6"/>
      <c r="R29" s="6"/>
      <c r="S29" s="6"/>
      <c r="T29" s="6"/>
      <c r="U29" s="6"/>
      <c r="V29" s="6"/>
    </row>
    <row r="30" spans="1:22">
      <c r="A30" t="s">
        <v>41</v>
      </c>
      <c r="B30" s="25" t="s">
        <v>358</v>
      </c>
      <c r="C30" s="45">
        <v>0</v>
      </c>
      <c r="D30" s="71"/>
      <c r="E30" s="72"/>
      <c r="F30" s="42">
        <v>0</v>
      </c>
      <c r="G30" s="47"/>
      <c r="H30" s="45"/>
      <c r="I30" s="73"/>
      <c r="J30" s="42"/>
      <c r="K30" s="48"/>
      <c r="L30" s="42"/>
      <c r="M30" s="42"/>
      <c r="P30" s="49">
        <f t="shared" si="1"/>
        <v>0</v>
      </c>
      <c r="Q30" s="6"/>
      <c r="R30" s="49">
        <f>SUM(L29:L30)</f>
        <v>778237</v>
      </c>
      <c r="S30" s="6"/>
      <c r="T30" s="6"/>
      <c r="U30" s="6"/>
      <c r="V30" s="6"/>
    </row>
    <row r="31" spans="1:22">
      <c r="B31" s="25"/>
      <c r="C31" s="45"/>
      <c r="D31" s="71"/>
      <c r="E31" s="72"/>
      <c r="F31" s="42"/>
      <c r="G31" s="47"/>
      <c r="H31" s="45"/>
      <c r="I31" s="73"/>
      <c r="J31" s="42"/>
      <c r="K31" s="48"/>
      <c r="L31" s="42"/>
      <c r="M31" s="42"/>
      <c r="P31" s="49"/>
      <c r="Q31" s="6"/>
      <c r="R31" s="6"/>
      <c r="S31" s="6"/>
      <c r="T31" s="6"/>
      <c r="U31" s="6"/>
      <c r="V31" s="6"/>
    </row>
    <row r="32" spans="1:22">
      <c r="B32" s="25"/>
      <c r="C32" s="45"/>
      <c r="D32" s="71"/>
      <c r="E32" s="72"/>
      <c r="F32" s="42"/>
      <c r="G32" s="47"/>
      <c r="H32" s="45"/>
      <c r="I32" s="73"/>
      <c r="J32" s="42"/>
      <c r="K32" s="48"/>
      <c r="L32" s="42"/>
      <c r="M32" s="42"/>
      <c r="P32" s="50"/>
      <c r="Q32" s="49"/>
      <c r="R32" s="51"/>
      <c r="S32" s="6"/>
      <c r="T32" s="6"/>
      <c r="U32" s="6"/>
      <c r="V32" s="6"/>
    </row>
    <row r="33" spans="1:22">
      <c r="A33" t="s">
        <v>42</v>
      </c>
      <c r="B33" s="25" t="s">
        <v>3</v>
      </c>
      <c r="C33" s="45">
        <v>1485007</v>
      </c>
      <c r="D33" s="71">
        <f>+E33/30.4</f>
        <v>2.933069197299194E-2</v>
      </c>
      <c r="E33" s="72">
        <f>+F33/C33</f>
        <v>0.89165303597895496</v>
      </c>
      <c r="F33" s="42">
        <v>1324111</v>
      </c>
      <c r="G33" s="47"/>
      <c r="H33" s="45">
        <v>0</v>
      </c>
      <c r="I33" s="73">
        <v>0</v>
      </c>
      <c r="J33" s="42">
        <v>0</v>
      </c>
      <c r="K33" s="48"/>
      <c r="L33" s="42">
        <f t="shared" si="0"/>
        <v>1324111</v>
      </c>
      <c r="M33" s="42"/>
      <c r="P33" s="49">
        <f t="shared" si="1"/>
        <v>1324111</v>
      </c>
      <c r="Q33" s="49"/>
      <c r="R33" s="51"/>
      <c r="S33" s="6"/>
      <c r="T33" s="6"/>
      <c r="U33" s="6"/>
      <c r="V33" s="6"/>
    </row>
    <row r="34" spans="1:22">
      <c r="A34" t="s">
        <v>42</v>
      </c>
      <c r="B34" s="25" t="s">
        <v>37</v>
      </c>
      <c r="C34" s="45">
        <v>0</v>
      </c>
      <c r="D34" s="45">
        <v>0</v>
      </c>
      <c r="E34" s="72">
        <v>0</v>
      </c>
      <c r="F34" s="42">
        <v>0</v>
      </c>
      <c r="G34" s="47"/>
      <c r="H34" s="45">
        <v>31869000</v>
      </c>
      <c r="I34" s="73">
        <f>+J34/H34</f>
        <v>0.02</v>
      </c>
      <c r="J34" s="42">
        <v>637380</v>
      </c>
      <c r="K34" s="48"/>
      <c r="L34" s="42">
        <f t="shared" si="0"/>
        <v>637380</v>
      </c>
      <c r="M34" s="42"/>
      <c r="P34" s="49">
        <f t="shared" si="1"/>
        <v>637380</v>
      </c>
      <c r="Q34" s="49"/>
      <c r="R34" s="51"/>
      <c r="S34" s="6"/>
      <c r="T34" s="6"/>
      <c r="U34" s="6"/>
      <c r="V34" s="6"/>
    </row>
    <row r="35" spans="1:22">
      <c r="A35" t="s">
        <v>42</v>
      </c>
      <c r="B35" s="25" t="s">
        <v>39</v>
      </c>
      <c r="C35" s="45">
        <v>0</v>
      </c>
      <c r="D35" s="45">
        <v>0</v>
      </c>
      <c r="E35" s="72">
        <v>0</v>
      </c>
      <c r="F35" s="42">
        <v>0</v>
      </c>
      <c r="G35" s="47"/>
      <c r="H35" s="45">
        <v>61692000</v>
      </c>
      <c r="I35" s="73">
        <f>+J35/H35</f>
        <v>1.5001945146858587E-2</v>
      </c>
      <c r="J35" s="42">
        <v>925500</v>
      </c>
      <c r="K35" s="48"/>
      <c r="L35" s="42">
        <f t="shared" si="0"/>
        <v>925500</v>
      </c>
      <c r="M35" s="42"/>
      <c r="P35" s="49">
        <f t="shared" si="1"/>
        <v>925500</v>
      </c>
      <c r="Q35" s="49"/>
      <c r="R35" s="51"/>
      <c r="S35" s="6"/>
      <c r="T35" s="6"/>
      <c r="U35" s="6"/>
      <c r="V35" s="6"/>
    </row>
    <row r="36" spans="1:22">
      <c r="A36" t="s">
        <v>42</v>
      </c>
      <c r="B36" s="25" t="s">
        <v>38</v>
      </c>
      <c r="C36" s="45">
        <v>0</v>
      </c>
      <c r="D36" s="45">
        <v>0</v>
      </c>
      <c r="E36" s="72">
        <v>0</v>
      </c>
      <c r="F36" s="42">
        <v>0</v>
      </c>
      <c r="G36" s="47"/>
      <c r="H36" s="45">
        <v>50000000</v>
      </c>
      <c r="I36" s="73">
        <f>+J36/H36</f>
        <v>1.0519199999999999E-2</v>
      </c>
      <c r="J36" s="42">
        <v>525960</v>
      </c>
      <c r="K36" s="48"/>
      <c r="L36" s="42">
        <f t="shared" si="0"/>
        <v>525960</v>
      </c>
      <c r="M36" s="42"/>
      <c r="P36" s="49">
        <f t="shared" si="1"/>
        <v>525960</v>
      </c>
      <c r="Q36" s="49"/>
      <c r="R36" s="282">
        <f>SUM(L33:L36)</f>
        <v>3412951</v>
      </c>
      <c r="S36" s="6"/>
      <c r="T36" s="6"/>
      <c r="U36" s="6"/>
      <c r="V36" s="6"/>
    </row>
    <row r="37" spans="1:22">
      <c r="B37" s="25"/>
      <c r="C37" s="45"/>
      <c r="D37" s="45"/>
      <c r="E37" s="72"/>
      <c r="F37" s="42"/>
      <c r="G37" s="47"/>
      <c r="H37" s="45"/>
      <c r="I37" s="73"/>
      <c r="J37" s="42"/>
      <c r="K37" s="48"/>
      <c r="L37" s="42"/>
      <c r="M37" s="42"/>
      <c r="P37" s="49"/>
      <c r="Q37" s="49"/>
      <c r="R37" s="51"/>
      <c r="S37" s="6"/>
      <c r="T37" s="6"/>
      <c r="U37" s="6"/>
      <c r="V37" s="6"/>
    </row>
    <row r="38" spans="1:22">
      <c r="A38" t="s">
        <v>52</v>
      </c>
      <c r="B38" s="25" t="s">
        <v>223</v>
      </c>
      <c r="C38" s="45">
        <v>0</v>
      </c>
      <c r="D38" s="45">
        <v>0</v>
      </c>
      <c r="E38" s="72">
        <v>0</v>
      </c>
      <c r="F38" s="42">
        <v>0</v>
      </c>
      <c r="G38" s="47"/>
      <c r="H38" s="45">
        <v>6900000</v>
      </c>
      <c r="I38" s="73">
        <f>+J38/H38</f>
        <v>0.11</v>
      </c>
      <c r="J38" s="42">
        <v>759000</v>
      </c>
      <c r="K38" s="48"/>
      <c r="L38" s="42">
        <f>+F38+J38</f>
        <v>759000</v>
      </c>
      <c r="M38" s="42"/>
      <c r="P38" s="49">
        <f t="shared" si="1"/>
        <v>759000</v>
      </c>
      <c r="Q38" s="49"/>
      <c r="R38" s="282">
        <f>+L38</f>
        <v>759000</v>
      </c>
      <c r="S38" s="6"/>
      <c r="T38" s="6"/>
      <c r="U38" s="6"/>
      <c r="V38" s="6"/>
    </row>
    <row r="39" spans="1:22" ht="13.5" thickBot="1">
      <c r="C39" s="75">
        <f>SUM(C9:C38)</f>
        <v>4555007</v>
      </c>
      <c r="D39" s="56"/>
      <c r="E39" s="76"/>
      <c r="F39" s="258">
        <f>SUM(F9:F38)</f>
        <v>4604892</v>
      </c>
      <c r="G39" s="47"/>
      <c r="H39" s="75">
        <f>SUM(H9:H38)</f>
        <v>465451910</v>
      </c>
      <c r="I39" s="73"/>
      <c r="J39" s="57">
        <f>SUM(J9:J38)</f>
        <v>9191354</v>
      </c>
      <c r="K39" s="54"/>
      <c r="L39" s="258">
        <f>SUM(L9:L38)</f>
        <v>13796246</v>
      </c>
      <c r="M39" s="77"/>
      <c r="P39" s="57">
        <f>SUM(P9:P38)</f>
        <v>13796246</v>
      </c>
      <c r="Q39" s="49"/>
      <c r="R39" s="283">
        <f>SUM(R10:R38)</f>
        <v>13796246</v>
      </c>
      <c r="S39" s="6"/>
      <c r="T39" s="6"/>
      <c r="U39" s="6"/>
      <c r="V39" s="6"/>
    </row>
    <row r="40" spans="1:22" ht="13.5" thickTop="1">
      <c r="C40" s="259"/>
      <c r="D40" s="56"/>
      <c r="E40" s="76"/>
      <c r="F40" s="260"/>
      <c r="G40" s="47"/>
      <c r="H40" s="259"/>
      <c r="I40" s="73"/>
      <c r="J40" s="77"/>
      <c r="K40" s="54"/>
      <c r="L40" s="260"/>
      <c r="M40" s="77"/>
      <c r="P40" s="77"/>
      <c r="Q40" s="49"/>
      <c r="R40" s="51"/>
      <c r="S40" s="6"/>
      <c r="T40" s="6"/>
      <c r="U40" s="6"/>
      <c r="V40" s="6"/>
    </row>
    <row r="41" spans="1:22">
      <c r="C41" s="259"/>
      <c r="D41" s="56"/>
      <c r="E41" s="76"/>
      <c r="F41" s="260"/>
      <c r="G41" s="47"/>
      <c r="H41" s="259"/>
      <c r="I41" s="73"/>
      <c r="J41" s="77"/>
      <c r="K41" s="54"/>
      <c r="L41" s="260"/>
      <c r="M41" s="77"/>
      <c r="P41" s="77"/>
      <c r="Q41" s="49"/>
      <c r="R41" s="51"/>
      <c r="S41" s="6"/>
      <c r="T41" s="6"/>
      <c r="U41" s="6"/>
      <c r="V41" s="6"/>
    </row>
    <row r="42" spans="1:22" s="6" customFormat="1">
      <c r="C42" s="259"/>
      <c r="D42" s="56"/>
      <c r="E42" s="76"/>
      <c r="F42" s="260"/>
      <c r="G42" s="261"/>
      <c r="H42" s="259"/>
      <c r="I42" s="81"/>
      <c r="J42" s="77"/>
      <c r="K42" s="254"/>
      <c r="L42" s="260"/>
      <c r="M42" s="77"/>
      <c r="P42" s="77"/>
      <c r="Q42" s="49"/>
      <c r="R42" s="51"/>
    </row>
    <row r="43" spans="1:22" s="6" customFormat="1" ht="20.25">
      <c r="A43" s="93" t="s">
        <v>353</v>
      </c>
      <c r="B43" s="5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</row>
    <row r="44" spans="1:22">
      <c r="F44" s="47"/>
      <c r="G44" s="47"/>
      <c r="M44" s="55"/>
      <c r="P44" s="6"/>
      <c r="Q44" s="49"/>
      <c r="R44" s="51"/>
      <c r="S44" s="6"/>
      <c r="T44" s="6"/>
      <c r="U44" s="6"/>
      <c r="V44" s="6"/>
    </row>
    <row r="45" spans="1:22" ht="51">
      <c r="A45" s="209" t="s">
        <v>225</v>
      </c>
      <c r="B45" s="169" t="s">
        <v>359</v>
      </c>
      <c r="C45" s="163">
        <v>455000</v>
      </c>
      <c r="D45" s="71">
        <f>+E45/30.4</f>
        <v>3.8461538461538464E-2</v>
      </c>
      <c r="E45" s="72">
        <f>+F45/C45</f>
        <v>1.1692307692307693</v>
      </c>
      <c r="F45" s="106">
        <v>532000</v>
      </c>
      <c r="G45" s="47"/>
      <c r="H45" s="163">
        <v>20000000</v>
      </c>
      <c r="I45" s="208">
        <f>+J45/H45</f>
        <v>1.575E-2</v>
      </c>
      <c r="J45" s="167">
        <v>315000</v>
      </c>
      <c r="L45" s="42">
        <f>+F45+J45</f>
        <v>847000</v>
      </c>
      <c r="M45" s="82"/>
      <c r="N45" s="164"/>
      <c r="P45" s="165">
        <f>+L45</f>
        <v>847000</v>
      </c>
      <c r="Q45" s="49"/>
      <c r="R45" s="51"/>
      <c r="S45" s="6"/>
      <c r="T45" s="6"/>
      <c r="U45" s="6"/>
      <c r="V45" s="6"/>
    </row>
    <row r="46" spans="1:22">
      <c r="A46" s="209"/>
      <c r="B46" s="169"/>
      <c r="C46" s="163"/>
      <c r="D46" s="71"/>
      <c r="E46" s="72"/>
      <c r="F46" s="106"/>
      <c r="G46" s="47"/>
      <c r="H46" s="163"/>
      <c r="I46" s="208"/>
      <c r="J46" s="167"/>
      <c r="L46" s="42"/>
      <c r="M46" s="82"/>
      <c r="N46" s="164"/>
      <c r="P46" s="165"/>
      <c r="Q46" s="49"/>
      <c r="R46" s="51"/>
      <c r="S46" s="6"/>
      <c r="T46" s="6"/>
      <c r="U46" s="6"/>
      <c r="V46" s="6"/>
    </row>
    <row r="47" spans="1:22">
      <c r="A47" s="209" t="s">
        <v>370</v>
      </c>
      <c r="B47" s="169" t="s">
        <v>371</v>
      </c>
      <c r="C47" s="163">
        <v>200000</v>
      </c>
      <c r="D47" s="71">
        <f>+E47/30.4</f>
        <v>0.02</v>
      </c>
      <c r="E47" s="72">
        <f>+F47/C47</f>
        <v>0.60799999999999998</v>
      </c>
      <c r="F47" s="106">
        <v>121600</v>
      </c>
      <c r="G47" s="47"/>
      <c r="H47" s="163"/>
      <c r="I47" s="208"/>
      <c r="J47" s="167"/>
      <c r="L47" s="42">
        <f>+F47+J47</f>
        <v>121600</v>
      </c>
      <c r="M47" s="82"/>
      <c r="N47" s="164"/>
      <c r="P47" s="165">
        <f>+L47</f>
        <v>121600</v>
      </c>
      <c r="Q47" s="49"/>
      <c r="R47" s="51"/>
      <c r="S47" s="6"/>
      <c r="T47" s="6"/>
      <c r="U47" s="6"/>
      <c r="V47" s="6"/>
    </row>
    <row r="48" spans="1:22">
      <c r="L48" s="42"/>
    </row>
    <row r="49" spans="1:27" ht="25.5">
      <c r="A49" s="209" t="s">
        <v>42</v>
      </c>
      <c r="B49" s="169" t="s">
        <v>360</v>
      </c>
      <c r="C49" s="163">
        <v>735000</v>
      </c>
      <c r="D49" s="71">
        <f>+E49/30.4</f>
        <v>2.9047619047619051E-2</v>
      </c>
      <c r="E49" s="72">
        <f>+F49/C49</f>
        <v>0.88304761904761908</v>
      </c>
      <c r="F49" s="106">
        <v>649040</v>
      </c>
      <c r="G49" s="47"/>
      <c r="H49" s="163">
        <v>56834000</v>
      </c>
      <c r="I49" s="208">
        <f>+J49/H49</f>
        <v>1.5527677094696836E-2</v>
      </c>
      <c r="J49" s="167">
        <v>882500</v>
      </c>
      <c r="L49" s="42">
        <f>+F49+J49</f>
        <v>1531540</v>
      </c>
      <c r="M49" s="82"/>
      <c r="N49" s="164"/>
      <c r="P49" s="165">
        <f>+L49</f>
        <v>1531540</v>
      </c>
      <c r="Q49" s="55"/>
      <c r="R49" s="55"/>
      <c r="S49" s="55"/>
      <c r="T49" s="55"/>
      <c r="U49" s="6"/>
      <c r="V49" s="6"/>
    </row>
    <row r="50" spans="1:27">
      <c r="A50" s="209"/>
      <c r="G50" s="47"/>
      <c r="H50" s="163"/>
      <c r="I50" s="208"/>
      <c r="J50" s="167"/>
      <c r="L50" s="42"/>
      <c r="M50" s="82"/>
      <c r="N50" s="164"/>
      <c r="P50" s="165"/>
      <c r="Q50" s="55"/>
      <c r="R50" s="55"/>
      <c r="S50" s="55"/>
      <c r="T50" s="55"/>
      <c r="U50" s="6"/>
      <c r="V50" s="6"/>
    </row>
    <row r="51" spans="1:27" ht="25.5">
      <c r="A51" s="209" t="s">
        <v>52</v>
      </c>
      <c r="B51" s="169" t="s">
        <v>223</v>
      </c>
      <c r="C51" s="163">
        <v>0</v>
      </c>
      <c r="D51" s="163">
        <v>0</v>
      </c>
      <c r="E51" s="163">
        <v>0</v>
      </c>
      <c r="F51" s="106">
        <v>0</v>
      </c>
      <c r="G51" s="47"/>
      <c r="H51" s="163">
        <v>6900000</v>
      </c>
      <c r="I51" s="208">
        <f>+J51/H51</f>
        <v>0.11</v>
      </c>
      <c r="J51" s="167">
        <v>759000</v>
      </c>
      <c r="L51" s="42">
        <f>+J51+F51</f>
        <v>759000</v>
      </c>
      <c r="M51" s="82"/>
      <c r="N51" s="164"/>
      <c r="P51" s="165">
        <f>+L51</f>
        <v>759000</v>
      </c>
      <c r="Q51" s="6"/>
      <c r="R51" s="6"/>
      <c r="S51" s="6"/>
      <c r="T51" s="6"/>
      <c r="U51" s="6"/>
      <c r="V51" s="6"/>
    </row>
    <row r="52" spans="1:27">
      <c r="A52" s="209"/>
      <c r="B52" s="277"/>
      <c r="C52" s="163"/>
      <c r="D52" s="71"/>
      <c r="E52" s="73"/>
      <c r="F52" s="42"/>
      <c r="G52" s="47"/>
      <c r="H52" s="107"/>
      <c r="I52" s="107"/>
      <c r="J52" s="166"/>
      <c r="L52" s="42">
        <f>+F52+J52</f>
        <v>0</v>
      </c>
      <c r="M52" s="82"/>
      <c r="N52" s="164"/>
      <c r="P52" s="165"/>
    </row>
    <row r="53" spans="1:27" ht="13.5" thickBot="1">
      <c r="F53" s="168">
        <f>SUM(F45:F52)</f>
        <v>1302640</v>
      </c>
      <c r="G53" s="47"/>
      <c r="H53" s="45"/>
      <c r="I53" s="73"/>
      <c r="J53" s="168">
        <f>SUM(J45:J52)</f>
        <v>1956500</v>
      </c>
      <c r="K53" s="54"/>
      <c r="L53" s="168">
        <f>SUM(L45:L52)</f>
        <v>3259140</v>
      </c>
      <c r="M53" s="42"/>
      <c r="P53" s="168">
        <f>SUM(P45:P52)</f>
        <v>3259140</v>
      </c>
      <c r="Q53" s="6"/>
      <c r="R53" s="168">
        <f>+P53</f>
        <v>3259140</v>
      </c>
      <c r="S53" s="6"/>
      <c r="T53" s="6">
        <v>31295181</v>
      </c>
      <c r="U53" s="6" t="s">
        <v>361</v>
      </c>
      <c r="V53" s="6"/>
    </row>
    <row r="54" spans="1:27" ht="13.5" thickTop="1">
      <c r="F54" s="47"/>
      <c r="G54" s="47"/>
      <c r="H54" s="45"/>
      <c r="I54" s="73"/>
      <c r="K54" s="54"/>
      <c r="L54" s="49"/>
      <c r="M54" s="42"/>
      <c r="P54" s="6"/>
      <c r="Q54" s="55"/>
      <c r="R54" s="55"/>
      <c r="S54" s="65"/>
      <c r="T54">
        <v>31459257</v>
      </c>
      <c r="U54" s="284" t="s">
        <v>362</v>
      </c>
      <c r="V54" s="6"/>
    </row>
    <row r="55" spans="1:27">
      <c r="H55" s="45"/>
      <c r="I55" s="73"/>
      <c r="K55" s="54"/>
      <c r="T55">
        <f>+T53-T54</f>
        <v>-164076</v>
      </c>
      <c r="U55" t="s">
        <v>363</v>
      </c>
    </row>
    <row r="56" spans="1:27">
      <c r="H56" s="45"/>
      <c r="I56" s="73"/>
      <c r="K56" s="54"/>
      <c r="X56" s="293">
        <f>+X58+X57</f>
        <v>2822424</v>
      </c>
    </row>
    <row r="57" spans="1:27">
      <c r="H57" s="78"/>
      <c r="I57" s="79"/>
      <c r="J57" s="60"/>
      <c r="K57" s="61"/>
      <c r="L57" s="62"/>
      <c r="X57" s="294">
        <v>-164076</v>
      </c>
    </row>
    <row r="58" spans="1:27" ht="15.75">
      <c r="H58" s="80" t="s">
        <v>351</v>
      </c>
      <c r="I58" s="81"/>
      <c r="J58" s="49"/>
      <c r="K58" s="6"/>
      <c r="L58" s="64">
        <v>14095429</v>
      </c>
      <c r="M58" s="64"/>
      <c r="N58" s="64"/>
      <c r="T58" s="285" t="s">
        <v>364</v>
      </c>
      <c r="U58" s="286">
        <v>11108928</v>
      </c>
      <c r="V58" s="285"/>
      <c r="W58" s="285" t="s">
        <v>364</v>
      </c>
      <c r="X58" s="295">
        <v>2986500</v>
      </c>
      <c r="Y58" s="285"/>
      <c r="Z58" s="285" t="s">
        <v>364</v>
      </c>
      <c r="AA58" s="287">
        <v>14095428</v>
      </c>
    </row>
    <row r="59" spans="1:27" ht="15.75">
      <c r="A59" t="str">
        <f ca="1">CELL("filename")</f>
        <v xml:space="preserve">C:\Users\Felienne\Enron\EnronSpreadsheets\[danny_mccarty__4631__2002_Plan_Contracted_uncontracted_stretch 9_21_01.xls]North by Risk Category </v>
      </c>
      <c r="H59" s="83" t="s">
        <v>352</v>
      </c>
      <c r="I59" s="81"/>
      <c r="J59" s="6"/>
      <c r="K59" s="6"/>
      <c r="L59" s="64">
        <v>13796126</v>
      </c>
      <c r="T59" s="288" t="s">
        <v>365</v>
      </c>
      <c r="U59" s="289">
        <v>4870894.5599999996</v>
      </c>
      <c r="V59" s="288"/>
      <c r="W59" s="288" t="s">
        <v>365</v>
      </c>
      <c r="X59" s="289">
        <v>9355394</v>
      </c>
      <c r="Y59" s="288"/>
      <c r="Z59" s="288" t="s">
        <v>365</v>
      </c>
      <c r="AA59" s="289">
        <v>14226288.560000001</v>
      </c>
    </row>
    <row r="60" spans="1:27" ht="17.25">
      <c r="H60" s="83" t="s">
        <v>353</v>
      </c>
      <c r="I60" s="81"/>
      <c r="J60" s="6"/>
      <c r="K60" s="6"/>
      <c r="L60" s="84">
        <v>5903540</v>
      </c>
      <c r="T60" s="288" t="s">
        <v>366</v>
      </c>
      <c r="U60" s="290">
        <v>1181040</v>
      </c>
      <c r="V60" s="288"/>
      <c r="W60" s="288" t="s">
        <v>366</v>
      </c>
      <c r="X60" s="289">
        <v>1956500</v>
      </c>
      <c r="Y60" s="288"/>
      <c r="Z60" s="288" t="s">
        <v>366</v>
      </c>
      <c r="AA60" s="289">
        <v>3137540</v>
      </c>
    </row>
    <row r="61" spans="1:27" ht="16.5" thickBot="1">
      <c r="H61" s="85" t="s">
        <v>349</v>
      </c>
      <c r="I61" s="86"/>
      <c r="J61" s="18"/>
      <c r="K61" s="68"/>
      <c r="L61" s="69">
        <f>L58+L59+L60</f>
        <v>33795095</v>
      </c>
      <c r="N61" s="245"/>
      <c r="T61" s="291" t="s">
        <v>367</v>
      </c>
      <c r="U61" s="292">
        <v>17160862.560000002</v>
      </c>
      <c r="V61" s="291"/>
      <c r="W61" s="291" t="s">
        <v>368</v>
      </c>
      <c r="X61" s="292">
        <v>14298394</v>
      </c>
      <c r="Y61" s="291"/>
      <c r="Z61" s="291" t="s">
        <v>369</v>
      </c>
      <c r="AA61" s="296">
        <f>31459256.56</f>
        <v>31459256.559999999</v>
      </c>
    </row>
    <row r="62" spans="1:27" ht="16.5" thickTop="1">
      <c r="G62" s="6"/>
      <c r="H62" s="63"/>
      <c r="I62" s="81"/>
      <c r="J62" s="6"/>
      <c r="K62" s="6"/>
      <c r="L62" s="82"/>
      <c r="M62" s="6"/>
      <c r="AA62" s="294">
        <f>+T55</f>
        <v>-164076</v>
      </c>
    </row>
    <row r="63" spans="1:27" ht="15.75">
      <c r="G63" s="6"/>
      <c r="H63" s="66"/>
      <c r="I63" s="81"/>
      <c r="J63" s="6"/>
      <c r="K63" s="6"/>
      <c r="L63" s="82"/>
      <c r="M63" s="6"/>
      <c r="AA63" s="293">
        <f>+AA61+AA62</f>
        <v>31295180.559999999</v>
      </c>
    </row>
    <row r="64" spans="1:27" ht="17.25">
      <c r="G64" s="6"/>
      <c r="H64" s="66"/>
      <c r="I64" s="81"/>
      <c r="J64" s="6"/>
      <c r="K64" s="6"/>
      <c r="L64" s="255"/>
      <c r="M64" s="6"/>
    </row>
    <row r="65" spans="7:13" ht="17.25">
      <c r="G65" s="6"/>
      <c r="H65" s="66"/>
      <c r="I65" s="81"/>
      <c r="J65" s="6"/>
      <c r="K65" s="6"/>
      <c r="L65" s="255"/>
      <c r="M65" s="6"/>
    </row>
    <row r="66" spans="7:13" ht="17.25">
      <c r="G66" s="6"/>
      <c r="H66" s="66"/>
      <c r="I66" s="81"/>
      <c r="J66" s="6"/>
      <c r="K66" s="6"/>
      <c r="L66" s="255"/>
      <c r="M66" s="6"/>
    </row>
    <row r="67" spans="7:13" ht="15.75">
      <c r="G67" s="6"/>
      <c r="H67" s="256"/>
      <c r="I67" s="81"/>
      <c r="J67" s="6"/>
      <c r="K67" s="254"/>
      <c r="L67" s="87"/>
      <c r="M67" s="6"/>
    </row>
    <row r="68" spans="7:13">
      <c r="H68" s="45"/>
      <c r="I68" s="73"/>
      <c r="K68" s="54"/>
    </row>
    <row r="69" spans="7:13">
      <c r="H69" s="45"/>
      <c r="I69" s="73"/>
      <c r="K69" s="54"/>
    </row>
    <row r="70" spans="7:13">
      <c r="H70" s="45"/>
      <c r="I70" s="73"/>
      <c r="K70" s="54"/>
    </row>
    <row r="71" spans="7:13">
      <c r="H71" s="45"/>
      <c r="I71" s="73"/>
      <c r="K71" s="54"/>
    </row>
    <row r="72" spans="7:13">
      <c r="H72" s="45"/>
      <c r="I72" s="73"/>
      <c r="K72" s="54"/>
    </row>
    <row r="73" spans="7:13">
      <c r="H73" s="45"/>
      <c r="I73" s="73"/>
      <c r="K73" s="54"/>
    </row>
    <row r="74" spans="7:13">
      <c r="H74" s="45"/>
      <c r="I74" s="73"/>
      <c r="K74" s="54"/>
    </row>
    <row r="75" spans="7:13">
      <c r="H75" s="45"/>
      <c r="I75" s="73"/>
      <c r="K75" s="54"/>
    </row>
    <row r="76" spans="7:13">
      <c r="H76" s="45"/>
      <c r="I76" s="73"/>
      <c r="K76" s="54"/>
    </row>
    <row r="77" spans="7:13">
      <c r="H77" s="45"/>
      <c r="I77" s="73"/>
      <c r="K77" s="54"/>
    </row>
    <row r="78" spans="7:13">
      <c r="H78" s="45"/>
      <c r="I78" s="73"/>
      <c r="K78" s="54"/>
    </row>
    <row r="79" spans="7:13">
      <c r="H79" s="45"/>
      <c r="I79" s="73"/>
      <c r="K79" s="54"/>
    </row>
    <row r="80" spans="7:13">
      <c r="H80" s="45"/>
      <c r="I80" s="73"/>
      <c r="K80" s="54"/>
    </row>
    <row r="81" spans="8:11">
      <c r="H81" s="45"/>
      <c r="I81" s="73"/>
      <c r="K81" s="54"/>
    </row>
    <row r="82" spans="8:11">
      <c r="H82" s="45"/>
      <c r="I82" s="73"/>
      <c r="K82" s="54"/>
    </row>
    <row r="83" spans="8:11">
      <c r="H83" s="45"/>
      <c r="I83" s="73"/>
      <c r="K83" s="54"/>
    </row>
    <row r="84" spans="8:11">
      <c r="H84" s="45"/>
      <c r="I84" s="73"/>
      <c r="K84" s="54"/>
    </row>
    <row r="85" spans="8:11">
      <c r="H85" s="45"/>
      <c r="I85" s="73"/>
      <c r="K85" s="54"/>
    </row>
    <row r="86" spans="8:11">
      <c r="H86" s="45"/>
      <c r="I86" s="73"/>
      <c r="K86" s="54"/>
    </row>
    <row r="87" spans="8:11">
      <c r="H87" s="45"/>
      <c r="I87" s="73"/>
      <c r="K87" s="54"/>
    </row>
    <row r="88" spans="8:11">
      <c r="H88" s="45"/>
      <c r="I88" s="73"/>
      <c r="K88" s="54"/>
    </row>
    <row r="89" spans="8:11">
      <c r="H89" s="45"/>
      <c r="I89" s="73"/>
      <c r="K89" s="54"/>
    </row>
    <row r="90" spans="8:11">
      <c r="H90" s="45"/>
      <c r="I90" s="73"/>
      <c r="K90" s="54"/>
    </row>
    <row r="91" spans="8:11">
      <c r="H91" s="45"/>
      <c r="I91" s="73"/>
      <c r="K91" s="54"/>
    </row>
    <row r="92" spans="8:11">
      <c r="H92" s="45"/>
      <c r="I92" s="73"/>
      <c r="K92" s="54"/>
    </row>
    <row r="93" spans="8:11">
      <c r="H93" s="45"/>
      <c r="I93" s="73"/>
      <c r="K93" s="54"/>
    </row>
    <row r="94" spans="8:11">
      <c r="H94" s="45"/>
      <c r="I94" s="73"/>
      <c r="K94" s="54"/>
    </row>
    <row r="95" spans="8:11">
      <c r="H95" s="45"/>
      <c r="K95" s="54"/>
    </row>
    <row r="96" spans="8:11">
      <c r="H96" s="45"/>
      <c r="K96" s="54"/>
    </row>
    <row r="97" spans="8:11">
      <c r="H97" s="45"/>
      <c r="K97" s="54"/>
    </row>
    <row r="98" spans="8:11">
      <c r="H98" s="45"/>
      <c r="K98" s="54"/>
    </row>
    <row r="99" spans="8:11">
      <c r="H99" s="45"/>
      <c r="K99" s="54"/>
    </row>
    <row r="100" spans="8:11">
      <c r="H100" s="45"/>
      <c r="K100" s="54"/>
    </row>
    <row r="101" spans="8:11">
      <c r="H101" s="45"/>
      <c r="K101" s="54"/>
    </row>
    <row r="102" spans="8:11">
      <c r="H102" s="45"/>
      <c r="K102" s="54"/>
    </row>
    <row r="103" spans="8:11">
      <c r="H103" s="45"/>
      <c r="K103" s="54"/>
    </row>
    <row r="104" spans="8:11">
      <c r="H104" s="45"/>
      <c r="K104" s="54"/>
    </row>
    <row r="105" spans="8:11">
      <c r="H105" s="45"/>
      <c r="K105" s="54"/>
    </row>
    <row r="106" spans="8:11">
      <c r="H106" s="45"/>
      <c r="K106" s="54"/>
    </row>
    <row r="107" spans="8:11">
      <c r="H107" s="45"/>
      <c r="K107" s="54"/>
    </row>
    <row r="108" spans="8:11">
      <c r="H108" s="45"/>
      <c r="K108" s="54"/>
    </row>
    <row r="109" spans="8:11">
      <c r="H109" s="45"/>
      <c r="K109" s="54"/>
    </row>
    <row r="110" spans="8:11">
      <c r="H110" s="45"/>
      <c r="K110" s="54"/>
    </row>
    <row r="111" spans="8:11">
      <c r="H111" s="45"/>
      <c r="K111" s="54"/>
    </row>
    <row r="112" spans="8:11">
      <c r="H112" s="45"/>
      <c r="K112" s="54"/>
    </row>
    <row r="113" spans="8:11">
      <c r="H113" s="45"/>
      <c r="K113" s="54"/>
    </row>
    <row r="114" spans="8:11">
      <c r="H114" s="45"/>
      <c r="K114" s="54"/>
    </row>
    <row r="115" spans="8:11">
      <c r="H115" s="45"/>
      <c r="K115" s="54"/>
    </row>
    <row r="116" spans="8:11">
      <c r="H116" s="45"/>
      <c r="K116" s="54"/>
    </row>
    <row r="117" spans="8:11">
      <c r="H117" s="45"/>
      <c r="K117" s="54"/>
    </row>
    <row r="118" spans="8:11">
      <c r="H118" s="45"/>
      <c r="K118" s="54"/>
    </row>
    <row r="119" spans="8:11">
      <c r="H119" s="45"/>
      <c r="K119" s="54"/>
    </row>
    <row r="120" spans="8:11">
      <c r="K120" s="54"/>
    </row>
    <row r="121" spans="8:11">
      <c r="K121" s="54"/>
    </row>
  </sheetData>
  <phoneticPr fontId="0" type="noConversion"/>
  <pageMargins left="0.68" right="0.33" top="0.51" bottom="0.77" header="0.18" footer="0.21"/>
  <pageSetup scale="65" orientation="landscape" r:id="rId1"/>
  <headerFooter alignWithMargins="0">
    <oddFooter>&amp;L&amp;D
&amp;T&amp;CPage &amp;P of &amp;N&amp;R&amp;F
&amp;A</oddFooter>
  </headerFooter>
  <rowBreaks count="1" manualBreakCount="1">
    <brk id="42" max="1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Normal="100" workbookViewId="0">
      <selection activeCell="A90" sqref="A90"/>
    </sheetView>
  </sheetViews>
  <sheetFormatPr defaultRowHeight="12.75"/>
  <cols>
    <col min="1" max="1" width="16.28515625" style="173" customWidth="1"/>
    <col min="2" max="2" width="29.7109375" style="173" customWidth="1"/>
    <col min="3" max="3" width="3.85546875" style="174" customWidth="1"/>
    <col min="4" max="4" width="11.42578125" style="24" customWidth="1"/>
    <col min="5" max="5" width="10.42578125" style="94" customWidth="1"/>
    <col min="6" max="6" width="13.28515625" style="42" customWidth="1"/>
    <col min="7" max="7" width="4.140625" customWidth="1"/>
    <col min="8" max="8" width="12" style="24" customWidth="1"/>
    <col min="9" max="9" width="10.42578125" style="94" customWidth="1"/>
    <col min="10" max="10" width="13.28515625" style="42" customWidth="1"/>
    <col min="11" max="11" width="4.140625" customWidth="1"/>
    <col min="12" max="12" width="11.42578125" style="24" customWidth="1"/>
    <col min="13" max="13" width="10.42578125" style="94" customWidth="1"/>
    <col min="14" max="14" width="11.7109375" style="42" customWidth="1"/>
    <col min="15" max="15" width="12.140625" style="175" customWidth="1"/>
    <col min="16" max="16" width="2.140625" style="42" customWidth="1"/>
    <col min="17" max="17" width="12" style="42" bestFit="1" customWidth="1"/>
    <col min="18" max="18" width="2.85546875" customWidth="1"/>
    <col min="19" max="19" width="12" style="24" customWidth="1"/>
    <col min="20" max="20" width="10.42578125" style="94" customWidth="1"/>
    <col min="21" max="21" width="13.28515625" style="42" customWidth="1"/>
  </cols>
  <sheetData>
    <row r="1" spans="1:21" ht="15">
      <c r="A1" s="172" t="s">
        <v>99</v>
      </c>
    </row>
    <row r="2" spans="1:21" ht="15">
      <c r="A2" s="172" t="s">
        <v>100</v>
      </c>
    </row>
    <row r="3" spans="1:21" ht="15">
      <c r="A3" s="172" t="s">
        <v>101</v>
      </c>
      <c r="D3" s="176">
        <v>36749</v>
      </c>
      <c r="H3"/>
      <c r="L3"/>
      <c r="S3" s="176"/>
    </row>
    <row r="4" spans="1:21" ht="15">
      <c r="A4" s="172"/>
      <c r="D4" s="177" t="s">
        <v>102</v>
      </c>
      <c r="E4" s="178"/>
      <c r="F4" s="179"/>
      <c r="H4" s="177" t="s">
        <v>22</v>
      </c>
      <c r="I4" s="178"/>
      <c r="J4" s="179"/>
      <c r="L4" s="177" t="s">
        <v>25</v>
      </c>
      <c r="M4" s="178"/>
      <c r="N4" s="179"/>
      <c r="O4" s="180"/>
      <c r="P4" s="179"/>
      <c r="Q4" s="179"/>
      <c r="S4" s="177" t="s">
        <v>103</v>
      </c>
      <c r="T4" s="178"/>
      <c r="U4" s="179"/>
    </row>
    <row r="6" spans="1:21" s="181" customFormat="1" ht="26.25" thickBot="1">
      <c r="A6" s="181" t="s">
        <v>104</v>
      </c>
      <c r="B6" s="181" t="s">
        <v>15</v>
      </c>
      <c r="C6" s="182"/>
      <c r="D6" s="183" t="s">
        <v>105</v>
      </c>
      <c r="E6" s="184" t="s">
        <v>9</v>
      </c>
      <c r="F6" s="185" t="s">
        <v>106</v>
      </c>
      <c r="H6" s="183" t="s">
        <v>105</v>
      </c>
      <c r="I6" s="184" t="s">
        <v>9</v>
      </c>
      <c r="J6" s="185" t="s">
        <v>106</v>
      </c>
      <c r="L6" s="183" t="s">
        <v>105</v>
      </c>
      <c r="M6" s="184" t="s">
        <v>9</v>
      </c>
      <c r="N6" s="185" t="s">
        <v>106</v>
      </c>
      <c r="O6" s="186" t="s">
        <v>107</v>
      </c>
      <c r="P6" s="185"/>
      <c r="Q6" s="185" t="s">
        <v>108</v>
      </c>
      <c r="S6" s="183" t="s">
        <v>105</v>
      </c>
      <c r="T6" s="184" t="s">
        <v>9</v>
      </c>
      <c r="U6" s="185" t="s">
        <v>106</v>
      </c>
    </row>
    <row r="7" spans="1:21" s="181" customFormat="1" ht="13.5" thickBot="1">
      <c r="A7" s="187" t="s">
        <v>109</v>
      </c>
      <c r="C7" s="182"/>
      <c r="D7" s="183"/>
      <c r="E7" s="184"/>
      <c r="F7" s="185"/>
      <c r="H7" s="183"/>
      <c r="I7" s="184"/>
      <c r="J7" s="185"/>
      <c r="L7" s="183"/>
      <c r="M7" s="184"/>
      <c r="N7" s="185"/>
      <c r="O7" s="186"/>
      <c r="P7" s="185"/>
      <c r="Q7" s="185"/>
      <c r="S7" s="183"/>
      <c r="T7" s="184"/>
      <c r="U7" s="185"/>
    </row>
    <row r="8" spans="1:21" s="2" customFormat="1">
      <c r="A8" s="217" t="s">
        <v>110</v>
      </c>
      <c r="B8" s="218" t="s">
        <v>111</v>
      </c>
      <c r="C8" s="188"/>
      <c r="D8" s="220"/>
      <c r="E8" s="221"/>
      <c r="F8" s="222"/>
      <c r="H8" s="220"/>
      <c r="I8" s="221"/>
      <c r="J8" s="222"/>
      <c r="L8" s="220"/>
      <c r="M8" s="221"/>
      <c r="N8" s="222"/>
      <c r="O8" s="228"/>
      <c r="P8" s="222"/>
      <c r="Q8" s="222"/>
      <c r="S8" s="226"/>
      <c r="T8" s="226"/>
      <c r="U8" s="226"/>
    </row>
    <row r="9" spans="1:21" s="2" customFormat="1">
      <c r="A9" s="217"/>
      <c r="B9" s="219" t="s">
        <v>112</v>
      </c>
      <c r="C9" s="188"/>
      <c r="D9" s="220"/>
      <c r="E9" s="221"/>
      <c r="F9" s="222"/>
      <c r="H9" s="220">
        <v>3</v>
      </c>
      <c r="I9" s="221">
        <v>0.23</v>
      </c>
      <c r="J9" s="222">
        <v>690</v>
      </c>
      <c r="L9" s="220">
        <v>3</v>
      </c>
      <c r="M9" s="221">
        <v>0.14000000000000001</v>
      </c>
      <c r="N9" s="222">
        <v>420</v>
      </c>
      <c r="O9" s="228">
        <v>0.5</v>
      </c>
      <c r="P9" s="222"/>
      <c r="Q9" s="222">
        <v>210</v>
      </c>
      <c r="S9" s="220">
        <v>3</v>
      </c>
      <c r="T9" s="221">
        <v>0.3</v>
      </c>
      <c r="U9" s="222">
        <v>900</v>
      </c>
    </row>
    <row r="10" spans="1:21" s="2" customFormat="1">
      <c r="A10" s="217"/>
      <c r="B10" s="219" t="s">
        <v>113</v>
      </c>
      <c r="C10" s="188"/>
      <c r="D10" s="220"/>
      <c r="E10" s="221"/>
      <c r="F10" s="222"/>
      <c r="H10" s="220">
        <v>1</v>
      </c>
      <c r="I10" s="221">
        <v>0.2172</v>
      </c>
      <c r="J10" s="222">
        <v>217.2</v>
      </c>
      <c r="L10" s="220">
        <v>1</v>
      </c>
      <c r="M10" s="221">
        <v>0.14000000000000001</v>
      </c>
      <c r="N10" s="222">
        <v>140</v>
      </c>
      <c r="O10" s="228">
        <v>0.5</v>
      </c>
      <c r="P10" s="222"/>
      <c r="Q10" s="222">
        <v>70</v>
      </c>
      <c r="S10" s="220">
        <v>1</v>
      </c>
      <c r="T10" s="221">
        <v>0.28720000000000007</v>
      </c>
      <c r="U10" s="222">
        <v>287.2</v>
      </c>
    </row>
    <row r="11" spans="1:21" s="2" customFormat="1">
      <c r="A11" s="217"/>
      <c r="B11" s="217" t="s">
        <v>114</v>
      </c>
      <c r="C11" s="188"/>
      <c r="D11" s="220"/>
      <c r="E11" s="221"/>
      <c r="F11" s="222"/>
      <c r="H11" s="223"/>
      <c r="I11" s="224"/>
      <c r="J11" s="225">
        <v>18.117999999999999</v>
      </c>
      <c r="L11" s="223"/>
      <c r="M11" s="224"/>
      <c r="N11" s="225"/>
      <c r="O11" s="229"/>
      <c r="P11" s="225"/>
      <c r="Q11" s="225"/>
      <c r="S11" s="223"/>
      <c r="T11" s="224"/>
      <c r="U11" s="225">
        <v>18.117999999999999</v>
      </c>
    </row>
    <row r="12" spans="1:21" s="2" customFormat="1">
      <c r="A12" s="217" t="s">
        <v>71</v>
      </c>
      <c r="B12" s="217" t="s">
        <v>115</v>
      </c>
      <c r="C12" s="188"/>
      <c r="D12" s="220"/>
      <c r="E12" s="221"/>
      <c r="F12" s="222"/>
      <c r="H12" s="220">
        <v>4</v>
      </c>
      <c r="I12" s="221">
        <v>0.23132950000000005</v>
      </c>
      <c r="J12" s="222">
        <v>925.31800000000021</v>
      </c>
      <c r="L12" s="220">
        <v>4</v>
      </c>
      <c r="M12" s="221">
        <v>0.14000000000000001</v>
      </c>
      <c r="N12" s="222">
        <v>560</v>
      </c>
      <c r="O12" s="228"/>
      <c r="P12" s="222"/>
      <c r="Q12" s="222">
        <v>280</v>
      </c>
      <c r="S12" s="220">
        <v>4</v>
      </c>
      <c r="T12" s="221">
        <v>0.30132950000000003</v>
      </c>
      <c r="U12" s="222">
        <v>1205.3180000000002</v>
      </c>
    </row>
    <row r="13" spans="1:21" s="2" customFormat="1">
      <c r="A13" s="217"/>
      <c r="B13" s="217"/>
      <c r="C13" s="188"/>
      <c r="D13" s="220"/>
      <c r="E13" s="221"/>
      <c r="F13" s="222"/>
      <c r="H13" s="220"/>
      <c r="I13" s="221"/>
      <c r="J13" s="222"/>
      <c r="L13" s="220"/>
      <c r="M13" s="221"/>
      <c r="N13" s="222"/>
      <c r="O13" s="228"/>
      <c r="P13" s="222"/>
      <c r="Q13" s="222"/>
      <c r="S13" s="220"/>
      <c r="T13" s="221"/>
      <c r="U13" s="222"/>
    </row>
    <row r="14" spans="1:21" s="2" customFormat="1">
      <c r="A14" s="217"/>
      <c r="B14" s="217" t="s">
        <v>116</v>
      </c>
      <c r="C14" s="188"/>
      <c r="D14" s="220"/>
      <c r="E14" s="221"/>
      <c r="F14" s="222"/>
      <c r="H14" s="220">
        <v>1.5</v>
      </c>
      <c r="I14" s="221">
        <v>0.08</v>
      </c>
      <c r="J14" s="222">
        <v>120</v>
      </c>
      <c r="L14" s="220">
        <v>1.5</v>
      </c>
      <c r="M14" s="221">
        <v>0.08</v>
      </c>
      <c r="N14" s="222">
        <v>120</v>
      </c>
      <c r="O14" s="228">
        <v>0.5</v>
      </c>
      <c r="P14" s="222"/>
      <c r="Q14" s="222">
        <v>60</v>
      </c>
      <c r="S14" s="220">
        <v>1.5</v>
      </c>
      <c r="T14" s="221">
        <v>0.12</v>
      </c>
      <c r="U14" s="222">
        <v>180</v>
      </c>
    </row>
    <row r="15" spans="1:21" s="2" customFormat="1">
      <c r="A15" s="217"/>
      <c r="B15" s="217"/>
      <c r="C15" s="189"/>
      <c r="D15" s="220"/>
      <c r="E15" s="221"/>
      <c r="F15" s="222"/>
      <c r="H15" s="220"/>
      <c r="I15" s="221"/>
      <c r="J15" s="222"/>
      <c r="L15" s="220"/>
      <c r="M15" s="221"/>
      <c r="N15" s="222"/>
      <c r="O15" s="228"/>
      <c r="P15" s="222"/>
      <c r="Q15" s="222"/>
      <c r="S15" s="220"/>
      <c r="T15" s="221"/>
      <c r="U15" s="222"/>
    </row>
    <row r="16" spans="1:21" s="2" customFormat="1">
      <c r="A16" s="217"/>
      <c r="B16" s="217" t="s">
        <v>117</v>
      </c>
      <c r="C16" s="189"/>
      <c r="D16" s="220"/>
      <c r="E16" s="221"/>
      <c r="F16" s="222"/>
      <c r="H16" s="220"/>
      <c r="I16" s="221"/>
      <c r="J16" s="222">
        <v>1045.3180000000002</v>
      </c>
      <c r="L16" s="220"/>
      <c r="M16" s="221"/>
      <c r="N16" s="222">
        <v>680</v>
      </c>
      <c r="O16" s="228"/>
      <c r="P16" s="222"/>
      <c r="Q16" s="222">
        <v>340</v>
      </c>
      <c r="S16" s="220"/>
      <c r="T16" s="221"/>
      <c r="U16" s="222">
        <v>1385.3180000000002</v>
      </c>
    </row>
    <row r="17" spans="1:21">
      <c r="E17" s="190"/>
      <c r="I17" s="190"/>
      <c r="M17" s="190"/>
      <c r="T17" s="190"/>
    </row>
    <row r="18" spans="1:21" s="2" customFormat="1">
      <c r="A18" s="217" t="s">
        <v>118</v>
      </c>
      <c r="B18" s="218" t="s">
        <v>119</v>
      </c>
      <c r="C18" s="188"/>
      <c r="D18" s="226"/>
      <c r="E18" s="226"/>
      <c r="F18" s="226"/>
      <c r="H18" s="226"/>
      <c r="I18" s="226"/>
      <c r="J18" s="226"/>
      <c r="L18" s="226"/>
      <c r="M18" s="226"/>
      <c r="N18" s="226"/>
      <c r="O18" s="227"/>
      <c r="P18" s="226"/>
      <c r="Q18" s="226"/>
      <c r="S18" s="226"/>
      <c r="T18" s="226"/>
      <c r="U18" s="226"/>
    </row>
    <row r="19" spans="1:21" s="2" customFormat="1">
      <c r="A19" s="217"/>
      <c r="B19" s="219" t="s">
        <v>120</v>
      </c>
      <c r="C19" s="191"/>
      <c r="D19" s="220"/>
      <c r="E19" s="221"/>
      <c r="F19" s="222"/>
      <c r="H19" s="220">
        <v>1.5</v>
      </c>
      <c r="I19" s="221">
        <v>0.78929133333333312</v>
      </c>
      <c r="J19" s="222">
        <v>1183.9369999999997</v>
      </c>
      <c r="L19" s="220"/>
      <c r="M19" s="221"/>
      <c r="N19" s="222"/>
      <c r="O19" s="228"/>
      <c r="P19" s="222"/>
      <c r="Q19" s="222"/>
      <c r="S19" s="220">
        <v>1.5</v>
      </c>
      <c r="T19" s="221">
        <v>0.78929133333333312</v>
      </c>
      <c r="U19" s="222">
        <v>1183.9369999999997</v>
      </c>
    </row>
    <row r="20" spans="1:21" s="2" customFormat="1">
      <c r="A20" s="217"/>
      <c r="B20" s="230" t="s">
        <v>121</v>
      </c>
      <c r="C20" s="191"/>
      <c r="D20" s="220"/>
      <c r="E20" s="221"/>
      <c r="F20" s="222"/>
      <c r="H20" s="220">
        <v>0.1</v>
      </c>
      <c r="I20" s="221">
        <v>0.83</v>
      </c>
      <c r="J20" s="222">
        <v>83</v>
      </c>
      <c r="L20" s="220"/>
      <c r="M20" s="221"/>
      <c r="N20" s="222"/>
      <c r="O20" s="228"/>
      <c r="P20" s="222"/>
      <c r="Q20" s="222"/>
      <c r="S20" s="220">
        <v>0.1</v>
      </c>
      <c r="T20" s="221">
        <v>0.83</v>
      </c>
      <c r="U20" s="222">
        <v>83</v>
      </c>
    </row>
    <row r="21" spans="1:21" s="2" customFormat="1">
      <c r="A21" s="217"/>
      <c r="B21" s="219" t="s">
        <v>122</v>
      </c>
      <c r="C21" s="192"/>
      <c r="D21" s="220"/>
      <c r="E21" s="221"/>
      <c r="F21" s="222"/>
      <c r="H21" s="220"/>
      <c r="I21" s="221"/>
      <c r="J21" s="222"/>
      <c r="L21" s="220"/>
      <c r="M21" s="221"/>
      <c r="N21" s="222"/>
      <c r="O21" s="228"/>
      <c r="P21" s="222"/>
      <c r="Q21" s="222"/>
      <c r="S21" s="220"/>
      <c r="T21" s="221"/>
      <c r="U21" s="222"/>
    </row>
    <row r="22" spans="1:21" s="2" customFormat="1">
      <c r="A22" s="217"/>
      <c r="B22" s="219" t="s">
        <v>114</v>
      </c>
      <c r="C22" s="188"/>
      <c r="D22" s="220"/>
      <c r="E22" s="221"/>
      <c r="F22" s="222"/>
      <c r="H22" s="220">
        <v>1.5</v>
      </c>
      <c r="I22" s="221">
        <v>0.46</v>
      </c>
      <c r="J22" s="222">
        <v>690</v>
      </c>
      <c r="L22" s="220"/>
      <c r="M22" s="221"/>
      <c r="N22" s="222"/>
      <c r="O22" s="228"/>
      <c r="P22" s="222"/>
      <c r="Q22" s="222"/>
      <c r="S22" s="220">
        <v>2</v>
      </c>
      <c r="T22" s="221">
        <v>0.34499999999999997</v>
      </c>
      <c r="U22" s="222">
        <v>690</v>
      </c>
    </row>
    <row r="23" spans="1:21" s="2" customFormat="1">
      <c r="A23" s="217"/>
      <c r="B23" s="230" t="s">
        <v>123</v>
      </c>
      <c r="C23" s="188"/>
      <c r="D23" s="220"/>
      <c r="E23" s="221"/>
      <c r="F23" s="222"/>
      <c r="H23" s="220"/>
      <c r="I23" s="221"/>
      <c r="J23" s="222"/>
      <c r="L23" s="220">
        <v>1</v>
      </c>
      <c r="M23" s="221">
        <v>0.70410000000000006</v>
      </c>
      <c r="N23" s="222">
        <v>704.1</v>
      </c>
      <c r="O23" s="228">
        <v>0.75</v>
      </c>
      <c r="P23" s="222"/>
      <c r="Q23" s="222">
        <v>528.07500000000005</v>
      </c>
      <c r="S23" s="220">
        <v>1</v>
      </c>
      <c r="T23" s="221">
        <v>0.52807500000000007</v>
      </c>
      <c r="U23" s="222">
        <v>528.07500000000005</v>
      </c>
    </row>
    <row r="24" spans="1:21" s="2" customFormat="1">
      <c r="A24" s="217"/>
      <c r="B24" s="230" t="s">
        <v>124</v>
      </c>
      <c r="C24" s="188"/>
      <c r="D24" s="220"/>
      <c r="E24" s="221"/>
      <c r="F24" s="222"/>
      <c r="H24" s="220">
        <v>1</v>
      </c>
      <c r="I24" s="221">
        <v>0.73109999999999997</v>
      </c>
      <c r="J24" s="222">
        <v>731.1</v>
      </c>
      <c r="L24" s="220"/>
      <c r="M24" s="221"/>
      <c r="N24" s="222"/>
      <c r="O24" s="228"/>
      <c r="P24" s="222"/>
      <c r="Q24" s="222"/>
      <c r="S24" s="220">
        <v>1</v>
      </c>
      <c r="T24" s="221">
        <v>0.73109999999999997</v>
      </c>
      <c r="U24" s="222">
        <v>731.1</v>
      </c>
    </row>
    <row r="25" spans="1:21" s="2" customFormat="1">
      <c r="A25" s="217"/>
      <c r="B25" s="230" t="s">
        <v>125</v>
      </c>
      <c r="C25" s="192"/>
      <c r="D25" s="220"/>
      <c r="E25" s="221"/>
      <c r="F25" s="222"/>
      <c r="H25" s="223">
        <v>1.35</v>
      </c>
      <c r="I25" s="224">
        <v>0.59183333333333321</v>
      </c>
      <c r="J25" s="225">
        <v>798.97500000000002</v>
      </c>
      <c r="L25" s="223"/>
      <c r="M25" s="224"/>
      <c r="N25" s="225"/>
      <c r="O25" s="229"/>
      <c r="P25" s="225"/>
      <c r="Q25" s="225"/>
      <c r="S25" s="223">
        <v>3</v>
      </c>
      <c r="T25" s="224">
        <v>0.26632499999999998</v>
      </c>
      <c r="U25" s="225">
        <v>798.97500000000002</v>
      </c>
    </row>
    <row r="26" spans="1:21" s="2" customFormat="1">
      <c r="A26" s="217"/>
      <c r="B26" s="230" t="s">
        <v>126</v>
      </c>
      <c r="C26" s="192"/>
      <c r="D26" s="220"/>
      <c r="E26" s="221"/>
      <c r="F26" s="222"/>
      <c r="H26" s="220">
        <v>5.45</v>
      </c>
      <c r="I26" s="221">
        <v>0.6398187155963303</v>
      </c>
      <c r="J26" s="222">
        <v>3487.0119999999997</v>
      </c>
      <c r="L26" s="220">
        <v>1</v>
      </c>
      <c r="M26" s="221"/>
      <c r="N26" s="222">
        <v>704.1</v>
      </c>
      <c r="O26" s="228"/>
      <c r="P26" s="222"/>
      <c r="Q26" s="222">
        <v>528.07500000000005</v>
      </c>
      <c r="S26" s="220"/>
      <c r="T26" s="221"/>
      <c r="U26" s="222">
        <v>4015.0869999999995</v>
      </c>
    </row>
    <row r="27" spans="1:21" s="2" customFormat="1">
      <c r="A27" s="217"/>
      <c r="B27" s="218" t="s">
        <v>127</v>
      </c>
      <c r="C27" s="192"/>
      <c r="D27" s="220"/>
      <c r="E27" s="221"/>
      <c r="F27" s="222"/>
      <c r="H27" s="220"/>
      <c r="I27" s="221"/>
      <c r="J27" s="222"/>
      <c r="L27" s="220"/>
      <c r="M27" s="221"/>
      <c r="N27" s="222"/>
      <c r="O27" s="228"/>
      <c r="P27" s="222"/>
      <c r="Q27" s="222"/>
      <c r="S27" s="220"/>
      <c r="T27" s="221"/>
      <c r="U27" s="222"/>
    </row>
    <row r="28" spans="1:21" s="2" customFormat="1">
      <c r="A28" s="217"/>
      <c r="B28" s="219" t="s">
        <v>120</v>
      </c>
      <c r="C28" s="192"/>
      <c r="D28" s="220"/>
      <c r="E28" s="221"/>
      <c r="F28" s="222"/>
      <c r="H28" s="220">
        <v>2</v>
      </c>
      <c r="I28" s="221">
        <v>8.8900000000000007E-2</v>
      </c>
      <c r="J28" s="222">
        <v>177.8</v>
      </c>
      <c r="L28" s="220"/>
      <c r="M28" s="221"/>
      <c r="N28" s="222"/>
      <c r="O28" s="228"/>
      <c r="P28" s="222"/>
      <c r="Q28" s="222"/>
      <c r="S28" s="220"/>
      <c r="T28" s="221"/>
      <c r="U28" s="222">
        <v>177.8</v>
      </c>
    </row>
    <row r="29" spans="1:21" s="2" customFormat="1">
      <c r="A29" s="217"/>
      <c r="B29" s="219" t="s">
        <v>123</v>
      </c>
      <c r="C29" s="192"/>
      <c r="D29" s="220"/>
      <c r="E29" s="221"/>
      <c r="F29" s="222"/>
      <c r="H29" s="223"/>
      <c r="I29" s="224"/>
      <c r="J29" s="225"/>
      <c r="L29" s="223">
        <v>0.5</v>
      </c>
      <c r="M29" s="224">
        <v>8.8900000000000007E-2</v>
      </c>
      <c r="N29" s="225">
        <v>44.45</v>
      </c>
      <c r="O29" s="229">
        <v>0.5</v>
      </c>
      <c r="P29" s="225"/>
      <c r="Q29" s="225">
        <v>22.225000000000001</v>
      </c>
      <c r="S29" s="223"/>
      <c r="T29" s="224"/>
      <c r="U29" s="225">
        <v>22.225000000000001</v>
      </c>
    </row>
    <row r="30" spans="1:21" s="2" customFormat="1">
      <c r="A30" s="217"/>
      <c r="B30" s="230" t="s">
        <v>128</v>
      </c>
      <c r="C30" s="192"/>
      <c r="D30" s="220"/>
      <c r="E30" s="221"/>
      <c r="F30" s="222"/>
      <c r="H30" s="220">
        <v>2</v>
      </c>
      <c r="I30" s="221">
        <v>8.8900000000000007E-2</v>
      </c>
      <c r="J30" s="222">
        <v>177.8</v>
      </c>
      <c r="L30" s="220">
        <v>0.5</v>
      </c>
      <c r="M30" s="221">
        <v>8.8900000000000007E-2</v>
      </c>
      <c r="N30" s="222">
        <v>44.45</v>
      </c>
      <c r="O30" s="228"/>
      <c r="P30" s="222"/>
      <c r="Q30" s="222">
        <v>22.225000000000001</v>
      </c>
      <c r="S30" s="220"/>
      <c r="T30" s="221"/>
      <c r="U30" s="222">
        <v>200.02500000000001</v>
      </c>
    </row>
    <row r="31" spans="1:21" s="2" customFormat="1">
      <c r="A31" s="217"/>
      <c r="B31" s="230"/>
      <c r="C31" s="192"/>
      <c r="D31" s="220"/>
      <c r="E31" s="221"/>
      <c r="F31" s="222"/>
      <c r="H31" s="220"/>
      <c r="I31" s="221"/>
      <c r="J31" s="222"/>
      <c r="L31" s="220"/>
      <c r="M31" s="221"/>
      <c r="N31" s="222"/>
      <c r="O31" s="228"/>
      <c r="P31" s="222"/>
      <c r="Q31" s="222"/>
      <c r="S31" s="220"/>
      <c r="T31" s="221"/>
      <c r="U31" s="222"/>
    </row>
    <row r="32" spans="1:21" s="2" customFormat="1">
      <c r="A32" s="217"/>
      <c r="B32" s="231" t="s">
        <v>129</v>
      </c>
      <c r="C32" s="192"/>
      <c r="D32" s="220"/>
      <c r="E32" s="221"/>
      <c r="F32" s="222"/>
      <c r="H32" s="220">
        <v>7.45</v>
      </c>
      <c r="I32" s="221">
        <v>0.49192107382550343</v>
      </c>
      <c r="J32" s="222">
        <v>3664.8119999999999</v>
      </c>
      <c r="L32" s="220">
        <v>1.5</v>
      </c>
      <c r="M32" s="221">
        <v>0.49903333333333338</v>
      </c>
      <c r="N32" s="222">
        <v>748.55</v>
      </c>
      <c r="O32" s="228"/>
      <c r="P32" s="222"/>
      <c r="Q32" s="222">
        <v>550.29999999999995</v>
      </c>
      <c r="S32" s="220">
        <v>0</v>
      </c>
      <c r="T32" s="221"/>
      <c r="U32" s="222">
        <v>4215.1119999999992</v>
      </c>
    </row>
    <row r="34" spans="1:21" s="2" customFormat="1">
      <c r="A34" s="217" t="s">
        <v>130</v>
      </c>
      <c r="B34" s="217" t="s">
        <v>110</v>
      </c>
      <c r="C34" s="188"/>
      <c r="D34" s="220"/>
      <c r="E34" s="221"/>
      <c r="F34" s="222"/>
      <c r="H34" s="220">
        <v>5</v>
      </c>
      <c r="I34" s="221">
        <v>0.05</v>
      </c>
      <c r="J34" s="222">
        <v>250</v>
      </c>
      <c r="L34" s="220">
        <v>2.76</v>
      </c>
      <c r="M34" s="221">
        <v>0.05</v>
      </c>
      <c r="N34" s="222">
        <v>138</v>
      </c>
      <c r="O34" s="228">
        <v>0.3</v>
      </c>
      <c r="P34" s="222"/>
      <c r="Q34" s="222">
        <v>41.4</v>
      </c>
      <c r="S34" s="220">
        <v>5.8280000000000003</v>
      </c>
      <c r="T34" s="221">
        <v>0.05</v>
      </c>
      <c r="U34" s="222">
        <v>291.39999999999998</v>
      </c>
    </row>
    <row r="35" spans="1:21" s="2" customFormat="1">
      <c r="A35" s="217"/>
      <c r="B35" s="232" t="s">
        <v>131</v>
      </c>
      <c r="C35" s="188"/>
      <c r="D35" s="220"/>
      <c r="E35" s="221"/>
      <c r="F35" s="222"/>
      <c r="H35" s="220"/>
      <c r="I35" s="221"/>
      <c r="J35" s="222"/>
      <c r="L35" s="220"/>
      <c r="M35" s="221"/>
      <c r="N35" s="222"/>
      <c r="O35" s="228"/>
      <c r="P35" s="222"/>
      <c r="Q35" s="222"/>
      <c r="S35" s="220">
        <v>0</v>
      </c>
      <c r="T35" s="221"/>
      <c r="U35" s="222">
        <v>0</v>
      </c>
    </row>
    <row r="36" spans="1:21" s="2" customFormat="1">
      <c r="A36" s="217"/>
      <c r="B36" s="233" t="s">
        <v>132</v>
      </c>
      <c r="C36" s="188"/>
      <c r="D36" s="220"/>
      <c r="E36" s="221"/>
      <c r="F36" s="222"/>
      <c r="H36" s="220"/>
      <c r="I36" s="221"/>
      <c r="J36" s="235">
        <v>220.56899999999999</v>
      </c>
      <c r="L36" s="220"/>
      <c r="M36" s="221"/>
      <c r="N36" s="222"/>
      <c r="O36" s="228"/>
      <c r="P36" s="222"/>
      <c r="Q36" s="222"/>
      <c r="S36" s="220"/>
      <c r="T36" s="221"/>
      <c r="U36" s="222">
        <v>220.56899999999999</v>
      </c>
    </row>
    <row r="37" spans="1:21" s="2" customFormat="1">
      <c r="A37" s="217"/>
      <c r="B37" s="217" t="s">
        <v>118</v>
      </c>
      <c r="C37" s="188"/>
      <c r="D37" s="220"/>
      <c r="E37" s="221"/>
      <c r="F37" s="222"/>
      <c r="H37" s="220">
        <v>5</v>
      </c>
      <c r="I37" s="221">
        <v>0.05</v>
      </c>
      <c r="J37" s="222">
        <v>250</v>
      </c>
      <c r="L37" s="220">
        <v>2.76</v>
      </c>
      <c r="M37" s="221">
        <v>0.05</v>
      </c>
      <c r="N37" s="222">
        <v>138</v>
      </c>
      <c r="O37" s="228">
        <v>0.3</v>
      </c>
      <c r="P37" s="222"/>
      <c r="Q37" s="222">
        <v>41.4</v>
      </c>
      <c r="S37" s="220">
        <v>5.8280000000000003</v>
      </c>
      <c r="T37" s="221">
        <v>0.05</v>
      </c>
      <c r="U37" s="222">
        <v>291.39999999999998</v>
      </c>
    </row>
    <row r="38" spans="1:21" s="2" customFormat="1">
      <c r="A38" s="217"/>
      <c r="B38" s="232" t="s">
        <v>131</v>
      </c>
      <c r="C38" s="188"/>
      <c r="D38" s="220"/>
      <c r="E38" s="221"/>
      <c r="F38" s="222"/>
      <c r="H38" s="236">
        <v>0.5</v>
      </c>
      <c r="I38" s="237">
        <v>1.2800000000000001E-2</v>
      </c>
      <c r="J38" s="235">
        <v>6.4</v>
      </c>
      <c r="L38" s="220"/>
      <c r="M38" s="221"/>
      <c r="N38" s="222"/>
      <c r="O38" s="228"/>
      <c r="P38" s="222"/>
      <c r="Q38" s="222"/>
      <c r="S38" s="220">
        <v>0.5</v>
      </c>
      <c r="T38" s="221">
        <v>1.2800000000000001E-2</v>
      </c>
      <c r="U38" s="222">
        <v>6.4</v>
      </c>
    </row>
    <row r="39" spans="1:21" s="2" customFormat="1">
      <c r="A39" s="217"/>
      <c r="B39" s="233" t="s">
        <v>132</v>
      </c>
      <c r="C39" s="188"/>
      <c r="D39" s="220"/>
      <c r="E39" s="221"/>
      <c r="F39" s="222"/>
      <c r="H39" s="223"/>
      <c r="I39" s="224"/>
      <c r="J39" s="238">
        <v>220.56899999999999</v>
      </c>
      <c r="L39" s="223"/>
      <c r="M39" s="224"/>
      <c r="N39" s="225"/>
      <c r="O39" s="229"/>
      <c r="P39" s="225"/>
      <c r="Q39" s="225"/>
      <c r="S39" s="223"/>
      <c r="T39" s="224"/>
      <c r="U39" s="225">
        <v>220.56899999999999</v>
      </c>
    </row>
    <row r="40" spans="1:21" s="2" customFormat="1">
      <c r="A40" s="217"/>
      <c r="B40" s="217" t="s">
        <v>133</v>
      </c>
      <c r="C40" s="188"/>
      <c r="D40" s="220"/>
      <c r="E40" s="221"/>
      <c r="F40" s="222"/>
      <c r="H40" s="220"/>
      <c r="I40" s="221"/>
      <c r="J40" s="222">
        <v>947.5379999999999</v>
      </c>
      <c r="L40" s="220"/>
      <c r="M40" s="221"/>
      <c r="N40" s="222">
        <v>276</v>
      </c>
      <c r="O40" s="228"/>
      <c r="P40" s="222"/>
      <c r="Q40" s="222">
        <v>82.8</v>
      </c>
      <c r="S40" s="220"/>
      <c r="T40" s="221"/>
      <c r="U40" s="222">
        <v>1030.338</v>
      </c>
    </row>
    <row r="41" spans="1:21" s="2" customFormat="1">
      <c r="C41" s="189"/>
      <c r="D41" s="193"/>
      <c r="E41" s="194"/>
      <c r="F41" s="195"/>
      <c r="H41" s="193"/>
      <c r="I41" s="194"/>
      <c r="J41" s="195"/>
      <c r="L41" s="193"/>
      <c r="M41" s="194"/>
      <c r="N41" s="195"/>
      <c r="O41" s="196"/>
      <c r="P41" s="195"/>
      <c r="Q41" s="195"/>
      <c r="S41" s="193"/>
      <c r="T41" s="194"/>
      <c r="U41" s="195"/>
    </row>
    <row r="42" spans="1:21" s="2" customFormat="1">
      <c r="A42" s="217" t="s">
        <v>45</v>
      </c>
      <c r="B42" s="217"/>
      <c r="C42" s="188"/>
      <c r="D42" s="220"/>
      <c r="E42" s="221"/>
      <c r="F42" s="222"/>
      <c r="H42" s="220"/>
      <c r="I42" s="221"/>
      <c r="J42" s="222"/>
      <c r="L42" s="220"/>
      <c r="M42" s="221"/>
      <c r="N42" s="222"/>
      <c r="O42" s="228"/>
      <c r="P42" s="222"/>
      <c r="Q42" s="222"/>
      <c r="S42" s="220"/>
      <c r="T42" s="221"/>
      <c r="U42" s="222"/>
    </row>
    <row r="43" spans="1:21" s="2" customFormat="1">
      <c r="A43" s="217"/>
      <c r="B43" s="217" t="s">
        <v>134</v>
      </c>
      <c r="C43" s="188"/>
      <c r="D43" s="220"/>
      <c r="E43" s="221"/>
      <c r="F43" s="222"/>
      <c r="H43" s="220"/>
      <c r="I43" s="221"/>
      <c r="J43" s="222"/>
      <c r="L43" s="220"/>
      <c r="M43" s="221"/>
      <c r="N43" s="222"/>
      <c r="O43" s="228"/>
      <c r="P43" s="222"/>
      <c r="Q43" s="222"/>
      <c r="S43" s="220"/>
      <c r="T43" s="221"/>
      <c r="U43" s="222"/>
    </row>
    <row r="44" spans="1:21" s="2" customFormat="1">
      <c r="A44" s="217"/>
      <c r="B44" s="234" t="s">
        <v>135</v>
      </c>
      <c r="C44" s="188"/>
      <c r="D44" s="220"/>
      <c r="E44" s="221"/>
      <c r="F44" s="222"/>
      <c r="H44" s="220">
        <v>1</v>
      </c>
      <c r="I44" s="221">
        <v>0.11</v>
      </c>
      <c r="J44" s="222">
        <v>110</v>
      </c>
      <c r="L44" s="220">
        <v>1</v>
      </c>
      <c r="M44" s="221">
        <v>0.11</v>
      </c>
      <c r="N44" s="222">
        <v>110</v>
      </c>
      <c r="O44" s="228">
        <v>0.5</v>
      </c>
      <c r="P44" s="222"/>
      <c r="Q44" s="222">
        <v>55</v>
      </c>
      <c r="S44" s="220">
        <v>1.5</v>
      </c>
      <c r="T44" s="221">
        <v>0.11</v>
      </c>
      <c r="U44" s="222">
        <v>165</v>
      </c>
    </row>
    <row r="45" spans="1:21" s="2" customFormat="1">
      <c r="A45" s="217"/>
      <c r="B45" s="234" t="s">
        <v>136</v>
      </c>
      <c r="C45" s="188"/>
      <c r="D45" s="220"/>
      <c r="E45" s="221"/>
      <c r="F45" s="222"/>
      <c r="H45" s="220">
        <v>0.25</v>
      </c>
      <c r="I45" s="221">
        <v>0.1</v>
      </c>
      <c r="J45" s="222">
        <v>25</v>
      </c>
      <c r="L45" s="220"/>
      <c r="M45" s="221"/>
      <c r="N45" s="222"/>
      <c r="O45" s="228"/>
      <c r="P45" s="222"/>
      <c r="Q45" s="222"/>
      <c r="S45" s="220">
        <v>0.25</v>
      </c>
      <c r="T45" s="221">
        <v>0.1</v>
      </c>
      <c r="U45" s="222">
        <v>25</v>
      </c>
    </row>
    <row r="46" spans="1:21" s="2" customFormat="1">
      <c r="A46" s="217"/>
      <c r="B46" s="234" t="s">
        <v>137</v>
      </c>
      <c r="C46" s="188"/>
      <c r="D46" s="220"/>
      <c r="E46" s="221"/>
      <c r="F46" s="222"/>
      <c r="H46" s="223">
        <v>1.1000000000000001</v>
      </c>
      <c r="I46" s="224">
        <v>0.11</v>
      </c>
      <c r="J46" s="225">
        <v>121</v>
      </c>
      <c r="L46" s="223"/>
      <c r="M46" s="224"/>
      <c r="N46" s="225"/>
      <c r="O46" s="229"/>
      <c r="P46" s="225"/>
      <c r="Q46" s="225"/>
      <c r="S46" s="223">
        <v>1.1000000000000001</v>
      </c>
      <c r="T46" s="224">
        <v>0.11</v>
      </c>
      <c r="U46" s="225">
        <v>121</v>
      </c>
    </row>
    <row r="47" spans="1:21" s="2" customFormat="1">
      <c r="A47" s="217"/>
      <c r="B47" s="217" t="s">
        <v>138</v>
      </c>
      <c r="C47" s="188"/>
      <c r="D47" s="220"/>
      <c r="E47" s="221"/>
      <c r="F47" s="222"/>
      <c r="H47" s="220">
        <v>2.35</v>
      </c>
      <c r="I47" s="221">
        <v>0.10893617021276596</v>
      </c>
      <c r="J47" s="222">
        <v>256</v>
      </c>
      <c r="L47" s="220">
        <v>1</v>
      </c>
      <c r="M47" s="221">
        <v>0.11</v>
      </c>
      <c r="N47" s="222">
        <v>110</v>
      </c>
      <c r="O47" s="228"/>
      <c r="P47" s="222"/>
      <c r="Q47" s="222">
        <v>55</v>
      </c>
      <c r="S47" s="220">
        <v>2.85</v>
      </c>
      <c r="T47" s="221">
        <v>0.10912280701754386</v>
      </c>
      <c r="U47" s="222">
        <v>311</v>
      </c>
    </row>
    <row r="48" spans="1:21" s="2" customFormat="1">
      <c r="A48" s="217"/>
      <c r="B48" s="217"/>
      <c r="C48" s="188"/>
      <c r="D48" s="220"/>
      <c r="E48" s="221"/>
      <c r="F48" s="222"/>
      <c r="H48" s="220"/>
      <c r="I48" s="221"/>
      <c r="J48" s="222"/>
      <c r="L48" s="220"/>
      <c r="M48" s="221"/>
      <c r="N48" s="222"/>
      <c r="O48" s="228"/>
      <c r="P48" s="222"/>
      <c r="Q48" s="222"/>
      <c r="S48" s="220"/>
      <c r="T48" s="221"/>
      <c r="U48" s="222"/>
    </row>
    <row r="49" spans="1:21" s="2" customFormat="1">
      <c r="A49" s="217"/>
      <c r="B49" s="217" t="s">
        <v>139</v>
      </c>
      <c r="C49" s="188"/>
      <c r="D49" s="220"/>
      <c r="E49" s="221"/>
      <c r="F49" s="222"/>
      <c r="H49" s="220">
        <v>2.35</v>
      </c>
      <c r="I49" s="221">
        <v>0.10893617021276596</v>
      </c>
      <c r="J49" s="222">
        <v>256</v>
      </c>
      <c r="L49" s="220">
        <v>1</v>
      </c>
      <c r="M49" s="221">
        <v>0.11</v>
      </c>
      <c r="N49" s="222">
        <v>110</v>
      </c>
      <c r="O49" s="228"/>
      <c r="P49" s="222"/>
      <c r="Q49" s="222">
        <v>55</v>
      </c>
      <c r="S49" s="220">
        <v>2.85</v>
      </c>
      <c r="T49" s="221">
        <v>0.10912280701754386</v>
      </c>
      <c r="U49" s="222">
        <v>311</v>
      </c>
    </row>
    <row r="50" spans="1:21" s="2" customFormat="1">
      <c r="C50" s="189"/>
      <c r="D50" s="193"/>
      <c r="E50" s="194"/>
      <c r="F50" s="195"/>
      <c r="H50" s="193"/>
      <c r="I50" s="194"/>
      <c r="J50" s="195"/>
      <c r="L50" s="193"/>
      <c r="M50" s="194"/>
      <c r="N50" s="195"/>
      <c r="O50" s="196"/>
      <c r="P50" s="195"/>
      <c r="Q50" s="195"/>
      <c r="S50" s="193"/>
      <c r="T50" s="194"/>
      <c r="U50" s="195"/>
    </row>
    <row r="51" spans="1:21" s="2" customFormat="1">
      <c r="A51" s="217" t="s">
        <v>140</v>
      </c>
      <c r="B51" s="217"/>
      <c r="C51" s="188"/>
      <c r="D51" s="220"/>
      <c r="E51" s="217"/>
      <c r="F51" s="222"/>
      <c r="H51" s="220" t="s">
        <v>141</v>
      </c>
      <c r="I51" s="217"/>
      <c r="J51" s="222">
        <v>990</v>
      </c>
      <c r="L51" s="220"/>
      <c r="M51" s="221"/>
      <c r="N51" s="222"/>
      <c r="O51" s="228"/>
      <c r="P51" s="222"/>
      <c r="Q51" s="222"/>
      <c r="S51" s="220" t="s">
        <v>141</v>
      </c>
      <c r="T51" s="217"/>
      <c r="U51" s="222">
        <v>990</v>
      </c>
    </row>
    <row r="52" spans="1:21" s="189" customFormat="1">
      <c r="A52" s="188"/>
      <c r="B52" s="188"/>
      <c r="C52" s="188"/>
      <c r="D52" s="197"/>
      <c r="E52" s="188"/>
      <c r="F52" s="198"/>
      <c r="H52" s="197"/>
      <c r="I52" s="188"/>
      <c r="J52" s="198"/>
      <c r="L52" s="197"/>
      <c r="M52" s="199"/>
      <c r="N52" s="198"/>
      <c r="O52" s="200"/>
      <c r="P52" s="198"/>
      <c r="Q52" s="198"/>
      <c r="S52" s="197"/>
      <c r="T52" s="188"/>
      <c r="U52" s="198"/>
    </row>
    <row r="53" spans="1:21" s="2" customFormat="1">
      <c r="A53" s="217" t="s">
        <v>142</v>
      </c>
      <c r="B53" s="217"/>
      <c r="C53" s="188"/>
      <c r="D53" s="220"/>
      <c r="E53" s="217"/>
      <c r="F53" s="222"/>
      <c r="H53" s="220"/>
      <c r="I53" s="217"/>
      <c r="J53" s="222">
        <v>-300</v>
      </c>
      <c r="L53" s="220"/>
      <c r="M53" s="221"/>
      <c r="N53" s="222"/>
      <c r="O53" s="228"/>
      <c r="P53" s="222"/>
      <c r="Q53" s="222"/>
      <c r="S53" s="220"/>
      <c r="T53" s="217"/>
      <c r="U53" s="222">
        <v>-300</v>
      </c>
    </row>
    <row r="54" spans="1:21" s="2" customFormat="1">
      <c r="C54" s="189"/>
      <c r="D54" s="193"/>
      <c r="E54" s="201"/>
      <c r="F54" s="195"/>
      <c r="H54" s="193"/>
      <c r="I54" s="201"/>
      <c r="J54" s="195"/>
      <c r="L54" s="193"/>
      <c r="M54" s="201"/>
      <c r="N54" s="195"/>
      <c r="O54" s="196"/>
      <c r="P54" s="195"/>
      <c r="Q54" s="195"/>
      <c r="S54" s="193"/>
      <c r="T54" s="201"/>
      <c r="U54" s="195"/>
    </row>
    <row r="55" spans="1:21" s="2" customFormat="1">
      <c r="A55" s="2" t="s">
        <v>143</v>
      </c>
      <c r="C55" s="189"/>
      <c r="E55" s="201"/>
      <c r="F55" s="202">
        <v>0</v>
      </c>
      <c r="I55" s="201"/>
      <c r="J55" s="202">
        <v>6603.6679999999997</v>
      </c>
      <c r="M55" s="201"/>
      <c r="N55" s="202">
        <v>1814.55</v>
      </c>
      <c r="O55" s="203"/>
      <c r="P55" s="82"/>
      <c r="Q55" s="202">
        <v>1028.0999999999999</v>
      </c>
      <c r="T55" s="201"/>
      <c r="U55" s="202">
        <v>7631.7679999999991</v>
      </c>
    </row>
    <row r="56" spans="1:21" s="2" customFormat="1">
      <c r="C56" s="189"/>
      <c r="E56" s="201"/>
      <c r="F56" s="82"/>
      <c r="I56" s="201"/>
      <c r="J56" s="82"/>
      <c r="M56" s="201"/>
      <c r="N56" s="82"/>
      <c r="O56" s="203"/>
      <c r="P56" s="82"/>
      <c r="Q56" s="82"/>
      <c r="T56" s="201"/>
      <c r="U56" s="82"/>
    </row>
    <row r="57" spans="1:21" s="2" customFormat="1">
      <c r="C57" s="189"/>
      <c r="E57" s="201"/>
      <c r="F57" s="82"/>
      <c r="I57" s="201"/>
      <c r="J57" s="82"/>
      <c r="M57" s="201"/>
      <c r="N57" s="82"/>
      <c r="O57" s="203"/>
      <c r="P57" s="82"/>
      <c r="Q57" s="82"/>
      <c r="T57" s="201"/>
      <c r="U57" s="82"/>
    </row>
    <row r="58" spans="1:21" s="2" customFormat="1">
      <c r="C58" s="189"/>
      <c r="E58" s="201"/>
      <c r="F58" s="82"/>
      <c r="I58" s="201"/>
      <c r="J58" s="82"/>
      <c r="M58" s="201"/>
      <c r="N58" s="82"/>
      <c r="O58" s="203"/>
      <c r="P58" s="82"/>
      <c r="Q58" s="82"/>
      <c r="T58" s="201"/>
      <c r="U58" s="82"/>
    </row>
    <row r="59" spans="1:21" s="2" customFormat="1">
      <c r="C59" s="189"/>
      <c r="E59" s="201"/>
      <c r="F59" s="82"/>
      <c r="I59" s="201"/>
      <c r="J59" s="82"/>
      <c r="M59" s="201"/>
      <c r="N59" s="82"/>
      <c r="O59" s="203"/>
      <c r="P59" s="82"/>
      <c r="Q59" s="82"/>
      <c r="T59" s="201"/>
      <c r="U59" s="82"/>
    </row>
    <row r="60" spans="1:21" s="2" customFormat="1">
      <c r="C60" s="189"/>
      <c r="E60" s="201"/>
      <c r="F60" s="82"/>
      <c r="I60" s="201"/>
      <c r="J60" s="82"/>
      <c r="M60" s="201"/>
      <c r="N60" s="82"/>
      <c r="O60" s="203"/>
      <c r="P60" s="82"/>
      <c r="Q60" s="82"/>
      <c r="T60" s="201"/>
      <c r="U60" s="82"/>
    </row>
    <row r="61" spans="1:21" s="2" customFormat="1">
      <c r="C61" s="189"/>
      <c r="D61" s="193"/>
      <c r="E61" s="201"/>
      <c r="F61" s="195"/>
      <c r="H61" s="193"/>
      <c r="I61" s="201"/>
      <c r="J61" s="195"/>
      <c r="L61" s="193"/>
      <c r="M61" s="201"/>
      <c r="N61" s="195"/>
      <c r="O61" s="196"/>
      <c r="P61" s="195"/>
      <c r="Q61" s="195"/>
      <c r="S61" s="193"/>
      <c r="T61" s="201"/>
      <c r="U61" s="195"/>
    </row>
    <row r="62" spans="1:21" ht="15">
      <c r="A62" s="172" t="s">
        <v>99</v>
      </c>
    </row>
    <row r="63" spans="1:21" ht="15">
      <c r="A63" s="172" t="s">
        <v>144</v>
      </c>
    </row>
    <row r="64" spans="1:21" ht="15">
      <c r="A64" s="172" t="s">
        <v>101</v>
      </c>
      <c r="D64" s="176">
        <f>D3</f>
        <v>36749</v>
      </c>
      <c r="H64"/>
      <c r="L64"/>
      <c r="S64" s="176"/>
    </row>
    <row r="65" spans="1:21" ht="15">
      <c r="A65" s="172"/>
      <c r="D65" s="204"/>
      <c r="H65" s="204"/>
      <c r="L65" s="204"/>
      <c r="S65" s="204"/>
    </row>
    <row r="66" spans="1:21" ht="15">
      <c r="A66" s="172"/>
      <c r="D66" s="177" t="s">
        <v>102</v>
      </c>
      <c r="E66" s="178"/>
      <c r="F66" s="179"/>
      <c r="H66" s="177" t="s">
        <v>22</v>
      </c>
      <c r="I66" s="178"/>
      <c r="J66" s="179"/>
      <c r="L66" s="177" t="s">
        <v>25</v>
      </c>
      <c r="M66" s="178"/>
      <c r="N66" s="179"/>
      <c r="O66" s="180"/>
      <c r="P66" s="179"/>
      <c r="Q66" s="179"/>
      <c r="S66" s="177" t="s">
        <v>103</v>
      </c>
      <c r="T66" s="178"/>
      <c r="U66" s="179"/>
    </row>
    <row r="68" spans="1:21" s="181" customFormat="1" ht="25.5">
      <c r="A68" s="181" t="s">
        <v>104</v>
      </c>
      <c r="B68" s="181" t="s">
        <v>15</v>
      </c>
      <c r="C68" s="182"/>
      <c r="D68" s="183" t="s">
        <v>105</v>
      </c>
      <c r="E68" s="184" t="s">
        <v>9</v>
      </c>
      <c r="F68" s="185" t="s">
        <v>106</v>
      </c>
      <c r="H68" s="183" t="s">
        <v>105</v>
      </c>
      <c r="I68" s="184" t="s">
        <v>9</v>
      </c>
      <c r="J68" s="185" t="s">
        <v>106</v>
      </c>
      <c r="L68" s="183" t="s">
        <v>105</v>
      </c>
      <c r="M68" s="184" t="s">
        <v>9</v>
      </c>
      <c r="N68" s="185" t="s">
        <v>106</v>
      </c>
      <c r="O68" s="186" t="s">
        <v>107</v>
      </c>
      <c r="P68" s="185"/>
      <c r="Q68" s="185" t="s">
        <v>108</v>
      </c>
      <c r="S68" s="183" t="s">
        <v>105</v>
      </c>
      <c r="T68" s="184" t="s">
        <v>9</v>
      </c>
      <c r="U68" s="185" t="s">
        <v>106</v>
      </c>
    </row>
    <row r="69" spans="1:21" s="2" customFormat="1" ht="13.5" thickBot="1">
      <c r="C69" s="189"/>
      <c r="D69" s="193"/>
      <c r="E69" s="201"/>
      <c r="F69" s="195"/>
      <c r="H69" s="193"/>
      <c r="I69" s="201"/>
      <c r="J69" s="195"/>
      <c r="L69" s="193"/>
      <c r="M69" s="201"/>
      <c r="N69" s="195"/>
      <c r="O69" s="196"/>
      <c r="P69" s="195"/>
      <c r="Q69" s="195"/>
      <c r="S69" s="193"/>
      <c r="T69" s="201"/>
      <c r="U69" s="195"/>
    </row>
    <row r="70" spans="1:21" s="2" customFormat="1" ht="13.5" thickBot="1">
      <c r="A70" s="205" t="s">
        <v>145</v>
      </c>
      <c r="C70" s="189"/>
      <c r="D70"/>
      <c r="E70" s="201"/>
      <c r="F70" s="195"/>
      <c r="H70" s="193"/>
      <c r="I70" s="201"/>
      <c r="J70" s="195"/>
      <c r="L70" s="193"/>
      <c r="M70" s="201"/>
      <c r="N70" s="195"/>
      <c r="O70" s="196"/>
      <c r="P70" s="195"/>
      <c r="Q70" s="195"/>
      <c r="S70" s="193"/>
      <c r="T70" s="201"/>
      <c r="U70" s="195"/>
    </row>
    <row r="71" spans="1:21" s="2" customFormat="1">
      <c r="C71" s="189"/>
      <c r="D71" s="193"/>
      <c r="E71" s="201"/>
      <c r="F71" s="195"/>
      <c r="H71" s="193"/>
      <c r="I71" s="201"/>
      <c r="J71" s="195"/>
      <c r="L71" s="193"/>
      <c r="M71" s="201"/>
      <c r="N71" s="195"/>
      <c r="O71" s="196"/>
      <c r="P71" s="195"/>
      <c r="Q71" s="195"/>
      <c r="S71" s="193"/>
      <c r="T71" s="201"/>
      <c r="U71" s="195"/>
    </row>
    <row r="72" spans="1:21" s="2" customFormat="1">
      <c r="A72" s="217" t="s">
        <v>146</v>
      </c>
      <c r="B72" s="217"/>
      <c r="C72" s="188"/>
      <c r="D72" s="239">
        <v>8.813286999999999</v>
      </c>
      <c r="E72" s="240">
        <v>1.4710000000000001</v>
      </c>
      <c r="F72" s="222">
        <v>12964.345176999999</v>
      </c>
      <c r="H72" s="220">
        <v>0.60706800000000005</v>
      </c>
      <c r="I72" s="240">
        <v>1.4710000000000001</v>
      </c>
      <c r="J72" s="222">
        <v>892.99702800000011</v>
      </c>
      <c r="L72" s="220"/>
      <c r="M72" s="240"/>
      <c r="N72" s="222"/>
      <c r="O72" s="228"/>
      <c r="P72" s="222"/>
      <c r="Q72" s="222"/>
      <c r="S72" s="220">
        <v>9.4203549999999989</v>
      </c>
      <c r="T72" s="240">
        <v>1.4710000000000001</v>
      </c>
      <c r="U72" s="222">
        <v>13857.342204999999</v>
      </c>
    </row>
    <row r="73" spans="1:21" s="2" customFormat="1">
      <c r="A73" s="217"/>
      <c r="B73" s="217"/>
      <c r="C73" s="188"/>
      <c r="D73" s="220"/>
      <c r="E73" s="240"/>
      <c r="F73" s="222"/>
      <c r="H73" s="220"/>
      <c r="I73" s="240"/>
      <c r="J73" s="222"/>
      <c r="L73" s="220"/>
      <c r="M73" s="240"/>
      <c r="N73" s="222"/>
      <c r="O73" s="228"/>
      <c r="P73" s="222"/>
      <c r="Q73" s="222"/>
      <c r="S73" s="220"/>
      <c r="T73" s="240"/>
      <c r="U73" s="222"/>
    </row>
    <row r="74" spans="1:21" s="2" customFormat="1">
      <c r="A74" s="217" t="s">
        <v>16</v>
      </c>
      <c r="B74" s="217"/>
      <c r="C74" s="188"/>
      <c r="D74" s="239">
        <v>40.328699999999998</v>
      </c>
      <c r="E74" s="240">
        <v>0.30620000000000003</v>
      </c>
      <c r="F74" s="222">
        <v>12348.647940000001</v>
      </c>
      <c r="H74" s="220">
        <v>5</v>
      </c>
      <c r="I74" s="240">
        <v>0.30620000000000003</v>
      </c>
      <c r="J74" s="222">
        <v>1531</v>
      </c>
      <c r="L74" s="220"/>
      <c r="M74" s="240"/>
      <c r="N74" s="222"/>
      <c r="O74" s="228"/>
      <c r="P74" s="222"/>
      <c r="Q74" s="222"/>
      <c r="S74" s="220">
        <v>45.328699999999998</v>
      </c>
      <c r="T74" s="240">
        <v>0.30620000000000003</v>
      </c>
      <c r="U74" s="222">
        <v>13879.647940000001</v>
      </c>
    </row>
    <row r="75" spans="1:21" s="2" customFormat="1">
      <c r="A75" s="217"/>
      <c r="B75" s="217"/>
      <c r="C75" s="188"/>
      <c r="D75" s="220"/>
      <c r="E75" s="240"/>
      <c r="F75" s="222"/>
      <c r="H75" s="220"/>
      <c r="I75" s="240"/>
      <c r="J75" s="222"/>
      <c r="L75" s="220"/>
      <c r="M75" s="240"/>
      <c r="N75" s="222"/>
      <c r="O75" s="228"/>
      <c r="P75" s="222"/>
      <c r="Q75" s="222"/>
      <c r="S75" s="220"/>
      <c r="T75" s="240"/>
      <c r="U75" s="222"/>
    </row>
    <row r="76" spans="1:21" s="2" customFormat="1">
      <c r="A76" s="217" t="s">
        <v>147</v>
      </c>
      <c r="B76" s="217"/>
      <c r="C76" s="188"/>
      <c r="D76" s="220">
        <v>83.7</v>
      </c>
      <c r="E76" s="240">
        <v>1.2800000000000001E-2</v>
      </c>
      <c r="F76" s="222">
        <v>1071.3599999999999</v>
      </c>
      <c r="H76" s="220">
        <v>5.7625091979396617</v>
      </c>
      <c r="I76" s="240">
        <v>1.2800000000000001E-2</v>
      </c>
      <c r="J76" s="222">
        <v>73.760117733627666</v>
      </c>
      <c r="L76" s="220"/>
      <c r="M76" s="240"/>
      <c r="N76" s="222"/>
      <c r="O76" s="228"/>
      <c r="P76" s="222"/>
      <c r="Q76" s="222"/>
      <c r="S76" s="220">
        <v>89.462509197939667</v>
      </c>
      <c r="T76" s="240">
        <v>1.2799999999999999E-2</v>
      </c>
      <c r="U76" s="222">
        <v>1145.1201177336277</v>
      </c>
    </row>
    <row r="77" spans="1:21" s="2" customFormat="1">
      <c r="A77" s="217"/>
      <c r="B77" s="217"/>
      <c r="C77" s="188"/>
      <c r="D77" s="220"/>
      <c r="E77" s="240"/>
      <c r="F77" s="222"/>
      <c r="H77" s="220"/>
      <c r="I77" s="240"/>
      <c r="J77" s="222"/>
      <c r="L77" s="220"/>
      <c r="M77" s="240"/>
      <c r="N77" s="222"/>
      <c r="O77" s="228"/>
      <c r="P77" s="222"/>
      <c r="Q77" s="222"/>
      <c r="S77" s="220"/>
      <c r="T77" s="240"/>
      <c r="U77" s="222"/>
    </row>
    <row r="78" spans="1:21" s="2" customFormat="1">
      <c r="A78" s="217" t="s">
        <v>54</v>
      </c>
      <c r="B78" s="217"/>
      <c r="C78" s="188"/>
      <c r="D78" s="220">
        <v>11</v>
      </c>
      <c r="E78" s="240">
        <v>0.04</v>
      </c>
      <c r="F78" s="222">
        <v>440</v>
      </c>
      <c r="H78" s="220">
        <v>0.75974981604120684</v>
      </c>
      <c r="I78" s="240">
        <v>0.04</v>
      </c>
      <c r="J78" s="222">
        <v>30.389992641648274</v>
      </c>
      <c r="L78" s="220"/>
      <c r="M78" s="240"/>
      <c r="N78" s="222"/>
      <c r="O78" s="228"/>
      <c r="P78" s="222"/>
      <c r="Q78" s="222"/>
      <c r="S78" s="220">
        <v>11.759749816041207</v>
      </c>
      <c r="T78" s="240">
        <v>0.04</v>
      </c>
      <c r="U78" s="222">
        <v>470.38999264164829</v>
      </c>
    </row>
    <row r="79" spans="1:21" s="2" customFormat="1">
      <c r="A79" s="217"/>
      <c r="B79" s="217"/>
      <c r="C79" s="188"/>
      <c r="D79" s="220"/>
      <c r="E79" s="240"/>
      <c r="F79" s="222"/>
      <c r="H79" s="220"/>
      <c r="I79" s="240"/>
      <c r="J79" s="222"/>
      <c r="L79" s="220"/>
      <c r="M79" s="240"/>
      <c r="N79" s="222"/>
      <c r="O79" s="228"/>
      <c r="P79" s="222"/>
      <c r="Q79" s="222"/>
      <c r="S79" s="220"/>
      <c r="T79" s="240"/>
      <c r="U79" s="222"/>
    </row>
    <row r="80" spans="1:21" s="2" customFormat="1">
      <c r="A80" s="217" t="s">
        <v>148</v>
      </c>
      <c r="B80" s="217"/>
      <c r="C80" s="188"/>
      <c r="D80" s="220">
        <v>0.32851511169513797</v>
      </c>
      <c r="E80" s="240">
        <v>7.6100000000000001E-2</v>
      </c>
      <c r="F80" s="222">
        <v>25</v>
      </c>
      <c r="H80" s="220">
        <v>1.9315673289183224E-2</v>
      </c>
      <c r="I80" s="240">
        <v>7.6100000000000001E-2</v>
      </c>
      <c r="J80" s="222">
        <v>1.4699227373068435</v>
      </c>
      <c r="L80" s="220"/>
      <c r="M80" s="240"/>
      <c r="N80" s="222"/>
      <c r="O80" s="228"/>
      <c r="P80" s="222"/>
      <c r="Q80" s="222"/>
      <c r="S80" s="220">
        <v>0.34783078498432118</v>
      </c>
      <c r="T80" s="240">
        <v>7.6100000000000001E-2</v>
      </c>
      <c r="U80" s="222">
        <v>26.469922737306845</v>
      </c>
    </row>
    <row r="81" spans="1:21" s="2" customFormat="1">
      <c r="A81" s="217"/>
      <c r="B81" s="217"/>
      <c r="C81" s="188"/>
      <c r="D81" s="220"/>
      <c r="E81" s="240"/>
      <c r="F81" s="222"/>
      <c r="H81" s="220"/>
      <c r="I81" s="240"/>
      <c r="J81" s="222"/>
      <c r="L81" s="220"/>
      <c r="M81" s="240"/>
      <c r="N81" s="222"/>
      <c r="O81" s="228"/>
      <c r="P81" s="222"/>
      <c r="Q81" s="222"/>
      <c r="S81" s="220"/>
      <c r="T81" s="240"/>
      <c r="U81" s="222"/>
    </row>
    <row r="82" spans="1:21" s="2" customFormat="1">
      <c r="A82" s="217"/>
      <c r="B82" s="217"/>
      <c r="C82" s="188"/>
      <c r="D82" s="220"/>
      <c r="E82" s="240"/>
      <c r="F82" s="222"/>
      <c r="H82" s="220"/>
      <c r="I82" s="240"/>
      <c r="J82" s="222"/>
      <c r="L82" s="220"/>
      <c r="M82" s="240"/>
      <c r="N82" s="222"/>
      <c r="O82" s="228"/>
      <c r="P82" s="222"/>
      <c r="Q82" s="222"/>
      <c r="S82" s="220"/>
      <c r="T82" s="240"/>
      <c r="U82" s="222"/>
    </row>
    <row r="83" spans="1:21" s="2" customFormat="1">
      <c r="C83" s="189"/>
      <c r="D83" s="193"/>
      <c r="E83" s="201"/>
      <c r="F83" s="195"/>
      <c r="H83" s="193"/>
      <c r="I83" s="201"/>
      <c r="J83" s="195"/>
      <c r="L83" s="193"/>
      <c r="M83" s="201"/>
      <c r="N83" s="195"/>
      <c r="O83" s="196"/>
      <c r="P83" s="195"/>
      <c r="Q83" s="195"/>
      <c r="S83" s="193"/>
      <c r="T83" s="201"/>
      <c r="U83" s="195"/>
    </row>
    <row r="84" spans="1:21" s="2" customFormat="1">
      <c r="A84" s="2" t="s">
        <v>149</v>
      </c>
      <c r="C84" s="189"/>
      <c r="E84" s="201"/>
      <c r="F84" s="202">
        <v>26849.353116999999</v>
      </c>
      <c r="I84" s="201"/>
      <c r="J84" s="202">
        <v>2529.6170611125831</v>
      </c>
      <c r="M84" s="201"/>
      <c r="N84" s="202">
        <v>0</v>
      </c>
      <c r="O84" s="203"/>
      <c r="P84" s="82"/>
      <c r="Q84" s="202">
        <v>0</v>
      </c>
      <c r="T84" s="201"/>
      <c r="U84" s="202">
        <v>29378.97017811258</v>
      </c>
    </row>
    <row r="85" spans="1:21" s="2" customFormat="1">
      <c r="C85" s="189"/>
      <c r="E85" s="201"/>
      <c r="F85" s="82"/>
      <c r="I85" s="201"/>
      <c r="J85" s="82"/>
      <c r="M85" s="201"/>
      <c r="N85" s="82"/>
      <c r="O85" s="203"/>
      <c r="P85" s="82"/>
      <c r="Q85" s="82"/>
      <c r="T85" s="201"/>
      <c r="U85" s="82"/>
    </row>
    <row r="86" spans="1:21" s="2" customFormat="1">
      <c r="C86" s="189"/>
      <c r="D86" s="193"/>
      <c r="E86" s="201"/>
      <c r="F86" s="195"/>
      <c r="H86" s="193"/>
      <c r="I86" s="201"/>
      <c r="J86" s="195"/>
      <c r="L86" s="193"/>
      <c r="M86" s="201"/>
      <c r="N86" s="195"/>
      <c r="O86" s="196"/>
      <c r="P86" s="195"/>
      <c r="Q86" s="195"/>
      <c r="S86" s="193"/>
      <c r="T86" s="201"/>
      <c r="U86" s="195"/>
    </row>
    <row r="87" spans="1:21" s="2" customFormat="1">
      <c r="A87" s="2" t="s">
        <v>150</v>
      </c>
      <c r="C87" s="189"/>
      <c r="D87" s="193"/>
      <c r="E87" s="201"/>
      <c r="F87" s="206">
        <v>26849.353116999999</v>
      </c>
      <c r="H87" s="193"/>
      <c r="I87" s="201"/>
      <c r="J87" s="206">
        <v>9133.2850611125832</v>
      </c>
      <c r="L87" s="193"/>
      <c r="M87" s="201"/>
      <c r="N87" s="206">
        <v>1814.55</v>
      </c>
      <c r="O87" s="203"/>
      <c r="P87" s="82"/>
      <c r="Q87" s="206">
        <v>1028.0999999999999</v>
      </c>
      <c r="S87" s="193"/>
      <c r="T87" s="201"/>
      <c r="U87" s="206">
        <v>37010.73817811258</v>
      </c>
    </row>
    <row r="91" spans="1:21" ht="13.5" thickBot="1"/>
    <row r="92" spans="1:21" ht="13.5" thickBot="1">
      <c r="A92" s="246" t="s">
        <v>173</v>
      </c>
      <c r="B92" s="247"/>
    </row>
    <row r="94" spans="1:21">
      <c r="A94" s="173" t="s">
        <v>167</v>
      </c>
      <c r="Q94" s="42">
        <v>2000</v>
      </c>
      <c r="U94" s="42">
        <f>+Q94</f>
        <v>2000</v>
      </c>
    </row>
    <row r="96" spans="1:21">
      <c r="A96" s="173" t="s">
        <v>168</v>
      </c>
      <c r="Q96" s="42">
        <v>500</v>
      </c>
      <c r="U96" s="42">
        <f>+Q96</f>
        <v>500</v>
      </c>
    </row>
    <row r="97" spans="1:21">
      <c r="A97" s="173" t="s">
        <v>169</v>
      </c>
    </row>
    <row r="99" spans="1:21">
      <c r="A99" s="173" t="s">
        <v>170</v>
      </c>
      <c r="Q99" s="42">
        <v>100</v>
      </c>
      <c r="U99" s="42">
        <f>+Q99</f>
        <v>100</v>
      </c>
    </row>
    <row r="101" spans="1:21">
      <c r="A101" s="173" t="s">
        <v>171</v>
      </c>
      <c r="Q101" s="42">
        <v>500</v>
      </c>
      <c r="U101" s="42">
        <f>+Q101</f>
        <v>500</v>
      </c>
    </row>
    <row r="102" spans="1:21" ht="13.5" thickBot="1"/>
    <row r="103" spans="1:21" ht="13.5" thickBot="1">
      <c r="M103" s="193" t="s">
        <v>172</v>
      </c>
      <c r="Q103" s="248">
        <f>SUM(Q94:Q101)</f>
        <v>3100</v>
      </c>
      <c r="U103" s="248">
        <f>+Q103</f>
        <v>3100</v>
      </c>
    </row>
  </sheetData>
  <phoneticPr fontId="0" type="noConversion"/>
  <pageMargins left="0" right="0" top="0" bottom="0" header="0" footer="0"/>
  <pageSetup scale="60" fitToHeight="2" orientation="landscape" horizontalDpi="300" verticalDpi="300" r:id="rId1"/>
  <headerFooter alignWithMargins="0">
    <oddFooter>&amp;L&amp;D
&amp;T&amp;CPage &amp;P of &amp;N&amp;R&amp;F
&amp;A</oddFooter>
  </headerFooter>
  <rowBreaks count="1" manualBreakCount="1">
    <brk id="5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zoomScaleNormal="100" workbookViewId="0">
      <selection activeCell="B58" sqref="B58"/>
    </sheetView>
  </sheetViews>
  <sheetFormatPr defaultRowHeight="12.75"/>
  <cols>
    <col min="1" max="1" width="16.28515625" style="173" customWidth="1"/>
    <col min="2" max="2" width="33.7109375" style="173" customWidth="1"/>
    <col min="3" max="3" width="5.28515625" style="174" customWidth="1"/>
    <col min="4" max="4" width="10.28515625" style="24" customWidth="1"/>
    <col min="5" max="5" width="10.42578125" style="94" customWidth="1"/>
    <col min="6" max="6" width="13.28515625" style="42" bestFit="1" customWidth="1"/>
    <col min="7" max="7" width="6.7109375" customWidth="1"/>
    <col min="8" max="8" width="10.28515625" style="24" customWidth="1"/>
    <col min="9" max="9" width="10.42578125" style="94" customWidth="1"/>
    <col min="10" max="10" width="13.28515625" style="42" bestFit="1" customWidth="1"/>
    <col min="11" max="11" width="5.140625" customWidth="1"/>
    <col min="12" max="12" width="10.28515625" style="24" customWidth="1"/>
    <col min="13" max="13" width="10.42578125" style="94" customWidth="1"/>
    <col min="14" max="14" width="10" style="42" customWidth="1"/>
    <col min="15" max="15" width="2.85546875" customWidth="1"/>
    <col min="16" max="16" width="10.28515625" style="24" customWidth="1"/>
    <col min="17" max="17" width="10.42578125" style="94" customWidth="1"/>
    <col min="18" max="18" width="13.28515625" style="42" bestFit="1" customWidth="1"/>
  </cols>
  <sheetData>
    <row r="1" spans="1:18" ht="26.25">
      <c r="A1" s="36" t="s">
        <v>47</v>
      </c>
      <c r="B1" s="325"/>
      <c r="C1" s="322"/>
      <c r="D1" s="323"/>
      <c r="E1" s="324"/>
      <c r="F1" s="326"/>
      <c r="G1" s="115"/>
      <c r="H1" s="323"/>
      <c r="I1" s="324"/>
      <c r="J1" s="326"/>
      <c r="K1" s="115"/>
      <c r="L1" s="323"/>
      <c r="M1" s="324"/>
      <c r="N1" s="326"/>
      <c r="O1" s="115"/>
      <c r="P1" s="323"/>
      <c r="Q1" s="324"/>
      <c r="R1" s="326"/>
    </row>
    <row r="2" spans="1:18" ht="15.75">
      <c r="A2" s="38" t="s">
        <v>387</v>
      </c>
      <c r="B2" s="325"/>
      <c r="C2" s="322"/>
      <c r="D2" s="323"/>
      <c r="E2" s="324"/>
      <c r="F2" s="326"/>
      <c r="G2" s="115"/>
      <c r="H2" s="323"/>
      <c r="I2" s="324"/>
      <c r="J2" s="326"/>
      <c r="K2" s="115"/>
      <c r="L2" s="323"/>
      <c r="M2" s="324"/>
      <c r="N2" s="326"/>
      <c r="O2" s="115"/>
      <c r="P2" s="323"/>
      <c r="Q2" s="324"/>
      <c r="R2" s="326"/>
    </row>
    <row r="3" spans="1:18" ht="15.75">
      <c r="A3" s="38"/>
      <c r="B3" s="325"/>
      <c r="C3" s="322"/>
      <c r="D3" s="323"/>
      <c r="E3" s="324"/>
      <c r="F3" s="326"/>
      <c r="G3" s="115"/>
      <c r="H3" s="323"/>
      <c r="I3" s="324"/>
      <c r="J3" s="326"/>
      <c r="K3" s="115"/>
      <c r="L3" s="323"/>
      <c r="M3" s="324"/>
      <c r="N3" s="326"/>
      <c r="O3" s="115"/>
      <c r="P3" s="323"/>
      <c r="Q3" s="324"/>
      <c r="R3" s="326"/>
    </row>
    <row r="4" spans="1:18" ht="15">
      <c r="A4" s="172" t="s">
        <v>101</v>
      </c>
      <c r="D4" s="176">
        <v>37147</v>
      </c>
      <c r="H4"/>
      <c r="L4"/>
      <c r="P4" s="176"/>
    </row>
    <row r="5" spans="1:18" ht="15">
      <c r="A5" s="172"/>
      <c r="D5" s="177" t="s">
        <v>351</v>
      </c>
      <c r="E5" s="178"/>
      <c r="F5" s="179"/>
      <c r="H5" s="177" t="s">
        <v>352</v>
      </c>
      <c r="I5" s="178"/>
      <c r="J5" s="179"/>
      <c r="L5" s="332" t="s">
        <v>353</v>
      </c>
      <c r="M5" s="332"/>
      <c r="N5" s="332"/>
      <c r="P5" s="177" t="s">
        <v>103</v>
      </c>
      <c r="Q5" s="178"/>
      <c r="R5" s="179"/>
    </row>
    <row r="7" spans="1:18" s="181" customFormat="1" ht="26.25" thickBot="1">
      <c r="A7" s="181" t="s">
        <v>104</v>
      </c>
      <c r="B7" s="181" t="s">
        <v>15</v>
      </c>
      <c r="C7" s="182"/>
      <c r="D7" s="183" t="s">
        <v>105</v>
      </c>
      <c r="E7" s="184" t="s">
        <v>9</v>
      </c>
      <c r="F7" s="185" t="s">
        <v>106</v>
      </c>
      <c r="H7" s="183" t="s">
        <v>105</v>
      </c>
      <c r="I7" s="184" t="s">
        <v>9</v>
      </c>
      <c r="J7" s="185" t="s">
        <v>106</v>
      </c>
      <c r="L7" s="183" t="s">
        <v>105</v>
      </c>
      <c r="M7" s="184" t="s">
        <v>9</v>
      </c>
      <c r="N7" s="185" t="s">
        <v>106</v>
      </c>
      <c r="P7" s="183" t="s">
        <v>105</v>
      </c>
      <c r="Q7" s="184" t="s">
        <v>9</v>
      </c>
      <c r="R7" s="185" t="s">
        <v>106</v>
      </c>
    </row>
    <row r="8" spans="1:18" s="181" customFormat="1" ht="13.5" thickBot="1">
      <c r="A8" s="187" t="s">
        <v>109</v>
      </c>
      <c r="C8" s="182"/>
      <c r="D8" s="183"/>
      <c r="E8" s="184"/>
      <c r="F8" s="185"/>
      <c r="H8" s="183"/>
      <c r="I8" s="184"/>
      <c r="J8" s="185"/>
      <c r="L8" s="183"/>
      <c r="M8" s="184"/>
      <c r="N8" s="185"/>
      <c r="P8" s="183"/>
      <c r="Q8" s="184"/>
      <c r="R8" s="185"/>
    </row>
    <row r="9" spans="1:18" s="2" customFormat="1">
      <c r="A9" s="299" t="s">
        <v>110</v>
      </c>
      <c r="B9" s="297" t="s">
        <v>111</v>
      </c>
      <c r="C9" s="188"/>
      <c r="D9" s="298"/>
      <c r="E9" s="300"/>
      <c r="F9" s="301"/>
      <c r="H9" s="298"/>
      <c r="I9" s="300"/>
      <c r="J9" s="301"/>
      <c r="L9" s="298"/>
      <c r="M9" s="300"/>
      <c r="N9" s="301"/>
      <c r="P9" s="302"/>
      <c r="Q9" s="302"/>
      <c r="R9" s="302"/>
    </row>
    <row r="10" spans="1:18" s="2" customFormat="1">
      <c r="A10" s="299"/>
      <c r="B10" s="303" t="s">
        <v>373</v>
      </c>
      <c r="C10" s="188"/>
      <c r="D10" s="298"/>
      <c r="E10" s="300"/>
      <c r="F10" s="301"/>
      <c r="H10" s="298">
        <v>3.5</v>
      </c>
      <c r="I10" s="300">
        <v>0.25</v>
      </c>
      <c r="J10" s="301">
        <f>H10*I10*1000</f>
        <v>875</v>
      </c>
      <c r="L10" s="298">
        <f>+H10</f>
        <v>3.5</v>
      </c>
      <c r="M10" s="300">
        <v>6.8000000000000005E-2</v>
      </c>
      <c r="N10" s="301">
        <f>L10*M10*1000</f>
        <v>238.00000000000003</v>
      </c>
      <c r="P10" s="298">
        <f>+H10</f>
        <v>3.5</v>
      </c>
      <c r="Q10" s="300">
        <f>R10/P10/1000</f>
        <v>0.318</v>
      </c>
      <c r="R10" s="301">
        <f>+J10+N10</f>
        <v>1113</v>
      </c>
    </row>
    <row r="11" spans="1:18" s="2" customFormat="1">
      <c r="A11" s="299"/>
      <c r="B11" s="303" t="s">
        <v>374</v>
      </c>
      <c r="C11" s="188"/>
      <c r="D11" s="298"/>
      <c r="E11" s="300"/>
      <c r="F11" s="301"/>
      <c r="H11" s="298">
        <v>1.5</v>
      </c>
      <c r="I11" s="300">
        <v>0.25</v>
      </c>
      <c r="J11" s="301">
        <f>H11*I11*1000</f>
        <v>375</v>
      </c>
      <c r="L11" s="298">
        <f>+H11</f>
        <v>1.5</v>
      </c>
      <c r="M11" s="300">
        <v>6.8000000000000005E-2</v>
      </c>
      <c r="N11" s="301">
        <f>L11*M11*1000</f>
        <v>102.00000000000001</v>
      </c>
      <c r="P11" s="298">
        <f>+H11</f>
        <v>1.5</v>
      </c>
      <c r="Q11" s="300">
        <f>R11/P11/1000</f>
        <v>0.318</v>
      </c>
      <c r="R11" s="301">
        <f>+J11+N11</f>
        <v>477</v>
      </c>
    </row>
    <row r="12" spans="1:18" s="2" customFormat="1">
      <c r="A12" s="299"/>
      <c r="B12" s="299" t="s">
        <v>375</v>
      </c>
      <c r="C12" s="188"/>
      <c r="D12" s="298"/>
      <c r="E12" s="300"/>
      <c r="F12" s="301"/>
      <c r="H12" s="298">
        <v>5.83</v>
      </c>
      <c r="I12" s="300">
        <v>0.47167821612349914</v>
      </c>
      <c r="J12" s="301">
        <f>H12*I12*1000</f>
        <v>2749.884</v>
      </c>
      <c r="L12" s="298"/>
      <c r="M12" s="300"/>
      <c r="N12" s="301"/>
      <c r="P12" s="298">
        <f>+H12</f>
        <v>5.83</v>
      </c>
      <c r="Q12" s="300">
        <f>R12/P12/1000</f>
        <v>0.47167821612349914</v>
      </c>
      <c r="R12" s="301">
        <f>+J12+N12</f>
        <v>2749.884</v>
      </c>
    </row>
    <row r="13" spans="1:18" s="2" customFormat="1">
      <c r="A13" s="299"/>
      <c r="B13" s="299" t="s">
        <v>376</v>
      </c>
      <c r="C13" s="188"/>
      <c r="D13" s="298"/>
      <c r="E13" s="300"/>
      <c r="F13" s="301"/>
      <c r="H13" s="304"/>
      <c r="I13" s="305"/>
      <c r="J13" s="306">
        <f>394.692+69.418</f>
        <v>464.11</v>
      </c>
      <c r="L13" s="304"/>
      <c r="M13" s="305"/>
      <c r="N13" s="306"/>
      <c r="P13" s="304"/>
      <c r="Q13" s="305"/>
      <c r="R13" s="306">
        <f>+J13+N13</f>
        <v>464.11</v>
      </c>
    </row>
    <row r="14" spans="1:18" s="2" customFormat="1">
      <c r="A14" s="299" t="s">
        <v>71</v>
      </c>
      <c r="B14" s="299" t="s">
        <v>115</v>
      </c>
      <c r="C14" s="188"/>
      <c r="D14" s="298"/>
      <c r="E14" s="300"/>
      <c r="F14" s="301"/>
      <c r="H14" s="298">
        <v>10.83</v>
      </c>
      <c r="I14" s="300">
        <v>0.44353776546629736</v>
      </c>
      <c r="J14" s="301">
        <f>SUM(J10:J13)</f>
        <v>4463.9939999999997</v>
      </c>
      <c r="L14" s="298">
        <f>SUM(L10:L13)</f>
        <v>5</v>
      </c>
      <c r="M14" s="300">
        <v>0.06</v>
      </c>
      <c r="N14" s="301">
        <f>SUM(N10:N13)</f>
        <v>340.00000000000006</v>
      </c>
      <c r="P14" s="298">
        <f>+H14</f>
        <v>10.83</v>
      </c>
      <c r="Q14" s="300">
        <f>R14/P14/1000</f>
        <v>0.44358208679593719</v>
      </c>
      <c r="R14" s="301">
        <f>SUM(R9:R13)</f>
        <v>4803.9939999999997</v>
      </c>
    </row>
    <row r="15" spans="1:18" s="2" customFormat="1">
      <c r="A15" s="299"/>
      <c r="B15" s="299" t="s">
        <v>116</v>
      </c>
      <c r="C15" s="189"/>
      <c r="D15" s="298"/>
      <c r="E15" s="300"/>
      <c r="F15" s="301"/>
      <c r="H15" s="304">
        <v>1.5</v>
      </c>
      <c r="I15" s="305">
        <v>0.08</v>
      </c>
      <c r="J15" s="306">
        <f>H15*I15*1000</f>
        <v>120</v>
      </c>
      <c r="L15" s="304">
        <v>1.5</v>
      </c>
      <c r="M15" s="305">
        <v>0.04</v>
      </c>
      <c r="N15" s="306">
        <f>L15*M15*1000</f>
        <v>60</v>
      </c>
      <c r="P15" s="304"/>
      <c r="Q15" s="305"/>
      <c r="R15" s="306">
        <f>+J15+N15</f>
        <v>180</v>
      </c>
    </row>
    <row r="16" spans="1:18" s="2" customFormat="1">
      <c r="A16" s="299"/>
      <c r="B16" s="299" t="s">
        <v>117</v>
      </c>
      <c r="C16" s="189"/>
      <c r="D16" s="298"/>
      <c r="E16" s="300"/>
      <c r="F16" s="301"/>
      <c r="H16" s="298"/>
      <c r="I16" s="300"/>
      <c r="J16" s="301">
        <f>SUM(J14:J15)</f>
        <v>4583.9939999999997</v>
      </c>
      <c r="L16" s="298"/>
      <c r="M16" s="300"/>
      <c r="N16" s="301">
        <f>SUM(N14:N15)</f>
        <v>400.00000000000006</v>
      </c>
      <c r="P16" s="298"/>
      <c r="Q16" s="300"/>
      <c r="R16" s="301">
        <f>SUM(R14:R15)</f>
        <v>4983.9939999999997</v>
      </c>
    </row>
    <row r="17" spans="1:18">
      <c r="E17" s="190"/>
      <c r="I17" s="190"/>
      <c r="M17" s="190"/>
      <c r="Q17" s="190"/>
    </row>
    <row r="18" spans="1:18" s="2" customFormat="1">
      <c r="A18" s="299" t="s">
        <v>118</v>
      </c>
      <c r="B18" s="297" t="s">
        <v>127</v>
      </c>
      <c r="C18" s="188"/>
      <c r="D18" s="302"/>
      <c r="E18" s="302"/>
      <c r="F18" s="302"/>
      <c r="H18" s="302"/>
      <c r="I18" s="302"/>
      <c r="J18" s="302"/>
      <c r="L18" s="302"/>
      <c r="M18" s="302"/>
      <c r="N18" s="302"/>
      <c r="P18" s="302"/>
      <c r="Q18" s="302"/>
      <c r="R18" s="302"/>
    </row>
    <row r="19" spans="1:18" s="2" customFormat="1">
      <c r="A19" s="299"/>
      <c r="B19" s="303" t="s">
        <v>120</v>
      </c>
      <c r="C19" s="191"/>
      <c r="D19" s="298"/>
      <c r="E19" s="300"/>
      <c r="F19" s="301"/>
      <c r="H19" s="298">
        <v>3.5</v>
      </c>
      <c r="I19" s="300">
        <v>0.70599999999999996</v>
      </c>
      <c r="J19" s="301">
        <f>H19*I19*1000</f>
        <v>2471</v>
      </c>
      <c r="L19" s="298">
        <v>3.5</v>
      </c>
      <c r="M19" s="300">
        <v>0.15</v>
      </c>
      <c r="N19" s="301">
        <f>L19*M19*1000+1</f>
        <v>526</v>
      </c>
      <c r="P19" s="298">
        <f>+H19</f>
        <v>3.5</v>
      </c>
      <c r="Q19" s="300">
        <f>R19/P19/1000</f>
        <v>0.85628571428571432</v>
      </c>
      <c r="R19" s="301">
        <f>+J19+N19</f>
        <v>2997</v>
      </c>
    </row>
    <row r="20" spans="1:18" s="2" customFormat="1">
      <c r="A20" s="299"/>
      <c r="B20" s="307" t="s">
        <v>377</v>
      </c>
      <c r="C20" s="191"/>
      <c r="D20" s="298"/>
      <c r="E20" s="300"/>
      <c r="F20" s="301"/>
      <c r="H20" s="298">
        <v>0.88</v>
      </c>
      <c r="I20" s="300">
        <v>0.70599999999999996</v>
      </c>
      <c r="J20" s="301">
        <f>H20*I20*1000</f>
        <v>621.28</v>
      </c>
      <c r="L20" s="298">
        <v>0.88</v>
      </c>
      <c r="M20" s="300">
        <v>0.15</v>
      </c>
      <c r="N20" s="301">
        <f>L20*M20*1000+1</f>
        <v>133</v>
      </c>
      <c r="P20" s="298">
        <f>+H20</f>
        <v>0.88</v>
      </c>
      <c r="Q20" s="300">
        <f>R20/P20/1000</f>
        <v>0.85713636363636359</v>
      </c>
      <c r="R20" s="301">
        <f>+J20+N20</f>
        <v>754.28</v>
      </c>
    </row>
    <row r="21" spans="1:18" s="2" customFormat="1">
      <c r="A21" s="299"/>
      <c r="B21" s="303" t="s">
        <v>376</v>
      </c>
      <c r="C21" s="192"/>
      <c r="D21" s="298"/>
      <c r="E21" s="300"/>
      <c r="F21" s="301"/>
      <c r="H21" s="298"/>
      <c r="I21" s="300"/>
      <c r="J21" s="301"/>
      <c r="L21" s="298"/>
      <c r="M21" s="300"/>
      <c r="N21" s="301"/>
      <c r="P21" s="298"/>
      <c r="Q21" s="300"/>
      <c r="R21" s="301"/>
    </row>
    <row r="22" spans="1:18" s="2" customFormat="1">
      <c r="A22" s="299"/>
      <c r="B22" s="303" t="s">
        <v>120</v>
      </c>
      <c r="C22" s="188"/>
      <c r="D22" s="298"/>
      <c r="E22" s="300"/>
      <c r="F22" s="301"/>
      <c r="H22" s="298">
        <v>2</v>
      </c>
      <c r="I22" s="300">
        <v>0.7</v>
      </c>
      <c r="J22" s="301">
        <f>H22*I22*1000</f>
        <v>1400</v>
      </c>
      <c r="L22" s="298">
        <v>2</v>
      </c>
      <c r="M22" s="300">
        <v>0.15</v>
      </c>
      <c r="N22" s="301">
        <f>L22*M22*1000+1</f>
        <v>301</v>
      </c>
      <c r="P22" s="298">
        <v>2</v>
      </c>
      <c r="Q22" s="300">
        <f>R22/P22/1000</f>
        <v>0.85050000000000003</v>
      </c>
      <c r="R22" s="301">
        <f>+J22+N22</f>
        <v>1701</v>
      </c>
    </row>
    <row r="23" spans="1:18" s="2" customFormat="1">
      <c r="A23" s="299"/>
      <c r="B23" s="307" t="s">
        <v>377</v>
      </c>
      <c r="C23" s="188"/>
      <c r="D23" s="298"/>
      <c r="E23" s="300"/>
      <c r="F23" s="301"/>
      <c r="H23" s="298">
        <v>1.25</v>
      </c>
      <c r="I23" s="300">
        <v>0.7</v>
      </c>
      <c r="J23" s="301">
        <f>H23*I23*1000</f>
        <v>875</v>
      </c>
      <c r="L23" s="298">
        <v>1.25</v>
      </c>
      <c r="M23" s="300">
        <v>0.15</v>
      </c>
      <c r="N23" s="301">
        <f>L23*M23*1000+1</f>
        <v>188.5</v>
      </c>
      <c r="P23" s="298">
        <f>+H23</f>
        <v>1.25</v>
      </c>
      <c r="Q23" s="300">
        <f>R23/P23/1000</f>
        <v>0.8508</v>
      </c>
      <c r="R23" s="301">
        <f>+J23+N23</f>
        <v>1063.5</v>
      </c>
    </row>
    <row r="24" spans="1:18" s="2" customFormat="1">
      <c r="A24" s="299"/>
      <c r="B24" s="307" t="s">
        <v>125</v>
      </c>
      <c r="C24" s="188"/>
      <c r="D24" s="298"/>
      <c r="E24" s="300"/>
      <c r="F24" s="301"/>
      <c r="H24" s="304">
        <v>0.45</v>
      </c>
      <c r="I24" s="305">
        <v>0.7</v>
      </c>
      <c r="J24" s="306">
        <f>H24*I24*1000</f>
        <v>315</v>
      </c>
      <c r="L24" s="304">
        <v>0.45</v>
      </c>
      <c r="M24" s="305">
        <v>0.15</v>
      </c>
      <c r="N24" s="306">
        <f>L24*M24*1000+1</f>
        <v>68.5</v>
      </c>
      <c r="P24" s="304">
        <f>+H24</f>
        <v>0.45</v>
      </c>
      <c r="Q24" s="305">
        <f>R24/P24/1000</f>
        <v>0.85222222222222221</v>
      </c>
      <c r="R24" s="306">
        <f>+J24+N24</f>
        <v>383.5</v>
      </c>
    </row>
    <row r="25" spans="1:18" s="2" customFormat="1">
      <c r="A25" s="299"/>
      <c r="B25" s="307" t="s">
        <v>128</v>
      </c>
      <c r="C25" s="192"/>
      <c r="D25" s="298"/>
      <c r="E25" s="300"/>
      <c r="F25" s="301"/>
      <c r="H25" s="298">
        <f>SUM(H18:H24)</f>
        <v>8.08</v>
      </c>
      <c r="I25" s="300">
        <f>J25/H25/1000</f>
        <v>0.70325247524752466</v>
      </c>
      <c r="J25" s="301">
        <f>SUM(J19:J24)</f>
        <v>5682.28</v>
      </c>
      <c r="L25" s="298">
        <f>SUM(L18:L24)</f>
        <v>8.08</v>
      </c>
      <c r="M25" s="300">
        <f>N25/L25/1000</f>
        <v>0.15061881188118811</v>
      </c>
      <c r="N25" s="301">
        <f>SUM(N19:N24)</f>
        <v>1217</v>
      </c>
      <c r="P25" s="298"/>
      <c r="Q25" s="300"/>
      <c r="R25" s="301">
        <f>SUM(R19:R24)</f>
        <v>6899.28</v>
      </c>
    </row>
    <row r="26" spans="1:18" s="2" customFormat="1">
      <c r="A26" s="299"/>
      <c r="B26" s="297" t="s">
        <v>378</v>
      </c>
      <c r="C26" s="192"/>
      <c r="D26" s="298"/>
      <c r="E26" s="300"/>
      <c r="F26" s="301"/>
      <c r="H26" s="298"/>
      <c r="I26" s="300"/>
      <c r="J26" s="301"/>
      <c r="L26" s="298"/>
      <c r="M26" s="300"/>
      <c r="N26" s="301"/>
      <c r="P26" s="298"/>
      <c r="Q26" s="300"/>
      <c r="R26" s="301"/>
    </row>
    <row r="27" spans="1:18" s="2" customFormat="1">
      <c r="A27" s="299"/>
      <c r="B27" s="303" t="s">
        <v>120</v>
      </c>
      <c r="C27" s="192"/>
      <c r="D27" s="298"/>
      <c r="E27" s="300"/>
      <c r="F27" s="301"/>
      <c r="H27" s="298">
        <v>2</v>
      </c>
      <c r="I27" s="300">
        <v>8.8900000000000007E-2</v>
      </c>
      <c r="J27" s="301">
        <v>177.8</v>
      </c>
      <c r="L27" s="298"/>
      <c r="M27" s="300"/>
      <c r="N27" s="301"/>
      <c r="P27" s="298"/>
      <c r="Q27" s="300"/>
      <c r="R27" s="301">
        <f>F27+J27</f>
        <v>177.8</v>
      </c>
    </row>
    <row r="28" spans="1:18" s="2" customFormat="1">
      <c r="A28" s="299"/>
      <c r="B28" s="303" t="s">
        <v>377</v>
      </c>
      <c r="C28" s="192"/>
      <c r="D28" s="298"/>
      <c r="E28" s="300"/>
      <c r="F28" s="301"/>
      <c r="H28" s="298">
        <v>1.75</v>
      </c>
      <c r="I28" s="300">
        <v>1.2799999999999999E-2</v>
      </c>
      <c r="J28" s="301">
        <v>22.4</v>
      </c>
      <c r="L28" s="298"/>
      <c r="M28" s="300"/>
      <c r="N28" s="301"/>
      <c r="P28" s="298"/>
      <c r="Q28" s="300"/>
      <c r="R28" s="301">
        <f>F28+J28</f>
        <v>22.4</v>
      </c>
    </row>
    <row r="29" spans="1:18" s="2" customFormat="1">
      <c r="A29" s="299"/>
      <c r="B29" s="307" t="s">
        <v>125</v>
      </c>
      <c r="C29" s="192"/>
      <c r="D29" s="298"/>
      <c r="E29" s="300"/>
      <c r="F29" s="301"/>
      <c r="H29" s="304">
        <v>0</v>
      </c>
      <c r="I29" s="305"/>
      <c r="J29" s="306">
        <v>0</v>
      </c>
      <c r="L29" s="304"/>
      <c r="M29" s="305"/>
      <c r="N29" s="306"/>
      <c r="P29" s="304"/>
      <c r="Q29" s="305"/>
      <c r="R29" s="306">
        <v>0</v>
      </c>
    </row>
    <row r="30" spans="1:18" s="2" customFormat="1">
      <c r="A30" s="299"/>
      <c r="B30" s="307" t="s">
        <v>379</v>
      </c>
      <c r="C30" s="192"/>
      <c r="D30" s="298"/>
      <c r="E30" s="300"/>
      <c r="F30" s="301"/>
      <c r="H30" s="298"/>
      <c r="I30" s="300"/>
      <c r="J30" s="301">
        <f>SUM(J27:J29)</f>
        <v>200.20000000000002</v>
      </c>
      <c r="L30" s="298">
        <f>SUM(L26:L29)</f>
        <v>0</v>
      </c>
      <c r="M30" s="300"/>
      <c r="N30" s="301">
        <f>SUM(N27:N29)</f>
        <v>0</v>
      </c>
      <c r="P30" s="298"/>
      <c r="Q30" s="300"/>
      <c r="R30" s="301">
        <f>SUM(R27:R29)</f>
        <v>200.20000000000002</v>
      </c>
    </row>
    <row r="31" spans="1:18" s="2" customFormat="1">
      <c r="A31" s="299"/>
      <c r="B31" s="308" t="s">
        <v>129</v>
      </c>
      <c r="C31" s="192"/>
      <c r="D31" s="298"/>
      <c r="E31" s="300"/>
      <c r="F31" s="301"/>
      <c r="H31" s="298">
        <v>0</v>
      </c>
      <c r="I31" s="300"/>
      <c r="J31" s="301">
        <f>+J25+J30</f>
        <v>5882.48</v>
      </c>
      <c r="L31" s="298">
        <f>+L25+L29</f>
        <v>8.08</v>
      </c>
      <c r="M31" s="300">
        <f>N31/L31/1000</f>
        <v>0.15061881188118811</v>
      </c>
      <c r="N31" s="301">
        <f>+N25+N30</f>
        <v>1217</v>
      </c>
      <c r="P31" s="298">
        <f>+P25+P29</f>
        <v>0</v>
      </c>
      <c r="Q31" s="300"/>
      <c r="R31" s="301">
        <f>+R25+R30</f>
        <v>7099.48</v>
      </c>
    </row>
    <row r="33" spans="1:18" s="2" customFormat="1">
      <c r="A33" s="299" t="s">
        <v>130</v>
      </c>
      <c r="B33" s="299" t="s">
        <v>110</v>
      </c>
      <c r="C33" s="188"/>
      <c r="D33" s="298"/>
      <c r="E33" s="300"/>
      <c r="F33" s="301"/>
      <c r="H33" s="298">
        <v>5</v>
      </c>
      <c r="I33" s="300">
        <v>0.05</v>
      </c>
      <c r="J33" s="301">
        <f>H33*I33*1000</f>
        <v>250</v>
      </c>
      <c r="L33" s="298">
        <v>3.3</v>
      </c>
      <c r="M33" s="300">
        <v>0.08</v>
      </c>
      <c r="N33" s="301">
        <f>L33*M33*1000-2</f>
        <v>262</v>
      </c>
      <c r="P33" s="298">
        <f>+H33</f>
        <v>5</v>
      </c>
      <c r="Q33" s="300">
        <f>(R33/P33)/1000</f>
        <v>0.1024</v>
      </c>
      <c r="R33" s="301">
        <f>+J33+N33</f>
        <v>512</v>
      </c>
    </row>
    <row r="34" spans="1:18" s="2" customFormat="1">
      <c r="A34" s="299"/>
      <c r="B34" s="309" t="s">
        <v>380</v>
      </c>
      <c r="C34" s="188"/>
      <c r="D34" s="298"/>
      <c r="E34" s="300"/>
      <c r="F34" s="301"/>
      <c r="H34" s="298"/>
      <c r="I34" s="300"/>
      <c r="J34" s="301">
        <f>H34*I34*1000</f>
        <v>0</v>
      </c>
      <c r="L34" s="298"/>
      <c r="M34" s="300"/>
      <c r="N34" s="301">
        <f>L34*M34*1000</f>
        <v>0</v>
      </c>
      <c r="P34" s="298"/>
      <c r="Q34" s="300"/>
      <c r="R34" s="301"/>
    </row>
    <row r="35" spans="1:18" s="2" customFormat="1">
      <c r="A35" s="299"/>
      <c r="B35" s="299" t="s">
        <v>118</v>
      </c>
      <c r="C35" s="188"/>
      <c r="D35" s="298"/>
      <c r="E35" s="300"/>
      <c r="F35" s="301"/>
      <c r="H35" s="298">
        <v>5</v>
      </c>
      <c r="I35" s="300">
        <v>0.05</v>
      </c>
      <c r="J35" s="301">
        <f>H35*I35*1000</f>
        <v>250</v>
      </c>
      <c r="L35" s="298">
        <v>3.3</v>
      </c>
      <c r="M35" s="300">
        <v>0.08</v>
      </c>
      <c r="N35" s="301">
        <f>L35*M35*1000-2</f>
        <v>262</v>
      </c>
      <c r="P35" s="298">
        <f>+H35</f>
        <v>5</v>
      </c>
      <c r="Q35" s="300">
        <f>(R35/P35)/1000</f>
        <v>0.1024</v>
      </c>
      <c r="R35" s="301">
        <f>+J35+N35</f>
        <v>512</v>
      </c>
    </row>
    <row r="36" spans="1:18" s="2" customFormat="1">
      <c r="A36" s="299"/>
      <c r="B36" s="309" t="s">
        <v>381</v>
      </c>
      <c r="C36" s="188"/>
      <c r="D36" s="298"/>
      <c r="E36" s="300"/>
      <c r="F36" s="301"/>
      <c r="H36" s="298">
        <v>0</v>
      </c>
      <c r="I36" s="300"/>
      <c r="J36" s="301">
        <v>0</v>
      </c>
      <c r="L36" s="298">
        <v>0</v>
      </c>
      <c r="M36" s="300"/>
      <c r="N36" s="301">
        <f>L36*M36*1000</f>
        <v>0</v>
      </c>
      <c r="P36" s="298"/>
      <c r="Q36" s="300"/>
      <c r="R36" s="301"/>
    </row>
    <row r="37" spans="1:18" s="2" customFormat="1">
      <c r="A37" s="299"/>
      <c r="B37" s="310" t="s">
        <v>380</v>
      </c>
      <c r="C37" s="188"/>
      <c r="D37" s="298"/>
      <c r="E37" s="300"/>
      <c r="F37" s="301"/>
      <c r="H37" s="304">
        <v>1</v>
      </c>
      <c r="I37" s="305">
        <v>6.4000000000000003E-3</v>
      </c>
      <c r="J37" s="306">
        <v>6.4</v>
      </c>
      <c r="L37" s="304"/>
      <c r="M37" s="305"/>
      <c r="N37" s="306"/>
      <c r="P37" s="304">
        <f>+H37</f>
        <v>1</v>
      </c>
      <c r="Q37" s="305">
        <f>(R37/P37)/1000</f>
        <v>6.4000000000000003E-3</v>
      </c>
      <c r="R37" s="306">
        <f>+J37+N37</f>
        <v>6.4</v>
      </c>
    </row>
    <row r="38" spans="1:18" s="2" customFormat="1">
      <c r="A38" s="302"/>
      <c r="B38" s="302" t="s">
        <v>133</v>
      </c>
      <c r="C38" s="189"/>
      <c r="D38" s="311"/>
      <c r="E38" s="312"/>
      <c r="F38" s="313"/>
      <c r="H38" s="311"/>
      <c r="I38" s="312"/>
      <c r="J38" s="313">
        <f>SUM(J33:J37)</f>
        <v>506.4</v>
      </c>
      <c r="L38" s="311">
        <f>SUM(L33:L37)</f>
        <v>6.6</v>
      </c>
      <c r="M38" s="312"/>
      <c r="N38" s="313">
        <f>SUM(N33:N37)</f>
        <v>524</v>
      </c>
      <c r="P38" s="311"/>
      <c r="Q38" s="312"/>
      <c r="R38" s="313">
        <f>SUM(R33:R37)</f>
        <v>1030.4000000000001</v>
      </c>
    </row>
    <row r="39" spans="1:18" s="2" customFormat="1">
      <c r="C39" s="189"/>
      <c r="D39" s="193"/>
      <c r="E39" s="194"/>
      <c r="F39" s="195"/>
      <c r="H39" s="193"/>
      <c r="I39" s="194"/>
      <c r="J39" s="195"/>
      <c r="L39" s="193"/>
      <c r="M39" s="194"/>
      <c r="N39" s="195"/>
      <c r="P39" s="193"/>
      <c r="Q39" s="194"/>
      <c r="R39" s="195"/>
    </row>
    <row r="40" spans="1:18" s="2" customFormat="1">
      <c r="A40" s="299"/>
      <c r="B40" s="299"/>
      <c r="C40" s="188"/>
      <c r="D40" s="298"/>
      <c r="E40" s="300"/>
      <c r="F40" s="301"/>
      <c r="H40" s="298"/>
      <c r="I40" s="300"/>
      <c r="J40" s="301"/>
      <c r="L40" s="298"/>
      <c r="M40" s="300"/>
      <c r="N40" s="301"/>
      <c r="P40" s="298"/>
      <c r="Q40" s="300"/>
      <c r="R40" s="301"/>
    </row>
    <row r="41" spans="1:18" s="2" customFormat="1">
      <c r="A41" s="299" t="s">
        <v>45</v>
      </c>
      <c r="B41" s="299" t="s">
        <v>134</v>
      </c>
      <c r="C41" s="188"/>
      <c r="D41" s="298"/>
      <c r="E41" s="300"/>
      <c r="F41" s="301"/>
      <c r="H41" s="298"/>
      <c r="I41" s="300"/>
      <c r="J41" s="301"/>
      <c r="L41" s="298"/>
      <c r="M41" s="300"/>
      <c r="N41" s="301"/>
      <c r="P41" s="298"/>
      <c r="Q41" s="300"/>
      <c r="R41" s="301"/>
    </row>
    <row r="42" spans="1:18" s="2" customFormat="1">
      <c r="A42" s="299"/>
      <c r="B42" s="314" t="s">
        <v>135</v>
      </c>
      <c r="C42" s="188"/>
      <c r="D42" s="298"/>
      <c r="E42" s="300"/>
      <c r="F42" s="301"/>
      <c r="H42" s="298">
        <v>1.05</v>
      </c>
      <c r="I42" s="300">
        <v>0.11</v>
      </c>
      <c r="J42" s="301">
        <f>H42*I42*1000</f>
        <v>115.5</v>
      </c>
      <c r="L42" s="298">
        <v>0.45</v>
      </c>
      <c r="M42" s="300">
        <v>0.11</v>
      </c>
      <c r="N42" s="301">
        <f>+M42*L42*1000</f>
        <v>49.5</v>
      </c>
      <c r="P42" s="298">
        <f>+H42+L42</f>
        <v>1.5</v>
      </c>
      <c r="Q42" s="300">
        <f>(R42/P42)/1000</f>
        <v>0.11</v>
      </c>
      <c r="R42" s="301">
        <f>+J42+N42</f>
        <v>165</v>
      </c>
    </row>
    <row r="43" spans="1:18" s="2" customFormat="1">
      <c r="A43" s="299"/>
      <c r="B43" s="314" t="s">
        <v>136</v>
      </c>
      <c r="C43" s="188"/>
      <c r="D43" s="298"/>
      <c r="E43" s="300"/>
      <c r="F43" s="301"/>
      <c r="H43" s="298">
        <v>0.17499999999999999</v>
      </c>
      <c r="I43" s="300">
        <v>0.1</v>
      </c>
      <c r="J43" s="301">
        <f>H43*I43*1000</f>
        <v>17.499999999999996</v>
      </c>
      <c r="L43" s="298">
        <v>7.4999999999999997E-2</v>
      </c>
      <c r="M43" s="300">
        <v>0.11</v>
      </c>
      <c r="N43" s="301">
        <f>+M43*L43*1000</f>
        <v>8.25</v>
      </c>
      <c r="P43" s="298">
        <f>+H43+L43</f>
        <v>0.25</v>
      </c>
      <c r="Q43" s="300">
        <f>(R43/P43)/1000</f>
        <v>0.10299999999999998</v>
      </c>
      <c r="R43" s="301">
        <f>+J43+N43</f>
        <v>25.749999999999996</v>
      </c>
    </row>
    <row r="44" spans="1:18" s="2" customFormat="1">
      <c r="A44" s="299"/>
      <c r="B44" s="314" t="s">
        <v>137</v>
      </c>
      <c r="C44" s="188"/>
      <c r="D44" s="298"/>
      <c r="E44" s="300"/>
      <c r="F44" s="301"/>
      <c r="H44" s="304">
        <v>0.77</v>
      </c>
      <c r="I44" s="305">
        <v>0.11</v>
      </c>
      <c r="J44" s="306">
        <f>H44*I44*1000</f>
        <v>84.7</v>
      </c>
      <c r="L44" s="304">
        <v>0.33</v>
      </c>
      <c r="M44" s="305">
        <v>0.11</v>
      </c>
      <c r="N44" s="306">
        <f>+M44*L44*1000</f>
        <v>36.299999999999997</v>
      </c>
      <c r="P44" s="304">
        <f>+H44+L44</f>
        <v>1.1000000000000001</v>
      </c>
      <c r="Q44" s="305">
        <f>(R44/P44)/1000</f>
        <v>0.10999999999999999</v>
      </c>
      <c r="R44" s="306">
        <f>+J44+N44</f>
        <v>121</v>
      </c>
    </row>
    <row r="45" spans="1:18" s="2" customFormat="1">
      <c r="A45" s="299"/>
      <c r="B45" s="299" t="s">
        <v>138</v>
      </c>
      <c r="C45" s="188"/>
      <c r="D45" s="298"/>
      <c r="E45" s="300"/>
      <c r="F45" s="301"/>
      <c r="H45" s="298">
        <f>SUM(H42:H44)</f>
        <v>1.9950000000000001</v>
      </c>
      <c r="I45" s="300">
        <f>J45/H45/1000</f>
        <v>0.10912280701754384</v>
      </c>
      <c r="J45" s="301">
        <f>SUM(J42:J44)</f>
        <v>217.7</v>
      </c>
      <c r="L45" s="298">
        <f>SUM(L42:L44)</f>
        <v>0.85499999999999998</v>
      </c>
      <c r="M45" s="300">
        <f>N45/L45/1000</f>
        <v>0.11</v>
      </c>
      <c r="N45" s="301">
        <f>SUM(N42:N44)</f>
        <v>94.05</v>
      </c>
      <c r="P45" s="298">
        <f>SUM(P42:P44)</f>
        <v>2.85</v>
      </c>
      <c r="Q45" s="300">
        <f>(R45/P45)/1000</f>
        <v>0.1093859649122807</v>
      </c>
      <c r="R45" s="301">
        <f>SUM(R42:R44)</f>
        <v>311.75</v>
      </c>
    </row>
    <row r="46" spans="1:18" s="2" customFormat="1">
      <c r="A46" s="299"/>
      <c r="B46" s="299"/>
      <c r="C46" s="188"/>
      <c r="D46" s="298"/>
      <c r="E46" s="300"/>
      <c r="F46" s="301"/>
      <c r="H46" s="298"/>
      <c r="I46" s="300"/>
      <c r="J46" s="301"/>
      <c r="L46" s="298"/>
      <c r="M46" s="300"/>
      <c r="N46" s="301"/>
      <c r="P46" s="298"/>
      <c r="Q46" s="300"/>
      <c r="R46" s="301"/>
    </row>
    <row r="47" spans="1:18" s="2" customFormat="1">
      <c r="A47" s="299"/>
      <c r="B47" s="299" t="s">
        <v>139</v>
      </c>
      <c r="C47" s="188"/>
      <c r="D47" s="298"/>
      <c r="E47" s="300"/>
      <c r="F47" s="301"/>
      <c r="H47" s="298">
        <f>+H45</f>
        <v>1.9950000000000001</v>
      </c>
      <c r="I47" s="300">
        <f>J47/H47/1000</f>
        <v>0.10912280701754384</v>
      </c>
      <c r="J47" s="301">
        <f>+J45</f>
        <v>217.7</v>
      </c>
      <c r="L47" s="298">
        <f>+L45</f>
        <v>0.85499999999999998</v>
      </c>
      <c r="M47" s="300">
        <f>N47/L47/1000</f>
        <v>0.11</v>
      </c>
      <c r="N47" s="301">
        <f>+N45</f>
        <v>94.05</v>
      </c>
      <c r="P47" s="298">
        <f>+P45</f>
        <v>2.85</v>
      </c>
      <c r="Q47" s="300">
        <f>(R47/P47)/1000</f>
        <v>0.1093859649122807</v>
      </c>
      <c r="R47" s="301">
        <f>+R45</f>
        <v>311.75</v>
      </c>
    </row>
    <row r="48" spans="1:18" s="2" customFormat="1">
      <c r="C48" s="189"/>
      <c r="D48" s="193"/>
      <c r="E48" s="194"/>
      <c r="F48" s="195"/>
      <c r="H48" s="193"/>
      <c r="I48" s="194"/>
      <c r="J48" s="195"/>
      <c r="L48" s="193"/>
      <c r="M48" s="194"/>
      <c r="N48" s="195"/>
      <c r="P48" s="193"/>
      <c r="Q48" s="194"/>
      <c r="R48" s="195"/>
    </row>
    <row r="49" spans="1:18" s="2" customFormat="1">
      <c r="A49" s="299" t="s">
        <v>140</v>
      </c>
      <c r="B49" s="299"/>
      <c r="C49" s="188"/>
      <c r="D49" s="298"/>
      <c r="E49" s="299"/>
      <c r="F49" s="301"/>
      <c r="H49" s="298"/>
      <c r="I49" s="299"/>
      <c r="J49" s="301">
        <v>1000</v>
      </c>
      <c r="L49" s="298"/>
      <c r="M49" s="300"/>
      <c r="N49" s="301">
        <v>400</v>
      </c>
      <c r="P49" s="298" t="s">
        <v>141</v>
      </c>
      <c r="Q49" s="299"/>
      <c r="R49" s="301">
        <f>+J49+N49</f>
        <v>1400</v>
      </c>
    </row>
    <row r="50" spans="1:18" s="189" customFormat="1">
      <c r="A50" s="188"/>
      <c r="B50" s="188"/>
      <c r="C50" s="188"/>
      <c r="D50" s="197"/>
      <c r="E50" s="188"/>
      <c r="F50" s="198"/>
      <c r="H50" s="197"/>
      <c r="I50" s="188"/>
      <c r="J50" s="198"/>
      <c r="L50" s="197"/>
      <c r="M50" s="199"/>
      <c r="N50" s="198"/>
      <c r="P50" s="197"/>
      <c r="Q50" s="188"/>
      <c r="R50" s="198"/>
    </row>
    <row r="51" spans="1:18" s="2" customFormat="1">
      <c r="A51" s="299" t="s">
        <v>386</v>
      </c>
      <c r="B51" s="299"/>
      <c r="C51" s="188"/>
      <c r="D51" s="298"/>
      <c r="E51" s="299"/>
      <c r="F51" s="301">
        <v>0</v>
      </c>
      <c r="H51" s="298"/>
      <c r="I51" s="299"/>
      <c r="J51" s="301">
        <v>0</v>
      </c>
      <c r="L51" s="298"/>
      <c r="M51" s="300"/>
      <c r="N51" s="301">
        <v>2500</v>
      </c>
      <c r="P51" s="298"/>
      <c r="Q51" s="299"/>
      <c r="R51" s="301">
        <f>+J51+N51</f>
        <v>2500</v>
      </c>
    </row>
    <row r="52" spans="1:18" s="2" customFormat="1">
      <c r="C52" s="189"/>
      <c r="D52" s="193"/>
      <c r="E52" s="201"/>
      <c r="F52" s="195"/>
      <c r="H52" s="193"/>
      <c r="I52" s="201"/>
      <c r="J52" s="195"/>
      <c r="L52" s="193"/>
      <c r="M52" s="201"/>
      <c r="N52" s="195"/>
      <c r="P52" s="193"/>
      <c r="Q52" s="201"/>
      <c r="R52" s="195"/>
    </row>
    <row r="53" spans="1:18" s="2" customFormat="1">
      <c r="A53" s="2" t="s">
        <v>143</v>
      </c>
      <c r="C53" s="189"/>
      <c r="E53" s="201"/>
      <c r="F53" s="202">
        <f>F16+F31+F38+F47+F49+F51</f>
        <v>0</v>
      </c>
      <c r="I53" s="201"/>
      <c r="J53" s="202">
        <f>J16+J31+J38+J47+J49+J51</f>
        <v>12190.573999999999</v>
      </c>
      <c r="M53" s="201"/>
      <c r="N53" s="202">
        <f>N16+N31+N38+N47+N49+N51</f>
        <v>5135.05</v>
      </c>
      <c r="Q53" s="201"/>
      <c r="R53" s="202">
        <f>R16+R31+R38+R47+R49+R51</f>
        <v>17325.623999999996</v>
      </c>
    </row>
    <row r="54" spans="1:18" s="2" customFormat="1">
      <c r="C54" s="189"/>
      <c r="E54" s="201"/>
      <c r="F54" s="82"/>
      <c r="I54" s="201"/>
      <c r="J54" s="82"/>
      <c r="M54" s="201"/>
      <c r="N54" s="82"/>
      <c r="Q54" s="201"/>
      <c r="R54" s="82"/>
    </row>
    <row r="55" spans="1:18" ht="15">
      <c r="A55" s="315"/>
      <c r="B55" s="174"/>
      <c r="D55" s="316"/>
      <c r="E55" s="317"/>
      <c r="F55" s="318"/>
      <c r="H55" s="204"/>
      <c r="L55" s="204"/>
      <c r="P55" s="204"/>
    </row>
    <row r="56" spans="1:18" ht="15">
      <c r="A56" s="172" t="s">
        <v>101</v>
      </c>
      <c r="D56" s="176">
        <f>+D4</f>
        <v>37147</v>
      </c>
      <c r="H56"/>
      <c r="L56"/>
      <c r="P56" s="176"/>
    </row>
    <row r="57" spans="1:18" ht="15">
      <c r="A57" s="172"/>
      <c r="D57" s="177" t="str">
        <f>+D5</f>
        <v>Contracted</v>
      </c>
      <c r="E57" s="178"/>
      <c r="F57" s="179"/>
      <c r="H57" s="177" t="str">
        <f>+H5</f>
        <v>Uncontracted</v>
      </c>
      <c r="I57" s="178"/>
      <c r="J57" s="179"/>
      <c r="L57" s="177" t="str">
        <f>+L5</f>
        <v>Stretch</v>
      </c>
      <c r="M57" s="178"/>
      <c r="N57" s="179"/>
      <c r="P57" s="177" t="s">
        <v>103</v>
      </c>
      <c r="Q57" s="178"/>
      <c r="R57" s="179"/>
    </row>
    <row r="59" spans="1:18" s="181" customFormat="1" ht="25.5">
      <c r="A59" s="181" t="s">
        <v>104</v>
      </c>
      <c r="B59" s="181" t="s">
        <v>15</v>
      </c>
      <c r="C59" s="182"/>
      <c r="D59" s="183" t="s">
        <v>105</v>
      </c>
      <c r="E59" s="184" t="s">
        <v>9</v>
      </c>
      <c r="F59" s="185" t="s">
        <v>106</v>
      </c>
      <c r="H59" s="183" t="s">
        <v>105</v>
      </c>
      <c r="I59" s="184" t="s">
        <v>9</v>
      </c>
      <c r="J59" s="185" t="s">
        <v>106</v>
      </c>
      <c r="L59" s="183" t="s">
        <v>105</v>
      </c>
      <c r="M59" s="184" t="s">
        <v>9</v>
      </c>
      <c r="N59" s="185" t="s">
        <v>106</v>
      </c>
      <c r="P59" s="183" t="s">
        <v>105</v>
      </c>
      <c r="Q59" s="184" t="s">
        <v>9</v>
      </c>
      <c r="R59" s="185" t="s">
        <v>106</v>
      </c>
    </row>
    <row r="60" spans="1:18" s="2" customFormat="1" ht="13.5" thickBot="1">
      <c r="C60" s="189"/>
      <c r="D60" s="193"/>
      <c r="E60" s="201"/>
      <c r="F60" s="195"/>
      <c r="H60" s="193"/>
      <c r="I60" s="201"/>
      <c r="J60" s="195"/>
      <c r="L60" s="193"/>
      <c r="M60" s="201"/>
      <c r="N60" s="195"/>
      <c r="P60" s="193"/>
      <c r="Q60" s="201"/>
      <c r="R60" s="195"/>
    </row>
    <row r="61" spans="1:18" s="2" customFormat="1" ht="13.5" thickBot="1">
      <c r="A61" s="205" t="s">
        <v>145</v>
      </c>
      <c r="C61" s="189"/>
      <c r="D61"/>
      <c r="E61" s="201"/>
      <c r="F61" s="195"/>
      <c r="H61" s="193"/>
      <c r="I61" s="201"/>
      <c r="J61" s="195"/>
      <c r="L61" s="193"/>
      <c r="M61" s="201"/>
      <c r="N61" s="195"/>
      <c r="P61" s="193"/>
      <c r="Q61" s="201"/>
      <c r="R61" s="195"/>
    </row>
    <row r="62" spans="1:18" s="2" customFormat="1">
      <c r="C62" s="189"/>
      <c r="D62" s="193"/>
      <c r="E62" s="201"/>
      <c r="F62" s="195"/>
      <c r="H62" s="193"/>
      <c r="I62" s="201"/>
      <c r="J62" s="195"/>
      <c r="L62" s="193"/>
      <c r="M62" s="201"/>
      <c r="N62" s="195"/>
      <c r="P62" s="193"/>
      <c r="Q62" s="201"/>
      <c r="R62" s="195"/>
    </row>
    <row r="63" spans="1:18" s="2" customFormat="1">
      <c r="A63" s="299" t="s">
        <v>146</v>
      </c>
      <c r="B63" s="299"/>
      <c r="C63" s="188"/>
      <c r="D63" s="311">
        <v>7.5202870190346696</v>
      </c>
      <c r="E63" s="319">
        <v>1.4710000000000001</v>
      </c>
      <c r="F63" s="301">
        <v>11062.342204999999</v>
      </c>
      <c r="H63" s="298">
        <v>1.9000679809653296</v>
      </c>
      <c r="I63" s="319">
        <v>1.4710000000000001</v>
      </c>
      <c r="J63" s="301">
        <v>2795</v>
      </c>
      <c r="L63" s="298"/>
      <c r="M63" s="319"/>
      <c r="N63" s="301"/>
      <c r="P63" s="298">
        <f>D63+H63</f>
        <v>9.4203549999999989</v>
      </c>
      <c r="Q63" s="319">
        <v>1.4710000000000001</v>
      </c>
      <c r="R63" s="301">
        <f>F63+J63</f>
        <v>13857.342204999999</v>
      </c>
    </row>
    <row r="64" spans="1:18" s="2" customFormat="1">
      <c r="A64" s="299"/>
      <c r="B64" s="299"/>
      <c r="C64" s="188"/>
      <c r="D64" s="298"/>
      <c r="E64" s="319"/>
      <c r="F64" s="301"/>
      <c r="H64" s="298"/>
      <c r="I64" s="319"/>
      <c r="J64" s="301"/>
      <c r="L64" s="298"/>
      <c r="M64" s="319"/>
      <c r="N64" s="301"/>
      <c r="P64" s="298"/>
      <c r="Q64" s="319"/>
      <c r="R64" s="301"/>
    </row>
    <row r="65" spans="1:18" s="2" customFormat="1">
      <c r="A65" s="299" t="s">
        <v>16</v>
      </c>
      <c r="B65" s="299"/>
      <c r="C65" s="188"/>
      <c r="D65" s="311">
        <v>35.998197060744616</v>
      </c>
      <c r="E65" s="319">
        <v>0.30620000000000003</v>
      </c>
      <c r="F65" s="301">
        <v>11022.647940000001</v>
      </c>
      <c r="H65" s="298">
        <v>9.3305029392553873</v>
      </c>
      <c r="I65" s="319">
        <v>0.30620000000000003</v>
      </c>
      <c r="J65" s="301">
        <v>2857</v>
      </c>
      <c r="L65" s="298"/>
      <c r="M65" s="319"/>
      <c r="N65" s="301"/>
      <c r="P65" s="298">
        <f>D65+H65</f>
        <v>45.328700000000005</v>
      </c>
      <c r="Q65" s="319">
        <f>(R65/1000)/P65</f>
        <v>0.30619999999999997</v>
      </c>
      <c r="R65" s="301">
        <f>F65+J65</f>
        <v>13879.647940000001</v>
      </c>
    </row>
    <row r="66" spans="1:18" s="2" customFormat="1">
      <c r="A66" s="299"/>
      <c r="B66" s="299"/>
      <c r="C66" s="188"/>
      <c r="D66" s="298"/>
      <c r="E66" s="319"/>
      <c r="F66" s="301"/>
      <c r="H66" s="298"/>
      <c r="I66" s="319"/>
      <c r="J66" s="301"/>
      <c r="L66" s="298"/>
      <c r="M66" s="319"/>
      <c r="N66" s="301"/>
      <c r="P66" s="298"/>
      <c r="Q66" s="319"/>
      <c r="R66" s="301"/>
    </row>
    <row r="67" spans="1:18" s="2" customFormat="1">
      <c r="A67" s="299" t="s">
        <v>147</v>
      </c>
      <c r="B67" s="299"/>
      <c r="C67" s="188"/>
      <c r="D67" s="298"/>
      <c r="E67" s="319"/>
      <c r="F67" s="301"/>
      <c r="H67" s="298">
        <v>89.5</v>
      </c>
      <c r="I67" s="319">
        <v>1.2800000000000001E-2</v>
      </c>
      <c r="J67" s="301">
        <f>H67*I67*1000</f>
        <v>1145.5999999999999</v>
      </c>
      <c r="L67" s="298"/>
      <c r="M67" s="319"/>
      <c r="N67" s="301"/>
      <c r="P67" s="298">
        <f>D67+H67</f>
        <v>89.5</v>
      </c>
      <c r="Q67" s="319">
        <f>(R67/1000)/P67</f>
        <v>1.2799999999999999E-2</v>
      </c>
      <c r="R67" s="301">
        <f>F67+J67</f>
        <v>1145.5999999999999</v>
      </c>
    </row>
    <row r="68" spans="1:18" s="2" customFormat="1">
      <c r="A68" s="299"/>
      <c r="B68" s="299"/>
      <c r="C68" s="188"/>
      <c r="D68" s="298"/>
      <c r="E68" s="319"/>
      <c r="F68" s="301"/>
      <c r="H68" s="298"/>
      <c r="I68" s="319"/>
      <c r="J68" s="301"/>
      <c r="L68" s="298"/>
      <c r="M68" s="319"/>
      <c r="N68" s="301"/>
      <c r="P68" s="298"/>
      <c r="Q68" s="319"/>
      <c r="R68" s="301"/>
    </row>
    <row r="69" spans="1:18" s="2" customFormat="1">
      <c r="A69" s="299" t="s">
        <v>54</v>
      </c>
      <c r="B69" s="299"/>
      <c r="C69" s="188"/>
      <c r="D69" s="298"/>
      <c r="E69" s="319"/>
      <c r="F69" s="301"/>
      <c r="H69" s="298">
        <v>8.75</v>
      </c>
      <c r="I69" s="319">
        <v>0.04</v>
      </c>
      <c r="J69" s="301">
        <f>H69*I69*1000</f>
        <v>350.00000000000006</v>
      </c>
      <c r="L69" s="298"/>
      <c r="M69" s="319"/>
      <c r="N69" s="301"/>
      <c r="P69" s="298">
        <f>D69+H69</f>
        <v>8.75</v>
      </c>
      <c r="Q69" s="319">
        <f>(R69/1000)/P69</f>
        <v>0.04</v>
      </c>
      <c r="R69" s="301">
        <f>F69+J69</f>
        <v>350.00000000000006</v>
      </c>
    </row>
    <row r="70" spans="1:18" s="2" customFormat="1">
      <c r="A70" s="299"/>
      <c r="B70" s="299"/>
      <c r="C70" s="188"/>
      <c r="D70" s="298"/>
      <c r="E70" s="319"/>
      <c r="F70" s="301"/>
      <c r="H70" s="298"/>
      <c r="I70" s="319"/>
      <c r="J70" s="301"/>
      <c r="L70" s="298"/>
      <c r="M70" s="319"/>
      <c r="N70" s="301"/>
      <c r="P70" s="298"/>
      <c r="Q70" s="319"/>
      <c r="R70" s="301"/>
    </row>
    <row r="71" spans="1:18" s="2" customFormat="1">
      <c r="A71" s="299" t="s">
        <v>148</v>
      </c>
      <c r="B71" s="299"/>
      <c r="C71" s="188"/>
      <c r="D71" s="298"/>
      <c r="E71" s="319"/>
      <c r="F71" s="301"/>
      <c r="H71" s="320">
        <v>1.9</v>
      </c>
      <c r="I71" s="319">
        <v>7.6100000000000001E-2</v>
      </c>
      <c r="J71" s="301">
        <f>H71*I71*1000</f>
        <v>144.59</v>
      </c>
      <c r="L71" s="298"/>
      <c r="M71" s="319"/>
      <c r="N71" s="301"/>
      <c r="P71" s="298">
        <f>D71+H71</f>
        <v>1.9</v>
      </c>
      <c r="Q71" s="319">
        <f>(R71/1000)/P71</f>
        <v>7.6100000000000001E-2</v>
      </c>
      <c r="R71" s="301">
        <f>F71+J71</f>
        <v>144.59</v>
      </c>
    </row>
    <row r="72" spans="1:18" s="2" customFormat="1">
      <c r="A72" s="299"/>
      <c r="B72" s="299"/>
      <c r="C72" s="188"/>
      <c r="D72" s="298"/>
      <c r="E72" s="319"/>
      <c r="F72" s="301"/>
      <c r="H72" s="298"/>
      <c r="I72" s="319"/>
      <c r="J72" s="301"/>
      <c r="L72" s="298"/>
      <c r="M72" s="319"/>
      <c r="N72" s="301"/>
      <c r="P72" s="298"/>
      <c r="Q72" s="319"/>
      <c r="R72" s="301"/>
    </row>
    <row r="73" spans="1:18" s="2" customFormat="1">
      <c r="A73" s="299"/>
      <c r="B73" s="299"/>
      <c r="C73" s="188"/>
      <c r="D73" s="298"/>
      <c r="E73" s="319"/>
      <c r="F73" s="301"/>
      <c r="H73" s="298"/>
      <c r="I73" s="319"/>
      <c r="J73" s="301"/>
      <c r="L73" s="298"/>
      <c r="M73" s="319"/>
      <c r="N73" s="301"/>
      <c r="P73" s="298"/>
      <c r="Q73" s="319"/>
      <c r="R73" s="301"/>
    </row>
    <row r="74" spans="1:18" s="2" customFormat="1">
      <c r="C74" s="189"/>
      <c r="D74" s="193"/>
      <c r="E74" s="201"/>
      <c r="F74" s="195"/>
      <c r="H74" s="193"/>
      <c r="I74" s="201"/>
      <c r="J74" s="195"/>
      <c r="L74" s="193"/>
      <c r="M74" s="201"/>
      <c r="N74" s="195"/>
      <c r="P74" s="193"/>
      <c r="Q74" s="201"/>
      <c r="R74" s="195"/>
    </row>
    <row r="75" spans="1:18" s="2" customFormat="1">
      <c r="A75" s="2" t="s">
        <v>149</v>
      </c>
      <c r="C75" s="189"/>
      <c r="E75" s="201"/>
      <c r="F75" s="202">
        <f>SUM(F63:F74)</f>
        <v>22084.990145</v>
      </c>
      <c r="I75" s="201"/>
      <c r="J75" s="202">
        <f>SUM(J63:J74)</f>
        <v>7292.1900000000005</v>
      </c>
      <c r="M75" s="201"/>
      <c r="N75" s="202">
        <f>SUM(N63:N74)</f>
        <v>0</v>
      </c>
      <c r="Q75" s="201"/>
      <c r="R75" s="202">
        <f>SUM(R63:R74)</f>
        <v>29377.180144999998</v>
      </c>
    </row>
    <row r="76" spans="1:18" s="2" customFormat="1">
      <c r="C76" s="189"/>
      <c r="E76" s="201"/>
      <c r="F76" s="82"/>
      <c r="I76" s="201"/>
      <c r="J76" s="82"/>
      <c r="M76" s="201"/>
      <c r="N76" s="82"/>
      <c r="Q76" s="201"/>
      <c r="R76" s="82"/>
    </row>
    <row r="77" spans="1:18" s="2" customFormat="1">
      <c r="C77" s="189"/>
      <c r="D77" s="193"/>
      <c r="E77" s="201"/>
      <c r="F77" s="195"/>
      <c r="H77" s="193"/>
      <c r="I77" s="201"/>
      <c r="J77" s="195"/>
      <c r="L77" s="193"/>
      <c r="M77" s="201"/>
      <c r="N77" s="195"/>
      <c r="P77" s="193"/>
      <c r="Q77" s="201"/>
      <c r="R77" s="195"/>
    </row>
    <row r="78" spans="1:18" s="2" customFormat="1">
      <c r="A78" s="2" t="s">
        <v>150</v>
      </c>
      <c r="C78" s="189"/>
      <c r="D78" s="193"/>
      <c r="E78" s="201"/>
      <c r="F78" s="206">
        <f>F53+F75</f>
        <v>22084.990145</v>
      </c>
      <c r="H78" s="193"/>
      <c r="I78" s="201"/>
      <c r="J78" s="206">
        <f>J53+J75</f>
        <v>19482.763999999999</v>
      </c>
      <c r="L78" s="193"/>
      <c r="M78" s="201"/>
      <c r="N78" s="206">
        <f>N53+N75</f>
        <v>5135.05</v>
      </c>
      <c r="P78" s="193"/>
      <c r="Q78" s="201"/>
      <c r="R78" s="206">
        <f>R53+R75</f>
        <v>46702.804144999995</v>
      </c>
    </row>
  </sheetData>
  <mergeCells count="1">
    <mergeCell ref="L5:N5"/>
  </mergeCells>
  <phoneticPr fontId="0" type="noConversion"/>
  <printOptions horizontalCentered="1"/>
  <pageMargins left="0.25" right="0.75" top="0" bottom="0" header="0.5" footer="0"/>
  <pageSetup scale="64" fitToHeight="0" orientation="landscape" r:id="rId1"/>
  <headerFooter alignWithMargins="0"/>
  <rowBreaks count="1" manualBreakCount="1">
    <brk id="54" max="17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1"/>
  <sheetViews>
    <sheetView zoomScale="60" workbookViewId="0">
      <selection activeCell="C17" sqref="C17"/>
    </sheetView>
  </sheetViews>
  <sheetFormatPr defaultColWidth="8.85546875" defaultRowHeight="12.75"/>
  <cols>
    <col min="1" max="1" width="29.42578125" style="109" customWidth="1"/>
    <col min="2" max="2" width="1.140625" style="109" customWidth="1"/>
    <col min="3" max="3" width="15" style="109" customWidth="1"/>
    <col min="4" max="4" width="4.7109375" style="109" customWidth="1"/>
    <col min="5" max="5" width="15" style="109" customWidth="1"/>
    <col min="6" max="6" width="11.5703125" style="109" customWidth="1"/>
    <col min="7" max="7" width="15" style="109" customWidth="1"/>
    <col min="8" max="8" width="4.7109375" style="109" customWidth="1"/>
    <col min="9" max="9" width="15" style="109" customWidth="1"/>
    <col min="10" max="10" width="4.7109375" style="109" customWidth="1"/>
    <col min="11" max="11" width="15" style="109" customWidth="1"/>
    <col min="12" max="12" width="11.5703125" style="109" customWidth="1"/>
    <col min="13" max="13" width="15" style="109" customWidth="1"/>
    <col min="14" max="14" width="5" style="109" customWidth="1"/>
    <col min="15" max="15" width="15" style="109" customWidth="1"/>
    <col min="16" max="16384" width="8.85546875" style="109"/>
  </cols>
  <sheetData>
    <row r="1" spans="1:18">
      <c r="A1"/>
    </row>
    <row r="3" spans="1:18" ht="18.75">
      <c r="A3" s="110"/>
    </row>
    <row r="4" spans="1:18" ht="18">
      <c r="A4" s="111" t="s">
        <v>0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</row>
    <row r="5" spans="1:18" ht="18">
      <c r="A5" s="111" t="s">
        <v>67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</row>
    <row r="6" spans="1:18" ht="18">
      <c r="A6" s="111" t="s">
        <v>68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</row>
    <row r="7" spans="1:18">
      <c r="A7" s="112" t="s">
        <v>43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</row>
    <row r="9" spans="1:18">
      <c r="K9" s="113"/>
      <c r="L9" s="113"/>
      <c r="M9" s="113"/>
    </row>
    <row r="10" spans="1:18" ht="15.75">
      <c r="C10" s="114"/>
      <c r="D10" s="74"/>
      <c r="E10" s="115" t="s">
        <v>69</v>
      </c>
      <c r="F10" s="115"/>
      <c r="G10" s="115"/>
      <c r="H10" s="74"/>
      <c r="I10" s="114"/>
      <c r="J10" s="116"/>
      <c r="K10" s="117" t="s">
        <v>70</v>
      </c>
      <c r="L10" s="117"/>
      <c r="M10" s="117"/>
      <c r="N10" s="118"/>
      <c r="O10" s="114"/>
      <c r="P10"/>
      <c r="Q10"/>
      <c r="R10"/>
    </row>
    <row r="11" spans="1:18">
      <c r="C11" s="113"/>
      <c r="D11" s="74"/>
      <c r="E11" s="113"/>
      <c r="F11" s="113"/>
      <c r="G11" s="113"/>
      <c r="H11" s="74"/>
      <c r="I11" s="113"/>
      <c r="J11" s="113"/>
      <c r="K11" s="113"/>
      <c r="L11" s="113"/>
      <c r="M11" s="113"/>
      <c r="N11" s="118"/>
      <c r="O11" s="113"/>
      <c r="P11"/>
      <c r="Q11"/>
      <c r="R11"/>
    </row>
    <row r="12" spans="1:18">
      <c r="C12" s="119" t="s">
        <v>66</v>
      </c>
      <c r="D12" s="120"/>
      <c r="E12" s="121"/>
      <c r="F12" s="122"/>
      <c r="G12" s="123"/>
      <c r="H12" s="120" t="s">
        <v>71</v>
      </c>
      <c r="I12" s="119" t="s">
        <v>66</v>
      </c>
      <c r="J12" s="113"/>
      <c r="K12" s="121"/>
      <c r="L12" s="122" t="s">
        <v>71</v>
      </c>
      <c r="M12" s="123" t="s">
        <v>71</v>
      </c>
      <c r="N12" s="120"/>
      <c r="O12" s="119" t="s">
        <v>66</v>
      </c>
      <c r="P12"/>
      <c r="Q12"/>
      <c r="R12"/>
    </row>
    <row r="13" spans="1:18">
      <c r="C13" s="124" t="s">
        <v>72</v>
      </c>
      <c r="D13" s="125" t="s">
        <v>71</v>
      </c>
      <c r="E13" s="126"/>
      <c r="F13" s="127" t="s">
        <v>95</v>
      </c>
      <c r="G13" s="128" t="s">
        <v>73</v>
      </c>
      <c r="H13" s="125"/>
      <c r="I13" s="124">
        <v>2001</v>
      </c>
      <c r="J13" s="127"/>
      <c r="K13" s="126"/>
      <c r="L13" s="127" t="s">
        <v>95</v>
      </c>
      <c r="M13" s="128" t="s">
        <v>73</v>
      </c>
      <c r="N13" s="125"/>
      <c r="O13" s="124" t="s">
        <v>74</v>
      </c>
      <c r="P13"/>
      <c r="Q13"/>
      <c r="R13"/>
    </row>
    <row r="14" spans="1:18">
      <c r="C14" s="129" t="s">
        <v>75</v>
      </c>
      <c r="D14" s="130" t="s">
        <v>71</v>
      </c>
      <c r="E14" s="131" t="s">
        <v>76</v>
      </c>
      <c r="F14" s="162" t="s">
        <v>96</v>
      </c>
      <c r="G14" s="133"/>
      <c r="H14" s="130"/>
      <c r="I14" s="129" t="s">
        <v>75</v>
      </c>
      <c r="J14" s="132"/>
      <c r="K14" s="131" t="s">
        <v>76</v>
      </c>
      <c r="L14" s="162" t="s">
        <v>96</v>
      </c>
      <c r="M14" s="133"/>
      <c r="N14" s="130"/>
      <c r="O14" s="134" t="s">
        <v>75</v>
      </c>
      <c r="P14"/>
      <c r="Q14"/>
      <c r="R14"/>
    </row>
    <row r="15" spans="1:18">
      <c r="C15" s="6"/>
      <c r="D15" s="112"/>
      <c r="E15" s="13"/>
      <c r="F15" s="113"/>
      <c r="G15" s="135"/>
      <c r="H15" s="112"/>
      <c r="I15" s="6"/>
      <c r="J15" s="113"/>
      <c r="K15" s="13"/>
      <c r="L15" s="6"/>
      <c r="M15" s="135"/>
      <c r="N15" s="112"/>
      <c r="O15" s="6"/>
      <c r="P15"/>
      <c r="Q15"/>
      <c r="R15"/>
    </row>
    <row r="16" spans="1:18">
      <c r="C16" s="6"/>
      <c r="D16" s="136"/>
      <c r="E16" s="13"/>
      <c r="F16" s="137"/>
      <c r="G16" s="135"/>
      <c r="H16" s="136"/>
      <c r="I16" s="6"/>
      <c r="J16" s="137"/>
      <c r="K16" s="13"/>
      <c r="L16" s="6"/>
      <c r="M16" s="135"/>
      <c r="N16" s="136"/>
      <c r="O16" s="6"/>
      <c r="P16"/>
      <c r="Q16"/>
      <c r="R16"/>
    </row>
    <row r="17" spans="1:18">
      <c r="A17" s="109" t="s">
        <v>77</v>
      </c>
      <c r="C17" s="138">
        <v>361.3</v>
      </c>
      <c r="D17" s="139"/>
      <c r="E17" s="140">
        <v>9.1</v>
      </c>
      <c r="F17" s="137"/>
      <c r="G17" s="141">
        <f>2.7+0.3</f>
        <v>3</v>
      </c>
      <c r="H17" s="139"/>
      <c r="I17" s="138">
        <f>SUM(C17:H17)</f>
        <v>373.40000000000003</v>
      </c>
      <c r="J17" s="137"/>
      <c r="K17" s="140">
        <f>6.4</f>
        <v>6.4</v>
      </c>
      <c r="L17" s="6"/>
      <c r="M17" s="141">
        <f>5.4+0.6</f>
        <v>6</v>
      </c>
      <c r="N17" s="139"/>
      <c r="O17" s="138">
        <f>SUM(I17:N17)</f>
        <v>385.8</v>
      </c>
      <c r="P17"/>
      <c r="Q17"/>
      <c r="R17"/>
    </row>
    <row r="18" spans="1:18">
      <c r="C18" s="6"/>
      <c r="D18" s="139"/>
      <c r="E18" s="140"/>
      <c r="F18" s="137"/>
      <c r="G18" s="141"/>
      <c r="H18" s="139"/>
      <c r="I18" s="138"/>
      <c r="J18" s="137"/>
      <c r="K18" s="140"/>
      <c r="L18" s="6"/>
      <c r="M18" s="135"/>
      <c r="N18" s="139"/>
      <c r="O18" s="138"/>
      <c r="P18"/>
      <c r="Q18"/>
      <c r="R18"/>
    </row>
    <row r="19" spans="1:18">
      <c r="A19" s="109" t="s">
        <v>166</v>
      </c>
      <c r="C19" s="138">
        <v>19.3</v>
      </c>
      <c r="D19" s="139"/>
      <c r="E19" s="140">
        <v>0</v>
      </c>
      <c r="F19" s="137"/>
      <c r="G19" s="141"/>
      <c r="H19" s="139"/>
      <c r="I19" s="138">
        <f>SUM(C19:H19)</f>
        <v>19.3</v>
      </c>
      <c r="J19" s="137"/>
      <c r="K19" s="140">
        <v>0</v>
      </c>
      <c r="L19" s="6"/>
      <c r="M19" s="142"/>
      <c r="N19" s="139"/>
      <c r="O19" s="138">
        <f>SUM(I19:N19)</f>
        <v>19.3</v>
      </c>
      <c r="P19"/>
      <c r="Q19"/>
      <c r="R19"/>
    </row>
    <row r="20" spans="1:18">
      <c r="C20" s="6"/>
      <c r="D20" s="139"/>
      <c r="E20" s="140"/>
      <c r="F20" s="137"/>
      <c r="G20" s="141"/>
      <c r="H20" s="139"/>
      <c r="I20" s="138"/>
      <c r="J20" s="137"/>
      <c r="K20" s="140"/>
      <c r="L20" s="6"/>
      <c r="M20" s="135"/>
      <c r="N20" s="139"/>
      <c r="O20" s="138"/>
      <c r="P20"/>
      <c r="Q20"/>
      <c r="R20"/>
    </row>
    <row r="21" spans="1:18">
      <c r="A21" s="109" t="s">
        <v>78</v>
      </c>
      <c r="C21" s="138">
        <v>7.2</v>
      </c>
      <c r="D21" s="139"/>
      <c r="E21" s="140">
        <v>0</v>
      </c>
      <c r="F21" s="137">
        <v>-5.4</v>
      </c>
      <c r="G21" s="141"/>
      <c r="H21" s="139"/>
      <c r="I21" s="138">
        <f>SUM(C21:H21)</f>
        <v>1.7999999999999998</v>
      </c>
      <c r="J21" s="137"/>
      <c r="K21" s="140">
        <v>0</v>
      </c>
      <c r="L21" s="140">
        <v>-1.8</v>
      </c>
      <c r="M21" s="142"/>
      <c r="N21" s="139"/>
      <c r="O21" s="138">
        <f>SUM(I21:N21)</f>
        <v>0</v>
      </c>
      <c r="P21"/>
      <c r="Q21"/>
      <c r="R21"/>
    </row>
    <row r="22" spans="1:18">
      <c r="C22" s="6"/>
      <c r="D22" s="139"/>
      <c r="E22" s="13"/>
      <c r="F22" s="137"/>
      <c r="G22" s="141"/>
      <c r="H22" s="139"/>
      <c r="I22" s="6"/>
      <c r="J22" s="137"/>
      <c r="K22" s="13"/>
      <c r="L22" s="6"/>
      <c r="M22" s="135"/>
      <c r="N22" s="139"/>
      <c r="O22" s="6"/>
      <c r="P22"/>
      <c r="Q22"/>
      <c r="R22"/>
    </row>
    <row r="23" spans="1:18">
      <c r="A23" s="143" t="s">
        <v>65</v>
      </c>
      <c r="B23" s="144"/>
      <c r="C23" s="145">
        <f>SUM(C17:C22)</f>
        <v>387.8</v>
      </c>
      <c r="D23" s="145"/>
      <c r="E23" s="146">
        <f>SUM(E17:E22)</f>
        <v>9.1</v>
      </c>
      <c r="F23" s="145"/>
      <c r="G23" s="147">
        <f>SUM(G17:G22)</f>
        <v>3</v>
      </c>
      <c r="H23" s="145"/>
      <c r="I23" s="145">
        <f>SUM(I17:I22)</f>
        <v>394.50000000000006</v>
      </c>
      <c r="J23" s="145"/>
      <c r="K23" s="146">
        <f>SUM(K17:K22)</f>
        <v>6.4</v>
      </c>
      <c r="L23" s="146">
        <f>SUM(L17:L22)</f>
        <v>-1.8</v>
      </c>
      <c r="M23" s="147">
        <f>SUM(M17:M22)</f>
        <v>6</v>
      </c>
      <c r="N23" s="145"/>
      <c r="O23" s="145">
        <f>SUM(I23:N23)</f>
        <v>405.1</v>
      </c>
      <c r="P23"/>
      <c r="Q23"/>
      <c r="R23"/>
    </row>
    <row r="24" spans="1:18">
      <c r="C24" s="6"/>
      <c r="D24" s="139"/>
      <c r="E24" s="13"/>
      <c r="F24" s="137"/>
      <c r="G24" s="141"/>
      <c r="H24" s="139"/>
      <c r="I24" s="6"/>
      <c r="J24" s="137"/>
      <c r="K24" s="13"/>
      <c r="L24" s="6"/>
      <c r="M24" s="135"/>
      <c r="N24" s="139"/>
      <c r="O24" s="6"/>
      <c r="P24"/>
      <c r="Q24"/>
      <c r="R24"/>
    </row>
    <row r="25" spans="1:18">
      <c r="A25" s="109" t="s">
        <v>79</v>
      </c>
      <c r="C25" s="138">
        <v>35</v>
      </c>
      <c r="D25" s="139"/>
      <c r="E25" s="140">
        <v>0</v>
      </c>
      <c r="F25" s="137"/>
      <c r="G25" s="141"/>
      <c r="H25" s="139"/>
      <c r="I25" s="138">
        <f>SUM(C25:H25)</f>
        <v>35</v>
      </c>
      <c r="J25" s="137"/>
      <c r="K25" s="140">
        <v>0</v>
      </c>
      <c r="L25" s="6"/>
      <c r="M25" s="142"/>
      <c r="N25" s="139"/>
      <c r="O25" s="138">
        <f>SUM(I25:N25)</f>
        <v>35</v>
      </c>
      <c r="P25"/>
      <c r="Q25"/>
      <c r="R25"/>
    </row>
    <row r="26" spans="1:18">
      <c r="C26" s="138"/>
      <c r="D26" s="139"/>
      <c r="E26" s="140"/>
      <c r="F26" s="137"/>
      <c r="G26" s="141"/>
      <c r="H26" s="139"/>
      <c r="I26" s="138"/>
      <c r="J26" s="137"/>
      <c r="K26" s="13"/>
      <c r="L26" s="6"/>
      <c r="M26" s="135"/>
      <c r="N26" s="139"/>
      <c r="O26" s="138"/>
      <c r="P26"/>
      <c r="Q26"/>
      <c r="R26"/>
    </row>
    <row r="27" spans="1:18">
      <c r="A27" s="109" t="s">
        <v>80</v>
      </c>
      <c r="C27" s="138"/>
      <c r="D27" s="139"/>
      <c r="E27" s="140"/>
      <c r="F27" s="137"/>
      <c r="G27" s="141"/>
      <c r="H27" s="139"/>
      <c r="I27" s="138"/>
      <c r="J27" s="137"/>
      <c r="K27" s="13"/>
      <c r="L27" s="6"/>
      <c r="M27" s="135"/>
      <c r="N27" s="139"/>
      <c r="O27" s="138"/>
      <c r="P27"/>
      <c r="Q27"/>
      <c r="R27"/>
    </row>
    <row r="28" spans="1:18">
      <c r="A28" s="109" t="s">
        <v>81</v>
      </c>
      <c r="C28" s="138">
        <v>1</v>
      </c>
      <c r="D28" s="139"/>
      <c r="E28" s="140"/>
      <c r="F28" s="137"/>
      <c r="G28" s="141"/>
      <c r="H28" s="139"/>
      <c r="I28" s="138">
        <f>SUM(C28:H28)</f>
        <v>1</v>
      </c>
      <c r="J28" s="137"/>
      <c r="K28" s="13"/>
      <c r="L28" s="6"/>
      <c r="M28" s="135"/>
      <c r="N28" s="139"/>
      <c r="O28" s="138">
        <f>SUM(I28:N28)</f>
        <v>1</v>
      </c>
      <c r="P28"/>
      <c r="Q28"/>
      <c r="R28"/>
    </row>
    <row r="29" spans="1:18">
      <c r="C29" s="138"/>
      <c r="D29" s="139"/>
      <c r="E29" s="140"/>
      <c r="F29" s="137"/>
      <c r="G29" s="141"/>
      <c r="H29" s="139"/>
      <c r="I29" s="138"/>
      <c r="J29" s="137"/>
      <c r="K29" s="13"/>
      <c r="L29" s="6"/>
      <c r="M29" s="135"/>
      <c r="N29" s="139"/>
      <c r="O29" s="148"/>
      <c r="P29"/>
      <c r="Q29"/>
      <c r="R29"/>
    </row>
    <row r="30" spans="1:18">
      <c r="A30" s="143" t="s">
        <v>82</v>
      </c>
      <c r="B30" s="144"/>
      <c r="C30" s="145">
        <f>SUM(C23:C29)</f>
        <v>423.8</v>
      </c>
      <c r="D30" s="145"/>
      <c r="E30" s="146">
        <f>SUM(E23:E29)</f>
        <v>9.1</v>
      </c>
      <c r="F30" s="145"/>
      <c r="G30" s="147">
        <f>SUM(G23:G29)</f>
        <v>3</v>
      </c>
      <c r="H30" s="145"/>
      <c r="I30" s="145">
        <f>SUM(I23:I29)</f>
        <v>430.50000000000006</v>
      </c>
      <c r="J30" s="145"/>
      <c r="K30" s="146">
        <f>SUM(K23:K29)</f>
        <v>6.4</v>
      </c>
      <c r="L30" s="146">
        <f>SUM(L23:L29)</f>
        <v>-1.8</v>
      </c>
      <c r="M30" s="147">
        <f>SUM(M24:M29)</f>
        <v>0</v>
      </c>
      <c r="N30" s="145"/>
      <c r="O30" s="145">
        <f>SUM(I30:N30)</f>
        <v>435.1</v>
      </c>
      <c r="P30"/>
      <c r="Q30"/>
      <c r="R30"/>
    </row>
    <row r="31" spans="1:18">
      <c r="C31" s="138"/>
      <c r="D31" s="139"/>
      <c r="E31" s="140"/>
      <c r="F31" s="137"/>
      <c r="G31" s="141"/>
      <c r="H31" s="139"/>
      <c r="I31" s="138"/>
      <c r="J31" s="137"/>
      <c r="K31" s="13"/>
      <c r="L31" s="6"/>
      <c r="M31" s="135"/>
      <c r="N31" s="139"/>
      <c r="O31" s="148"/>
      <c r="P31"/>
      <c r="Q31"/>
      <c r="R31"/>
    </row>
    <row r="32" spans="1:18">
      <c r="A32" s="109" t="s">
        <v>83</v>
      </c>
      <c r="C32" s="138">
        <v>0.6</v>
      </c>
      <c r="D32" s="139"/>
      <c r="E32" s="140"/>
      <c r="F32" s="137"/>
      <c r="G32" s="141">
        <v>0.1</v>
      </c>
      <c r="H32" s="139"/>
      <c r="I32" s="138">
        <f>SUM(C32:H32)</f>
        <v>0.7</v>
      </c>
      <c r="J32" s="137"/>
      <c r="K32" s="13"/>
      <c r="L32" s="6"/>
      <c r="M32" s="138">
        <v>0.2</v>
      </c>
      <c r="N32" s="149"/>
      <c r="O32" s="138">
        <f>SUM(I32:N32)</f>
        <v>0.89999999999999991</v>
      </c>
      <c r="P32"/>
      <c r="Q32"/>
      <c r="R32"/>
    </row>
    <row r="33" spans="1:18">
      <c r="A33" s="109" t="s">
        <v>84</v>
      </c>
      <c r="C33" s="138">
        <v>0.6</v>
      </c>
      <c r="D33" s="139"/>
      <c r="E33" s="140"/>
      <c r="F33" s="137"/>
      <c r="G33" s="141"/>
      <c r="H33" s="139"/>
      <c r="I33" s="138">
        <f>SUM(C33:H33)</f>
        <v>0.6</v>
      </c>
      <c r="J33" s="137"/>
      <c r="K33" s="13"/>
      <c r="L33" s="6"/>
      <c r="M33" s="138"/>
      <c r="N33" s="149"/>
      <c r="O33" s="138">
        <f>SUM(I33:N33)</f>
        <v>0.6</v>
      </c>
      <c r="P33"/>
      <c r="Q33"/>
      <c r="R33"/>
    </row>
    <row r="34" spans="1:18">
      <c r="A34" s="109" t="s">
        <v>85</v>
      </c>
      <c r="C34" s="138">
        <v>5</v>
      </c>
      <c r="D34" s="139"/>
      <c r="E34" s="140"/>
      <c r="F34" s="137"/>
      <c r="G34" s="141"/>
      <c r="H34" s="139"/>
      <c r="I34" s="138">
        <f>SUM(C34:H34)</f>
        <v>5</v>
      </c>
      <c r="J34" s="137"/>
      <c r="K34" s="13"/>
      <c r="L34" s="6"/>
      <c r="M34" s="138"/>
      <c r="N34" s="149"/>
      <c r="O34" s="138">
        <f>SUM(I34:N34)</f>
        <v>5</v>
      </c>
      <c r="P34"/>
      <c r="Q34"/>
      <c r="R34"/>
    </row>
    <row r="35" spans="1:18">
      <c r="A35" s="109" t="s">
        <v>86</v>
      </c>
      <c r="C35" s="138">
        <v>5</v>
      </c>
      <c r="D35" s="139"/>
      <c r="E35" s="140">
        <v>1.8</v>
      </c>
      <c r="F35" s="137"/>
      <c r="G35" s="141">
        <v>0.7</v>
      </c>
      <c r="H35" s="139"/>
      <c r="I35" s="138">
        <f>SUM(C35:H35)</f>
        <v>7.5</v>
      </c>
      <c r="J35" s="137"/>
      <c r="K35" s="13"/>
      <c r="L35" s="6"/>
      <c r="M35" s="141"/>
      <c r="N35" s="137"/>
      <c r="O35" s="138">
        <f>SUM(I35:N35)</f>
        <v>7.5</v>
      </c>
      <c r="P35"/>
      <c r="Q35"/>
      <c r="R35"/>
    </row>
    <row r="36" spans="1:18">
      <c r="A36" s="109" t="s">
        <v>87</v>
      </c>
      <c r="C36" s="138">
        <v>0.3</v>
      </c>
      <c r="D36" s="139"/>
      <c r="E36" s="140"/>
      <c r="F36" s="137"/>
      <c r="G36" s="141">
        <v>0.3</v>
      </c>
      <c r="H36" s="139"/>
      <c r="I36" s="138">
        <f>SUM(C36:H36)</f>
        <v>0.6</v>
      </c>
      <c r="J36" s="137"/>
      <c r="K36" s="13"/>
      <c r="L36" s="6"/>
      <c r="M36" s="141"/>
      <c r="N36" s="137"/>
      <c r="O36" s="138">
        <f>SUM(I36:N36)</f>
        <v>0.6</v>
      </c>
      <c r="P36"/>
      <c r="Q36"/>
      <c r="R36"/>
    </row>
    <row r="37" spans="1:18">
      <c r="C37" s="18"/>
      <c r="D37" s="137"/>
      <c r="E37" s="17"/>
      <c r="F37" s="137"/>
      <c r="G37" s="150"/>
      <c r="H37" s="137"/>
      <c r="I37" s="18"/>
      <c r="J37" s="137"/>
      <c r="K37" s="17"/>
      <c r="L37" s="18"/>
      <c r="M37" s="150"/>
      <c r="N37" s="137"/>
      <c r="O37" s="18"/>
      <c r="P37"/>
      <c r="Q37"/>
      <c r="R37"/>
    </row>
    <row r="38" spans="1:18">
      <c r="A38" s="109" t="s">
        <v>8</v>
      </c>
      <c r="C38" s="151">
        <f>SUM(C30:C37)</f>
        <v>435.30000000000007</v>
      </c>
      <c r="D38" s="152"/>
      <c r="E38" s="151">
        <f>SUM(E30:E37)</f>
        <v>10.9</v>
      </c>
      <c r="F38" s="151"/>
      <c r="G38" s="151">
        <f>SUM(G30:G37)</f>
        <v>4.0999999999999996</v>
      </c>
      <c r="H38" s="153"/>
      <c r="I38" s="151">
        <f>SUM(I30:I37)</f>
        <v>444.90000000000009</v>
      </c>
      <c r="J38" s="151"/>
      <c r="K38" s="153">
        <f>SUM(K30:K37)</f>
        <v>6.4</v>
      </c>
      <c r="L38" s="153">
        <f>SUM(L30:L37)</f>
        <v>-1.8</v>
      </c>
      <c r="M38" s="152">
        <f>SUM(M23:M37)</f>
        <v>6.2</v>
      </c>
      <c r="N38" s="154"/>
      <c r="O38" s="151">
        <f>SUM(I38:N38)</f>
        <v>455.70000000000005</v>
      </c>
      <c r="P38"/>
      <c r="Q38"/>
      <c r="R38"/>
    </row>
    <row r="39" spans="1:18">
      <c r="C39" s="18"/>
      <c r="D39" s="139"/>
      <c r="E39" s="17"/>
      <c r="F39" s="155"/>
      <c r="G39" s="150"/>
      <c r="H39" s="139"/>
      <c r="I39" s="18"/>
      <c r="J39" s="137"/>
      <c r="K39" s="17"/>
      <c r="L39" s="18"/>
      <c r="M39" s="150"/>
      <c r="N39" s="139"/>
      <c r="O39" s="18"/>
      <c r="P39"/>
      <c r="Q39"/>
      <c r="R39"/>
    </row>
    <row r="40" spans="1:18">
      <c r="C40" s="6"/>
      <c r="D40" s="139"/>
      <c r="E40"/>
      <c r="F40" s="137"/>
      <c r="G40"/>
      <c r="H40" s="139"/>
      <c r="I40"/>
      <c r="J40"/>
      <c r="K40"/>
      <c r="L40"/>
      <c r="M40"/>
      <c r="N40" s="139"/>
      <c r="O40"/>
      <c r="P40"/>
      <c r="Q40"/>
      <c r="R40"/>
    </row>
    <row r="41" spans="1:18">
      <c r="A41" s="109" t="s">
        <v>88</v>
      </c>
      <c r="C41" s="138">
        <v>-1.5</v>
      </c>
      <c r="E41"/>
      <c r="G41" s="138"/>
      <c r="I41" s="138">
        <v>-1.5</v>
      </c>
      <c r="J41"/>
      <c r="K41"/>
      <c r="L41"/>
      <c r="M41"/>
      <c r="O41" s="138">
        <v>-1.5</v>
      </c>
      <c r="P41"/>
      <c r="Q41"/>
      <c r="R41"/>
    </row>
    <row r="42" spans="1:18">
      <c r="C42" s="138"/>
      <c r="E42"/>
      <c r="G42" s="6"/>
      <c r="I42"/>
      <c r="J42"/>
      <c r="K42"/>
      <c r="L42"/>
      <c r="M42"/>
      <c r="O42"/>
      <c r="P42"/>
      <c r="Q42"/>
      <c r="R42"/>
    </row>
    <row r="43" spans="1:18" ht="13.5" thickBot="1">
      <c r="A43" s="109" t="s">
        <v>89</v>
      </c>
      <c r="C43" s="156">
        <f>+C38+C41</f>
        <v>433.80000000000007</v>
      </c>
      <c r="E43"/>
      <c r="G43" s="151"/>
      <c r="I43" s="156">
        <f>+I38+I41</f>
        <v>443.40000000000009</v>
      </c>
      <c r="J43"/>
      <c r="K43"/>
      <c r="L43"/>
      <c r="M43"/>
      <c r="O43" s="156">
        <f>+O38+O41</f>
        <v>454.20000000000005</v>
      </c>
      <c r="P43"/>
      <c r="Q43"/>
      <c r="R43"/>
    </row>
    <row r="44" spans="1:18" ht="13.5" thickTop="1">
      <c r="C44"/>
      <c r="E44"/>
      <c r="G44" s="6"/>
      <c r="I44"/>
      <c r="J44"/>
      <c r="K44"/>
      <c r="L44"/>
      <c r="M44"/>
      <c r="O44"/>
      <c r="P44"/>
      <c r="Q44"/>
      <c r="R44"/>
    </row>
    <row r="45" spans="1:18">
      <c r="C45"/>
      <c r="E45" s="121" t="s">
        <v>90</v>
      </c>
      <c r="F45" s="122"/>
      <c r="G45" s="157">
        <v>1.4</v>
      </c>
      <c r="I45"/>
      <c r="J45"/>
      <c r="K45" s="121" t="s">
        <v>90</v>
      </c>
      <c r="L45" s="122"/>
      <c r="M45" s="157">
        <v>0.8</v>
      </c>
      <c r="O45"/>
      <c r="P45"/>
      <c r="Q45"/>
      <c r="R45"/>
    </row>
    <row r="46" spans="1:18">
      <c r="C46"/>
      <c r="E46" s="158" t="s">
        <v>91</v>
      </c>
      <c r="F46" s="113"/>
      <c r="G46" s="141">
        <v>1.4</v>
      </c>
      <c r="I46"/>
      <c r="J46"/>
      <c r="K46" s="158" t="s">
        <v>92</v>
      </c>
      <c r="L46" s="113"/>
      <c r="M46" s="141">
        <v>1.5</v>
      </c>
      <c r="O46"/>
      <c r="P46"/>
      <c r="Q46"/>
      <c r="R46"/>
    </row>
    <row r="47" spans="1:18">
      <c r="C47"/>
      <c r="E47" s="158" t="s">
        <v>93</v>
      </c>
      <c r="F47" s="113"/>
      <c r="G47" s="141">
        <v>0.6</v>
      </c>
      <c r="I47"/>
      <c r="J47"/>
      <c r="K47" s="158" t="s">
        <v>93</v>
      </c>
      <c r="L47" s="113"/>
      <c r="M47" s="141">
        <v>0.2</v>
      </c>
      <c r="O47"/>
      <c r="P47"/>
      <c r="Q47"/>
      <c r="R47"/>
    </row>
    <row r="48" spans="1:18">
      <c r="C48"/>
      <c r="E48" s="158" t="s">
        <v>45</v>
      </c>
      <c r="F48" s="113"/>
      <c r="G48" s="141">
        <v>0.3</v>
      </c>
      <c r="I48"/>
      <c r="J48"/>
      <c r="K48" s="158" t="s">
        <v>45</v>
      </c>
      <c r="L48" s="113"/>
      <c r="M48" s="141">
        <v>0.3</v>
      </c>
      <c r="O48"/>
      <c r="P48"/>
      <c r="Q48"/>
      <c r="R48"/>
    </row>
    <row r="49" spans="3:18">
      <c r="C49"/>
      <c r="E49" s="158" t="s">
        <v>94</v>
      </c>
      <c r="F49" s="113"/>
      <c r="G49" s="161">
        <v>7.2</v>
      </c>
      <c r="I49"/>
      <c r="J49"/>
      <c r="K49" s="158" t="s">
        <v>94</v>
      </c>
      <c r="L49" s="113"/>
      <c r="M49" s="161">
        <v>3.6</v>
      </c>
      <c r="O49"/>
      <c r="P49"/>
      <c r="Q49"/>
      <c r="R49"/>
    </row>
    <row r="50" spans="3:18">
      <c r="C50"/>
      <c r="E50" s="159"/>
      <c r="F50" s="160"/>
      <c r="G50" s="161">
        <f>SUM(G45:G49)</f>
        <v>10.9</v>
      </c>
      <c r="I50"/>
      <c r="J50"/>
      <c r="K50" s="159"/>
      <c r="L50" s="160"/>
      <c r="M50" s="161">
        <f>SUM(M45:M49)</f>
        <v>6.4</v>
      </c>
      <c r="O50"/>
      <c r="P50"/>
      <c r="Q50"/>
      <c r="R50"/>
    </row>
    <row r="51" spans="3:18">
      <c r="C51"/>
      <c r="E51"/>
      <c r="G51" s="138"/>
      <c r="I51"/>
      <c r="J51"/>
      <c r="K51"/>
      <c r="L51"/>
      <c r="M51"/>
      <c r="O51"/>
      <c r="P51"/>
      <c r="Q51"/>
      <c r="R51"/>
    </row>
    <row r="52" spans="3:18">
      <c r="C52"/>
      <c r="E52"/>
      <c r="G52" s="6"/>
      <c r="I52"/>
      <c r="J52"/>
      <c r="K52"/>
      <c r="L52"/>
      <c r="M52"/>
      <c r="O52"/>
      <c r="P52"/>
      <c r="Q52"/>
      <c r="R52"/>
    </row>
    <row r="53" spans="3:18">
      <c r="C53"/>
      <c r="E53"/>
      <c r="G53"/>
      <c r="I53"/>
      <c r="J53"/>
      <c r="K53"/>
      <c r="L53"/>
      <c r="M53"/>
      <c r="O53"/>
      <c r="P53"/>
      <c r="Q53"/>
      <c r="R53"/>
    </row>
    <row r="54" spans="3:18">
      <c r="C54"/>
      <c r="E54"/>
      <c r="G54"/>
      <c r="I54"/>
      <c r="J54"/>
      <c r="K54"/>
      <c r="L54"/>
      <c r="M54"/>
      <c r="O54"/>
      <c r="P54"/>
      <c r="Q54"/>
      <c r="R54"/>
    </row>
    <row r="55" spans="3:18">
      <c r="C55"/>
      <c r="E55"/>
      <c r="G55"/>
      <c r="I55"/>
      <c r="J55"/>
      <c r="K55"/>
      <c r="L55"/>
      <c r="M55"/>
      <c r="O55"/>
      <c r="P55"/>
      <c r="Q55"/>
      <c r="R55"/>
    </row>
    <row r="56" spans="3:18">
      <c r="C56"/>
      <c r="E56"/>
      <c r="G56"/>
      <c r="I56"/>
      <c r="J56"/>
      <c r="K56"/>
      <c r="L56"/>
      <c r="M56"/>
      <c r="O56"/>
      <c r="P56"/>
      <c r="Q56"/>
      <c r="R56"/>
    </row>
    <row r="57" spans="3:18">
      <c r="C57"/>
      <c r="E57"/>
      <c r="G57"/>
      <c r="I57"/>
      <c r="J57"/>
      <c r="K57"/>
      <c r="L57"/>
      <c r="M57"/>
      <c r="O57"/>
      <c r="P57"/>
      <c r="Q57"/>
      <c r="R57"/>
    </row>
    <row r="58" spans="3:18">
      <c r="C58"/>
      <c r="E58"/>
      <c r="G58"/>
      <c r="I58"/>
      <c r="J58"/>
      <c r="K58"/>
      <c r="L58"/>
      <c r="M58"/>
      <c r="O58"/>
      <c r="P58"/>
      <c r="Q58"/>
      <c r="R58"/>
    </row>
    <row r="59" spans="3:18">
      <c r="C59"/>
      <c r="E59"/>
      <c r="G59"/>
      <c r="I59"/>
      <c r="J59"/>
      <c r="K59"/>
      <c r="L59"/>
      <c r="M59"/>
      <c r="O59"/>
      <c r="P59"/>
      <c r="Q59"/>
      <c r="R59"/>
    </row>
    <row r="60" spans="3:18">
      <c r="C60"/>
      <c r="E60"/>
      <c r="G60"/>
      <c r="I60"/>
      <c r="J60"/>
      <c r="K60"/>
      <c r="L60"/>
      <c r="M60"/>
      <c r="O60"/>
      <c r="P60"/>
      <c r="Q60"/>
      <c r="R60"/>
    </row>
    <row r="61" spans="3:18">
      <c r="C61"/>
      <c r="E61"/>
      <c r="G61"/>
      <c r="I61"/>
      <c r="J61"/>
      <c r="K61"/>
      <c r="L61"/>
      <c r="M61"/>
      <c r="O61"/>
      <c r="P61"/>
      <c r="Q61"/>
      <c r="R61"/>
    </row>
    <row r="62" spans="3:18">
      <c r="C62"/>
      <c r="E62"/>
      <c r="G62"/>
      <c r="I62"/>
      <c r="J62"/>
      <c r="K62"/>
      <c r="L62"/>
      <c r="M62"/>
      <c r="O62"/>
      <c r="P62"/>
      <c r="Q62"/>
      <c r="R62"/>
    </row>
    <row r="63" spans="3:18">
      <c r="C63"/>
      <c r="E63"/>
      <c r="G63"/>
      <c r="I63"/>
      <c r="J63"/>
      <c r="K63"/>
      <c r="L63"/>
      <c r="M63"/>
      <c r="O63"/>
      <c r="P63"/>
      <c r="Q63"/>
      <c r="R63"/>
    </row>
    <row r="64" spans="3:18">
      <c r="C64"/>
      <c r="E64"/>
      <c r="G64"/>
      <c r="I64"/>
      <c r="J64"/>
      <c r="K64"/>
      <c r="L64"/>
      <c r="M64"/>
      <c r="O64"/>
      <c r="P64"/>
      <c r="Q64"/>
      <c r="R64"/>
    </row>
    <row r="65" spans="3:18">
      <c r="C65"/>
      <c r="E65"/>
      <c r="G65"/>
      <c r="I65"/>
      <c r="J65"/>
      <c r="K65"/>
      <c r="L65"/>
      <c r="M65"/>
      <c r="O65"/>
      <c r="P65"/>
      <c r="Q65"/>
      <c r="R65"/>
    </row>
    <row r="66" spans="3:18">
      <c r="C66"/>
      <c r="E66"/>
      <c r="G66"/>
      <c r="I66"/>
      <c r="J66"/>
      <c r="K66"/>
      <c r="L66"/>
      <c r="M66"/>
      <c r="O66"/>
      <c r="P66"/>
      <c r="Q66"/>
      <c r="R66"/>
    </row>
    <row r="67" spans="3:18">
      <c r="C67"/>
      <c r="E67"/>
      <c r="G67"/>
      <c r="I67"/>
      <c r="J67"/>
      <c r="K67"/>
      <c r="L67"/>
      <c r="M67"/>
      <c r="O67"/>
      <c r="P67"/>
      <c r="Q67"/>
      <c r="R67"/>
    </row>
    <row r="68" spans="3:18">
      <c r="C68"/>
      <c r="E68"/>
      <c r="G68"/>
      <c r="I68"/>
      <c r="J68"/>
      <c r="K68"/>
      <c r="L68"/>
      <c r="M68"/>
      <c r="O68"/>
      <c r="P68"/>
      <c r="Q68"/>
      <c r="R68"/>
    </row>
    <row r="69" spans="3:18">
      <c r="C69"/>
      <c r="E69"/>
      <c r="G69"/>
      <c r="I69"/>
      <c r="J69"/>
      <c r="K69"/>
      <c r="L69"/>
      <c r="M69"/>
      <c r="O69"/>
      <c r="P69"/>
      <c r="Q69"/>
      <c r="R69"/>
    </row>
    <row r="70" spans="3:18">
      <c r="C70"/>
      <c r="E70"/>
      <c r="G70"/>
      <c r="I70"/>
      <c r="J70"/>
      <c r="K70"/>
      <c r="L70"/>
      <c r="M70"/>
      <c r="O70"/>
      <c r="P70"/>
      <c r="Q70"/>
      <c r="R70"/>
    </row>
    <row r="71" spans="3:18">
      <c r="C71"/>
      <c r="E71"/>
      <c r="G71"/>
      <c r="I71"/>
      <c r="J71"/>
      <c r="K71"/>
      <c r="L71"/>
      <c r="M71"/>
      <c r="O71"/>
      <c r="P71"/>
      <c r="Q71"/>
      <c r="R71"/>
    </row>
    <row r="72" spans="3:18">
      <c r="C72"/>
      <c r="E72"/>
      <c r="G72"/>
      <c r="I72"/>
      <c r="J72"/>
      <c r="K72"/>
      <c r="L72"/>
      <c r="M72"/>
      <c r="O72"/>
      <c r="P72"/>
      <c r="Q72"/>
      <c r="R72"/>
    </row>
    <row r="73" spans="3:18">
      <c r="C73"/>
      <c r="E73"/>
      <c r="G73"/>
      <c r="I73"/>
      <c r="J73"/>
      <c r="K73"/>
      <c r="L73"/>
      <c r="M73"/>
      <c r="O73"/>
      <c r="P73"/>
      <c r="Q73"/>
      <c r="R73"/>
    </row>
    <row r="74" spans="3:18">
      <c r="C74"/>
      <c r="E74"/>
      <c r="G74"/>
      <c r="I74"/>
      <c r="J74"/>
      <c r="K74"/>
      <c r="L74"/>
      <c r="M74"/>
      <c r="O74"/>
      <c r="P74"/>
      <c r="Q74"/>
      <c r="R74"/>
    </row>
    <row r="75" spans="3:18">
      <c r="C75"/>
      <c r="E75"/>
      <c r="G75"/>
      <c r="I75"/>
      <c r="J75"/>
      <c r="K75"/>
      <c r="L75"/>
      <c r="M75"/>
      <c r="O75"/>
      <c r="P75"/>
      <c r="Q75"/>
      <c r="R75"/>
    </row>
    <row r="76" spans="3:18">
      <c r="C76"/>
      <c r="E76"/>
      <c r="G76"/>
      <c r="I76"/>
      <c r="J76"/>
      <c r="K76"/>
      <c r="L76"/>
      <c r="M76"/>
      <c r="O76"/>
      <c r="P76"/>
      <c r="Q76"/>
      <c r="R76"/>
    </row>
    <row r="77" spans="3:18">
      <c r="C77"/>
      <c r="E77"/>
      <c r="G77"/>
      <c r="I77"/>
      <c r="J77"/>
      <c r="K77"/>
      <c r="L77"/>
      <c r="M77"/>
      <c r="O77"/>
      <c r="P77"/>
      <c r="Q77"/>
      <c r="R77"/>
    </row>
    <row r="78" spans="3:18">
      <c r="C78"/>
      <c r="E78"/>
      <c r="G78"/>
      <c r="I78"/>
      <c r="J78"/>
      <c r="K78"/>
      <c r="L78"/>
      <c r="M78"/>
      <c r="O78"/>
      <c r="P78"/>
      <c r="Q78"/>
      <c r="R78"/>
    </row>
    <row r="79" spans="3:18">
      <c r="C79"/>
      <c r="E79"/>
      <c r="G79"/>
      <c r="I79"/>
      <c r="J79"/>
      <c r="K79"/>
      <c r="L79"/>
      <c r="M79"/>
      <c r="O79"/>
      <c r="P79"/>
      <c r="Q79"/>
      <c r="R79"/>
    </row>
    <row r="80" spans="3:18">
      <c r="C80"/>
      <c r="E80"/>
      <c r="G80"/>
      <c r="I80"/>
      <c r="J80"/>
      <c r="K80"/>
      <c r="L80"/>
      <c r="M80"/>
      <c r="O80"/>
      <c r="P80"/>
      <c r="Q80"/>
      <c r="R80"/>
    </row>
    <row r="81" spans="3:18">
      <c r="C81"/>
      <c r="E81"/>
      <c r="G81"/>
      <c r="I81"/>
      <c r="J81"/>
      <c r="K81"/>
      <c r="L81"/>
      <c r="M81"/>
      <c r="O81"/>
      <c r="P81"/>
      <c r="Q81"/>
      <c r="R81"/>
    </row>
    <row r="82" spans="3:18">
      <c r="C82"/>
      <c r="E82"/>
      <c r="G82"/>
      <c r="I82"/>
      <c r="J82"/>
      <c r="K82"/>
      <c r="L82"/>
      <c r="M82"/>
      <c r="O82"/>
      <c r="P82"/>
      <c r="Q82"/>
      <c r="R82"/>
    </row>
    <row r="83" spans="3:18">
      <c r="C83"/>
      <c r="E83"/>
      <c r="G83"/>
      <c r="I83"/>
      <c r="J83"/>
      <c r="K83"/>
      <c r="L83"/>
      <c r="M83"/>
      <c r="O83"/>
      <c r="P83"/>
      <c r="Q83"/>
      <c r="R83"/>
    </row>
    <row r="84" spans="3:18">
      <c r="C84"/>
      <c r="E84"/>
      <c r="G84"/>
      <c r="I84"/>
      <c r="J84"/>
      <c r="K84"/>
      <c r="L84"/>
      <c r="M84"/>
      <c r="O84"/>
      <c r="P84"/>
      <c r="Q84"/>
      <c r="R84"/>
    </row>
    <row r="85" spans="3:18">
      <c r="C85"/>
      <c r="E85"/>
      <c r="G85"/>
      <c r="I85"/>
      <c r="J85"/>
      <c r="K85"/>
      <c r="L85"/>
      <c r="M85"/>
      <c r="O85"/>
      <c r="P85"/>
      <c r="Q85"/>
      <c r="R85"/>
    </row>
    <row r="86" spans="3:18">
      <c r="C86"/>
      <c r="E86"/>
      <c r="G86"/>
      <c r="I86"/>
      <c r="J86"/>
      <c r="K86"/>
      <c r="L86"/>
      <c r="M86"/>
      <c r="O86"/>
      <c r="P86"/>
      <c r="Q86"/>
      <c r="R86"/>
    </row>
    <row r="87" spans="3:18">
      <c r="C87"/>
      <c r="E87"/>
      <c r="G87"/>
      <c r="I87"/>
      <c r="J87"/>
      <c r="K87"/>
      <c r="L87"/>
      <c r="M87"/>
      <c r="O87"/>
      <c r="P87"/>
      <c r="Q87"/>
      <c r="R87"/>
    </row>
    <row r="88" spans="3:18">
      <c r="C88"/>
      <c r="E88"/>
      <c r="G88"/>
      <c r="I88"/>
      <c r="J88"/>
      <c r="K88"/>
      <c r="L88"/>
      <c r="M88"/>
      <c r="O88"/>
      <c r="P88"/>
      <c r="Q88"/>
      <c r="R88"/>
    </row>
    <row r="89" spans="3:18">
      <c r="C89"/>
      <c r="E89"/>
      <c r="G89"/>
      <c r="I89"/>
      <c r="J89"/>
      <c r="K89"/>
      <c r="L89"/>
      <c r="M89"/>
      <c r="O89"/>
      <c r="P89"/>
      <c r="Q89"/>
      <c r="R89"/>
    </row>
    <row r="90" spans="3:18">
      <c r="C90"/>
      <c r="E90"/>
      <c r="G90"/>
      <c r="I90"/>
      <c r="J90"/>
      <c r="K90"/>
      <c r="L90"/>
      <c r="M90"/>
      <c r="O90"/>
      <c r="P90"/>
      <c r="Q90"/>
      <c r="R90"/>
    </row>
    <row r="91" spans="3:18">
      <c r="C91"/>
      <c r="E91"/>
      <c r="G91"/>
      <c r="I91"/>
      <c r="J91"/>
      <c r="K91"/>
      <c r="L91"/>
      <c r="M91"/>
      <c r="O91"/>
      <c r="P91"/>
      <c r="Q91"/>
      <c r="R91"/>
    </row>
    <row r="92" spans="3:18">
      <c r="C92"/>
      <c r="E92"/>
      <c r="G92"/>
      <c r="I92"/>
      <c r="J92"/>
      <c r="K92"/>
      <c r="L92"/>
      <c r="M92"/>
      <c r="O92"/>
      <c r="P92"/>
      <c r="Q92"/>
      <c r="R92"/>
    </row>
    <row r="93" spans="3:18">
      <c r="C93"/>
      <c r="E93"/>
      <c r="G93"/>
      <c r="I93"/>
      <c r="J93"/>
      <c r="K93"/>
      <c r="L93"/>
      <c r="M93"/>
      <c r="O93"/>
      <c r="P93"/>
      <c r="Q93"/>
      <c r="R93"/>
    </row>
    <row r="94" spans="3:18">
      <c r="C94"/>
      <c r="E94"/>
      <c r="G94"/>
      <c r="I94"/>
      <c r="J94"/>
      <c r="K94"/>
      <c r="L94"/>
      <c r="M94"/>
      <c r="O94"/>
      <c r="P94"/>
      <c r="Q94"/>
      <c r="R94"/>
    </row>
    <row r="95" spans="3:18">
      <c r="C95"/>
      <c r="E95"/>
      <c r="G95"/>
      <c r="I95"/>
      <c r="J95"/>
      <c r="K95"/>
      <c r="L95"/>
      <c r="M95"/>
      <c r="O95"/>
      <c r="P95"/>
      <c r="Q95"/>
      <c r="R95"/>
    </row>
    <row r="96" spans="3:18">
      <c r="C96"/>
      <c r="E96"/>
      <c r="G96"/>
      <c r="I96"/>
      <c r="J96"/>
      <c r="K96"/>
      <c r="L96"/>
      <c r="M96"/>
      <c r="O96"/>
      <c r="P96"/>
      <c r="Q96"/>
      <c r="R96"/>
    </row>
    <row r="97" spans="3:18">
      <c r="C97"/>
      <c r="E97"/>
      <c r="G97"/>
      <c r="I97"/>
      <c r="J97"/>
      <c r="K97"/>
      <c r="L97"/>
      <c r="M97"/>
      <c r="O97"/>
      <c r="P97"/>
      <c r="Q97"/>
      <c r="R97"/>
    </row>
    <row r="98" spans="3:18">
      <c r="C98"/>
      <c r="E98"/>
      <c r="G98"/>
      <c r="I98"/>
      <c r="J98"/>
      <c r="K98"/>
      <c r="L98"/>
      <c r="M98"/>
      <c r="O98"/>
      <c r="P98"/>
      <c r="Q98"/>
      <c r="R98"/>
    </row>
    <row r="99" spans="3:18">
      <c r="C99"/>
      <c r="E99"/>
      <c r="G99"/>
      <c r="I99"/>
      <c r="J99"/>
      <c r="K99"/>
      <c r="L99"/>
      <c r="M99"/>
      <c r="O99"/>
      <c r="P99"/>
      <c r="Q99"/>
      <c r="R99"/>
    </row>
    <row r="100" spans="3:18">
      <c r="C100"/>
      <c r="E100"/>
      <c r="G100"/>
      <c r="I100"/>
      <c r="J100"/>
      <c r="K100"/>
      <c r="L100"/>
      <c r="M100"/>
      <c r="O100"/>
      <c r="P100"/>
      <c r="Q100"/>
      <c r="R100"/>
    </row>
    <row r="101" spans="3:18">
      <c r="C101"/>
      <c r="E101"/>
      <c r="G101"/>
      <c r="I101"/>
      <c r="J101"/>
      <c r="K101"/>
      <c r="L101"/>
      <c r="M101"/>
      <c r="O101"/>
      <c r="P101"/>
      <c r="Q101"/>
      <c r="R101"/>
    </row>
    <row r="102" spans="3:18">
      <c r="C102"/>
      <c r="E102"/>
      <c r="G102"/>
      <c r="I102"/>
      <c r="J102"/>
      <c r="K102"/>
      <c r="L102"/>
      <c r="M102"/>
      <c r="O102"/>
      <c r="P102"/>
      <c r="Q102"/>
      <c r="R102"/>
    </row>
    <row r="103" spans="3:18">
      <c r="C103"/>
      <c r="E103"/>
      <c r="G103"/>
      <c r="I103"/>
      <c r="J103"/>
      <c r="K103"/>
      <c r="L103"/>
      <c r="M103"/>
      <c r="O103"/>
      <c r="P103"/>
      <c r="Q103"/>
      <c r="R103"/>
    </row>
    <row r="104" spans="3:18">
      <c r="C104"/>
      <c r="E104"/>
      <c r="G104"/>
      <c r="I104"/>
      <c r="J104"/>
      <c r="K104"/>
      <c r="L104"/>
      <c r="M104"/>
      <c r="O104"/>
      <c r="P104"/>
      <c r="Q104"/>
      <c r="R104"/>
    </row>
    <row r="105" spans="3:18">
      <c r="C105"/>
      <c r="E105"/>
      <c r="G105"/>
      <c r="I105"/>
      <c r="J105"/>
      <c r="K105"/>
      <c r="L105"/>
      <c r="M105"/>
      <c r="O105"/>
      <c r="P105"/>
      <c r="Q105"/>
      <c r="R105"/>
    </row>
    <row r="106" spans="3:18">
      <c r="C106"/>
      <c r="E106"/>
      <c r="G106"/>
      <c r="I106"/>
      <c r="J106"/>
      <c r="K106"/>
      <c r="L106"/>
      <c r="M106"/>
      <c r="O106"/>
      <c r="P106"/>
      <c r="Q106"/>
      <c r="R106"/>
    </row>
    <row r="107" spans="3:18">
      <c r="C107"/>
      <c r="E107"/>
      <c r="G107"/>
      <c r="I107"/>
      <c r="J107"/>
      <c r="K107"/>
      <c r="L107"/>
      <c r="M107"/>
      <c r="O107"/>
      <c r="P107"/>
      <c r="Q107"/>
      <c r="R107"/>
    </row>
    <row r="108" spans="3:18">
      <c r="C108"/>
      <c r="E108"/>
      <c r="G108"/>
      <c r="I108"/>
      <c r="J108"/>
      <c r="K108"/>
      <c r="L108"/>
      <c r="M108"/>
      <c r="O108"/>
      <c r="P108"/>
      <c r="Q108"/>
      <c r="R108"/>
    </row>
    <row r="109" spans="3:18">
      <c r="C109"/>
      <c r="E109"/>
      <c r="G109"/>
      <c r="I109"/>
      <c r="J109"/>
      <c r="K109"/>
      <c r="L109"/>
      <c r="M109"/>
      <c r="O109"/>
      <c r="P109"/>
      <c r="Q109"/>
      <c r="R109"/>
    </row>
    <row r="110" spans="3:18">
      <c r="C110"/>
      <c r="E110"/>
      <c r="G110"/>
      <c r="I110"/>
      <c r="J110"/>
      <c r="K110"/>
      <c r="L110"/>
      <c r="M110"/>
      <c r="O110"/>
      <c r="P110"/>
      <c r="Q110"/>
      <c r="R110"/>
    </row>
    <row r="111" spans="3:18">
      <c r="C111"/>
      <c r="E111"/>
      <c r="G111"/>
      <c r="I111"/>
      <c r="J111"/>
      <c r="K111"/>
      <c r="L111"/>
      <c r="M111"/>
      <c r="O111"/>
      <c r="P111"/>
      <c r="Q111"/>
      <c r="R111"/>
    </row>
  </sheetData>
  <phoneticPr fontId="0" type="noConversion"/>
  <pageMargins left="0.5" right="0.5" top="0.42" bottom="0.62" header="0.27" footer="0.21"/>
  <pageSetup scale="73" orientation="landscape" horizontalDpi="300" verticalDpi="300" r:id="rId1"/>
  <headerFooter alignWithMargins="0">
    <oddHeader>&amp;A</oddHeader>
    <oddFooter>&amp;L&amp;D
&amp;T&amp;CPage &amp;P of &amp;N&amp;R&amp;F
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Cover</vt:lpstr>
      <vt:lpstr>2001_2CE to 2002</vt:lpstr>
      <vt:lpstr>North by Risk Category </vt:lpstr>
      <vt:lpstr>Central by Risk Category</vt:lpstr>
      <vt:lpstr>North Bus. Dev.by Risk Category</vt:lpstr>
      <vt:lpstr>P &amp; S by Risk Category</vt:lpstr>
      <vt:lpstr>Storage Tranche</vt:lpstr>
      <vt:lpstr>Storage by Risk Category</vt:lpstr>
      <vt:lpstr>NNG 00-02 Rollover</vt:lpstr>
      <vt:lpstr>Capital</vt:lpstr>
      <vt:lpstr>P&amp;S Rec2</vt:lpstr>
      <vt:lpstr>Sheet1</vt:lpstr>
      <vt:lpstr>Sheet2</vt:lpstr>
      <vt:lpstr>Sheet3</vt:lpstr>
      <vt:lpstr>'2001_2CE to 2002'!Print_Area</vt:lpstr>
      <vt:lpstr>'Central by Risk Category'!Print_Area</vt:lpstr>
      <vt:lpstr>'North Bus. Dev.by Risk Category'!Print_Area</vt:lpstr>
      <vt:lpstr>'North by Risk Category '!Print_Area</vt:lpstr>
      <vt:lpstr>'P &amp; S by Risk Category'!Print_Area</vt:lpstr>
      <vt:lpstr>'P&amp;S Rec2'!Print_Area</vt:lpstr>
      <vt:lpstr>'Storage by Risk Category'!Print_Area</vt:lpstr>
      <vt:lpstr>'Central by Risk Category'!Print_Titles</vt:lpstr>
      <vt:lpstr>'North Bus. Dev.by Risk Category'!Print_Titles</vt:lpstr>
      <vt:lpstr>'North by Risk Category '!Print_Titles</vt:lpstr>
      <vt:lpstr>'P &amp; S by Risk Category'!Print_Titles</vt:lpstr>
      <vt:lpstr>'Storage by Risk Category'!Print_Titles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2001-09-21T20:37:54Z</cp:lastPrinted>
  <dcterms:created xsi:type="dcterms:W3CDTF">2000-08-10T13:32:15Z</dcterms:created>
  <dcterms:modified xsi:type="dcterms:W3CDTF">2014-09-03T13:35:27Z</dcterms:modified>
</cp:coreProperties>
</file>