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600" yWindow="510" windowWidth="14700" windowHeight="8445" activeTab="1"/>
  </bookViews>
  <sheets>
    <sheet name="Chart1" sheetId="2" r:id="rId1"/>
    <sheet name="BMSPT066" sheetId="1" r:id="rId2"/>
  </sheets>
  <externalReferences>
    <externalReference r:id="rId3"/>
    <externalReference r:id="rId4"/>
    <externalReference r:id="rId5"/>
    <externalReference r:id="rId6"/>
    <externalReference r:id="rId7"/>
  </externalReferences>
  <definedNames>
    <definedName name="_xlnm.Print_Area" localSheetId="1">BMSPT066!$A$1:$W$47</definedName>
    <definedName name="_xlnm.Print_Titles" localSheetId="1">BMSPT066!$A:$A</definedName>
  </definedNames>
  <calcPr calcId="152511" fullCalcOnLoad="1" iterate="1" iterateCount="1"/>
</workbook>
</file>

<file path=xl/calcChain.xml><?xml version="1.0" encoding="utf-8"?>
<calcChain xmlns="http://schemas.openxmlformats.org/spreadsheetml/2006/main">
  <c r="N5" i="1" l="1"/>
  <c r="E6" i="1"/>
  <c r="H6" i="1"/>
  <c r="I6" i="1"/>
  <c r="K6" i="1"/>
  <c r="L6" i="1"/>
  <c r="M6" i="1"/>
  <c r="N6" i="1"/>
  <c r="O6" i="1" s="1"/>
  <c r="Q6" i="1"/>
  <c r="E8" i="1"/>
  <c r="H8" i="1"/>
  <c r="J8" i="1" s="1"/>
  <c r="I8" i="1"/>
  <c r="N8" i="1"/>
  <c r="O8" i="1" s="1"/>
  <c r="Q8" i="1"/>
  <c r="A9" i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E9" i="1"/>
  <c r="H9" i="1"/>
  <c r="K9" i="1" s="1"/>
  <c r="X9" i="1" s="1"/>
  <c r="I9" i="1"/>
  <c r="J9" i="1"/>
  <c r="N9" i="1"/>
  <c r="Q9" i="1"/>
  <c r="V9" i="1"/>
  <c r="E10" i="1"/>
  <c r="H10" i="1"/>
  <c r="J10" i="1" s="1"/>
  <c r="I10" i="1"/>
  <c r="N10" i="1"/>
  <c r="Q10" i="1"/>
  <c r="E11" i="1"/>
  <c r="H11" i="1"/>
  <c r="V11" i="1" s="1"/>
  <c r="I11" i="1"/>
  <c r="N11" i="1"/>
  <c r="Q11" i="1"/>
  <c r="E12" i="1"/>
  <c r="K12" i="1" s="1"/>
  <c r="X12" i="1" s="1"/>
  <c r="H12" i="1"/>
  <c r="V12" i="1" s="1"/>
  <c r="I12" i="1"/>
  <c r="J12" i="1"/>
  <c r="N12" i="1"/>
  <c r="Q12" i="1"/>
  <c r="E13" i="1"/>
  <c r="H13" i="1"/>
  <c r="J13" i="1" s="1"/>
  <c r="I13" i="1"/>
  <c r="N13" i="1"/>
  <c r="Q13" i="1"/>
  <c r="E14" i="1"/>
  <c r="H14" i="1"/>
  <c r="J14" i="1" s="1"/>
  <c r="I14" i="1"/>
  <c r="N14" i="1"/>
  <c r="Q14" i="1"/>
  <c r="V14" i="1"/>
  <c r="E15" i="1"/>
  <c r="H15" i="1"/>
  <c r="J15" i="1" s="1"/>
  <c r="I15" i="1"/>
  <c r="K15" i="1"/>
  <c r="X15" i="1" s="1"/>
  <c r="N15" i="1"/>
  <c r="Q15" i="1"/>
  <c r="V15" i="1"/>
  <c r="E16" i="1"/>
  <c r="H16" i="1"/>
  <c r="I16" i="1"/>
  <c r="J16" i="1"/>
  <c r="K16" i="1"/>
  <c r="X16" i="1" s="1"/>
  <c r="N16" i="1"/>
  <c r="Q16" i="1"/>
  <c r="V16" i="1"/>
  <c r="E17" i="1"/>
  <c r="H17" i="1"/>
  <c r="I17" i="1"/>
  <c r="K17" i="1" s="1"/>
  <c r="J17" i="1"/>
  <c r="Q17" i="1"/>
  <c r="V17" i="1"/>
  <c r="E18" i="1"/>
  <c r="H18" i="1"/>
  <c r="I18" i="1"/>
  <c r="I43" i="1" s="1"/>
  <c r="Q18" i="1"/>
  <c r="E19" i="1"/>
  <c r="H19" i="1"/>
  <c r="V19" i="1" s="1"/>
  <c r="I19" i="1"/>
  <c r="Q19" i="1"/>
  <c r="E20" i="1"/>
  <c r="K20" i="1" s="1"/>
  <c r="X20" i="1" s="1"/>
  <c r="H20" i="1"/>
  <c r="V20" i="1" s="1"/>
  <c r="I20" i="1"/>
  <c r="J20" i="1"/>
  <c r="Q20" i="1"/>
  <c r="E21" i="1"/>
  <c r="H21" i="1"/>
  <c r="J21" i="1" s="1"/>
  <c r="I21" i="1"/>
  <c r="Q21" i="1"/>
  <c r="E22" i="1"/>
  <c r="H22" i="1"/>
  <c r="J22" i="1" s="1"/>
  <c r="I22" i="1"/>
  <c r="Q22" i="1"/>
  <c r="V22" i="1"/>
  <c r="E23" i="1"/>
  <c r="H23" i="1"/>
  <c r="J23" i="1" s="1"/>
  <c r="I23" i="1"/>
  <c r="K23" i="1"/>
  <c r="X23" i="1" s="1"/>
  <c r="Q23" i="1"/>
  <c r="V23" i="1"/>
  <c r="E24" i="1"/>
  <c r="H24" i="1"/>
  <c r="I24" i="1"/>
  <c r="J24" i="1"/>
  <c r="K24" i="1"/>
  <c r="X24" i="1" s="1"/>
  <c r="Q24" i="1"/>
  <c r="V24" i="1"/>
  <c r="E25" i="1"/>
  <c r="H25" i="1"/>
  <c r="I25" i="1"/>
  <c r="K25" i="1" s="1"/>
  <c r="J25" i="1"/>
  <c r="Q25" i="1"/>
  <c r="V25" i="1"/>
  <c r="E26" i="1"/>
  <c r="H26" i="1"/>
  <c r="J26" i="1" s="1"/>
  <c r="I26" i="1"/>
  <c r="Q26" i="1"/>
  <c r="E27" i="1"/>
  <c r="H27" i="1"/>
  <c r="I27" i="1"/>
  <c r="Q27" i="1"/>
  <c r="E28" i="1"/>
  <c r="H28" i="1"/>
  <c r="V28" i="1" s="1"/>
  <c r="I28" i="1"/>
  <c r="J28" i="1"/>
  <c r="Q28" i="1"/>
  <c r="E29" i="1"/>
  <c r="H29" i="1"/>
  <c r="J29" i="1" s="1"/>
  <c r="I29" i="1"/>
  <c r="Q29" i="1"/>
  <c r="E30" i="1"/>
  <c r="H30" i="1"/>
  <c r="J30" i="1" s="1"/>
  <c r="I30" i="1"/>
  <c r="Q30" i="1"/>
  <c r="V30" i="1"/>
  <c r="E31" i="1"/>
  <c r="H31" i="1"/>
  <c r="J31" i="1" s="1"/>
  <c r="I31" i="1"/>
  <c r="K31" i="1"/>
  <c r="X31" i="1" s="1"/>
  <c r="Q31" i="1"/>
  <c r="V31" i="1"/>
  <c r="E32" i="1"/>
  <c r="H32" i="1"/>
  <c r="I32" i="1"/>
  <c r="J32" i="1"/>
  <c r="K32" i="1"/>
  <c r="X32" i="1" s="1"/>
  <c r="Q32" i="1"/>
  <c r="V32" i="1"/>
  <c r="E33" i="1"/>
  <c r="H33" i="1"/>
  <c r="I33" i="1"/>
  <c r="K33" i="1" s="1"/>
  <c r="X33" i="1" s="1"/>
  <c r="J33" i="1"/>
  <c r="Q33" i="1"/>
  <c r="V33" i="1"/>
  <c r="E34" i="1"/>
  <c r="H34" i="1"/>
  <c r="I34" i="1"/>
  <c r="Q34" i="1"/>
  <c r="E35" i="1"/>
  <c r="H35" i="1"/>
  <c r="I35" i="1"/>
  <c r="Q35" i="1"/>
  <c r="E36" i="1"/>
  <c r="H36" i="1"/>
  <c r="V36" i="1" s="1"/>
  <c r="I36" i="1"/>
  <c r="J36" i="1"/>
  <c r="Q36" i="1"/>
  <c r="E37" i="1"/>
  <c r="H37" i="1"/>
  <c r="I37" i="1"/>
  <c r="J37" i="1" s="1"/>
  <c r="Q37" i="1"/>
  <c r="V37" i="1"/>
  <c r="E38" i="1"/>
  <c r="H38" i="1"/>
  <c r="J38" i="1" s="1"/>
  <c r="I38" i="1"/>
  <c r="Q38" i="1"/>
  <c r="V38" i="1"/>
  <c r="C40" i="1"/>
  <c r="D40" i="1"/>
  <c r="F40" i="1"/>
  <c r="G40" i="1"/>
  <c r="I40" i="1"/>
  <c r="I42" i="1" s="1"/>
  <c r="AA40" i="1"/>
  <c r="AA41" i="1"/>
  <c r="AA42" i="1"/>
  <c r="C43" i="1"/>
  <c r="D43" i="1"/>
  <c r="F43" i="1"/>
  <c r="G43" i="1"/>
  <c r="L9" i="1" l="1"/>
  <c r="M9" i="1"/>
  <c r="V35" i="1"/>
  <c r="J35" i="1"/>
  <c r="K27" i="1"/>
  <c r="X27" i="1" s="1"/>
  <c r="X25" i="1"/>
  <c r="E40" i="1"/>
  <c r="E42" i="1" s="1"/>
  <c r="V27" i="1"/>
  <c r="J27" i="1"/>
  <c r="K36" i="1"/>
  <c r="X36" i="1" s="1"/>
  <c r="J34" i="1"/>
  <c r="X17" i="1"/>
  <c r="K28" i="1"/>
  <c r="X28" i="1" s="1"/>
  <c r="K35" i="1"/>
  <c r="X35" i="1" s="1"/>
  <c r="Q43" i="1"/>
  <c r="Q44" i="1" s="1"/>
  <c r="H43" i="1"/>
  <c r="Q40" i="1"/>
  <c r="E43" i="1"/>
  <c r="V34" i="1"/>
  <c r="V26" i="1"/>
  <c r="K19" i="1"/>
  <c r="X19" i="1" s="1"/>
  <c r="V10" i="1"/>
  <c r="K34" i="1"/>
  <c r="X34" i="1" s="1"/>
  <c r="K26" i="1"/>
  <c r="X26" i="1" s="1"/>
  <c r="J19" i="1"/>
  <c r="K18" i="1"/>
  <c r="J11" i="1"/>
  <c r="J40" i="1" s="1"/>
  <c r="K10" i="1"/>
  <c r="X10" i="1" s="1"/>
  <c r="K8" i="1"/>
  <c r="V18" i="1"/>
  <c r="V43" i="1" s="1"/>
  <c r="V44" i="1" s="1"/>
  <c r="K11" i="1"/>
  <c r="J18" i="1"/>
  <c r="V8" i="1"/>
  <c r="K38" i="1"/>
  <c r="X38" i="1" s="1"/>
  <c r="K30" i="1"/>
  <c r="X30" i="1" s="1"/>
  <c r="V29" i="1"/>
  <c r="K22" i="1"/>
  <c r="X22" i="1" s="1"/>
  <c r="V21" i="1"/>
  <c r="K14" i="1"/>
  <c r="X14" i="1" s="1"/>
  <c r="V13" i="1"/>
  <c r="R8" i="1"/>
  <c r="H40" i="1"/>
  <c r="H42" i="1" s="1"/>
  <c r="K37" i="1"/>
  <c r="X37" i="1" s="1"/>
  <c r="K29" i="1"/>
  <c r="X29" i="1" s="1"/>
  <c r="K21" i="1"/>
  <c r="X21" i="1" s="1"/>
  <c r="N18" i="1"/>
  <c r="K13" i="1"/>
  <c r="X13" i="1" s="1"/>
  <c r="N17" i="1"/>
  <c r="S8" i="1" l="1"/>
  <c r="O9" i="1"/>
  <c r="R9" i="1"/>
  <c r="X11" i="1"/>
  <c r="K45" i="1"/>
  <c r="K46" i="1"/>
  <c r="X18" i="1"/>
  <c r="K43" i="1"/>
  <c r="N19" i="1"/>
  <c r="N20" i="1" s="1"/>
  <c r="V40" i="1"/>
  <c r="J43" i="1"/>
  <c r="K44" i="1"/>
  <c r="K40" i="1"/>
  <c r="K42" i="1" s="1"/>
  <c r="X8" i="1"/>
  <c r="X40" i="1" s="1"/>
  <c r="Y40" i="1" s="1"/>
  <c r="K47" i="1"/>
  <c r="L10" i="1"/>
  <c r="M10" i="1"/>
  <c r="N21" i="1" l="1"/>
  <c r="N22" i="1"/>
  <c r="N23" i="1"/>
  <c r="N24" i="1" s="1"/>
  <c r="L11" i="1"/>
  <c r="O10" i="1"/>
  <c r="R10" i="1"/>
  <c r="U8" i="1"/>
  <c r="S9" i="1"/>
  <c r="U9" i="1"/>
  <c r="W9" i="1" s="1"/>
  <c r="L13" i="1"/>
  <c r="M11" i="1"/>
  <c r="L12" i="1"/>
  <c r="N25" i="1" l="1"/>
  <c r="M12" i="1"/>
  <c r="W8" i="1"/>
  <c r="S10" i="1"/>
  <c r="U10" i="1" s="1"/>
  <c r="O12" i="1"/>
  <c r="R12" i="1"/>
  <c r="L14" i="1"/>
  <c r="O11" i="1"/>
  <c r="R11" i="1"/>
  <c r="W10" i="1" l="1"/>
  <c r="L16" i="1"/>
  <c r="S12" i="1"/>
  <c r="U12" i="1"/>
  <c r="W12" i="1" s="1"/>
  <c r="M13" i="1"/>
  <c r="N26" i="1"/>
  <c r="N27" i="1" s="1"/>
  <c r="N28" i="1" s="1"/>
  <c r="N29" i="1" s="1"/>
  <c r="N30" i="1" s="1"/>
  <c r="N31" i="1" s="1"/>
  <c r="N32" i="1" s="1"/>
  <c r="N33" i="1" s="1"/>
  <c r="S11" i="1"/>
  <c r="U11" i="1" s="1"/>
  <c r="L17" i="1"/>
  <c r="L18" i="1" s="1"/>
  <c r="L15" i="1"/>
  <c r="L19" i="1" l="1"/>
  <c r="W11" i="1"/>
  <c r="N34" i="1"/>
  <c r="N35" i="1" s="1"/>
  <c r="N36" i="1" s="1"/>
  <c r="N37" i="1" s="1"/>
  <c r="N38" i="1" s="1"/>
  <c r="O13" i="1"/>
  <c r="R13" i="1"/>
  <c r="M14" i="1"/>
  <c r="N40" i="1" l="1"/>
  <c r="N42" i="1" s="1"/>
  <c r="N43" i="1"/>
  <c r="M15" i="1"/>
  <c r="S13" i="1"/>
  <c r="U13" i="1"/>
  <c r="L20" i="1"/>
  <c r="R14" i="1"/>
  <c r="O14" i="1"/>
  <c r="R15" i="1" l="1"/>
  <c r="O15" i="1"/>
  <c r="S14" i="1"/>
  <c r="U14" i="1" s="1"/>
  <c r="L21" i="1"/>
  <c r="W13" i="1"/>
  <c r="M16" i="1"/>
  <c r="W14" i="1" l="1"/>
  <c r="O16" i="1"/>
  <c r="R16" i="1"/>
  <c r="M17" i="1"/>
  <c r="L22" i="1"/>
  <c r="U15" i="1"/>
  <c r="W15" i="1" s="1"/>
  <c r="S15" i="1"/>
  <c r="L23" i="1" l="1"/>
  <c r="M18" i="1"/>
  <c r="O17" i="1"/>
  <c r="S16" i="1"/>
  <c r="U16" i="1"/>
  <c r="W16" i="1" s="1"/>
  <c r="R17" i="1"/>
  <c r="L24" i="1" l="1"/>
  <c r="S17" i="1"/>
  <c r="R18" i="1"/>
  <c r="M19" i="1"/>
  <c r="O18" i="1"/>
  <c r="L25" i="1" l="1"/>
  <c r="M20" i="1"/>
  <c r="O19" i="1"/>
  <c r="S18" i="1"/>
  <c r="U18" i="1" s="1"/>
  <c r="W18" i="1" s="1"/>
  <c r="R19" i="1"/>
  <c r="U17" i="1"/>
  <c r="M21" i="1" l="1"/>
  <c r="O20" i="1"/>
  <c r="L26" i="1"/>
  <c r="W17" i="1"/>
  <c r="S19" i="1"/>
  <c r="U19" i="1" s="1"/>
  <c r="R20" i="1"/>
  <c r="W19" i="1" l="1"/>
  <c r="L27" i="1"/>
  <c r="S20" i="1"/>
  <c r="R21" i="1"/>
  <c r="M22" i="1"/>
  <c r="O21" i="1"/>
  <c r="M23" i="1" l="1"/>
  <c r="O22" i="1"/>
  <c r="U20" i="1"/>
  <c r="S21" i="1"/>
  <c r="U21" i="1" s="1"/>
  <c r="W21" i="1" s="1"/>
  <c r="R22" i="1"/>
  <c r="L28" i="1"/>
  <c r="S22" i="1" l="1"/>
  <c r="U22" i="1" s="1"/>
  <c r="R23" i="1"/>
  <c r="W20" i="1"/>
  <c r="L29" i="1"/>
  <c r="M24" i="1"/>
  <c r="O23" i="1"/>
  <c r="W22" i="1" l="1"/>
  <c r="M25" i="1"/>
  <c r="O24" i="1"/>
  <c r="L30" i="1"/>
  <c r="U23" i="1"/>
  <c r="W23" i="1" s="1"/>
  <c r="S23" i="1"/>
  <c r="R24" i="1"/>
  <c r="L31" i="1" l="1"/>
  <c r="S24" i="1"/>
  <c r="U24" i="1" s="1"/>
  <c r="W24" i="1" s="1"/>
  <c r="R25" i="1"/>
  <c r="M26" i="1"/>
  <c r="O25" i="1"/>
  <c r="L32" i="1" l="1"/>
  <c r="M27" i="1"/>
  <c r="O26" i="1"/>
  <c r="S25" i="1"/>
  <c r="U25" i="1" s="1"/>
  <c r="W25" i="1" s="1"/>
  <c r="R26" i="1"/>
  <c r="M28" i="1" l="1"/>
  <c r="O27" i="1"/>
  <c r="S26" i="1"/>
  <c r="U26" i="1" s="1"/>
  <c r="W26" i="1" s="1"/>
  <c r="R27" i="1"/>
  <c r="L33" i="1"/>
  <c r="M29" i="1" l="1"/>
  <c r="O28" i="1"/>
  <c r="L34" i="1"/>
  <c r="S27" i="1"/>
  <c r="U27" i="1"/>
  <c r="W27" i="1" s="1"/>
  <c r="R28" i="1"/>
  <c r="M30" i="1" l="1"/>
  <c r="O29" i="1"/>
  <c r="S28" i="1"/>
  <c r="U28" i="1" s="1"/>
  <c r="W28" i="1" s="1"/>
  <c r="R29" i="1"/>
  <c r="L35" i="1"/>
  <c r="L36" i="1" l="1"/>
  <c r="U29" i="1"/>
  <c r="W29" i="1" s="1"/>
  <c r="S29" i="1"/>
  <c r="R30" i="1"/>
  <c r="M31" i="1"/>
  <c r="O30" i="1"/>
  <c r="L37" i="1" l="1"/>
  <c r="M32" i="1"/>
  <c r="O31" i="1"/>
  <c r="S30" i="1"/>
  <c r="U30" i="1"/>
  <c r="W30" i="1" s="1"/>
  <c r="R31" i="1"/>
  <c r="M33" i="1" l="1"/>
  <c r="O32" i="1"/>
  <c r="U31" i="1"/>
  <c r="W31" i="1" s="1"/>
  <c r="S31" i="1"/>
  <c r="R32" i="1"/>
  <c r="L38" i="1"/>
  <c r="M34" i="1" l="1"/>
  <c r="O33" i="1"/>
  <c r="L40" i="1"/>
  <c r="L42" i="1" s="1"/>
  <c r="L43" i="1"/>
  <c r="S32" i="1"/>
  <c r="U32" i="1" s="1"/>
  <c r="W32" i="1" s="1"/>
  <c r="R33" i="1"/>
  <c r="M35" i="1" l="1"/>
  <c r="O34" i="1"/>
  <c r="U33" i="1"/>
  <c r="W33" i="1" s="1"/>
  <c r="S33" i="1"/>
  <c r="R34" i="1"/>
  <c r="S34" i="1" l="1"/>
  <c r="U34" i="1"/>
  <c r="W34" i="1" s="1"/>
  <c r="R35" i="1"/>
  <c r="M36" i="1"/>
  <c r="O35" i="1"/>
  <c r="S35" i="1" l="1"/>
  <c r="U35" i="1" s="1"/>
  <c r="W35" i="1" s="1"/>
  <c r="R36" i="1"/>
  <c r="M37" i="1"/>
  <c r="O36" i="1"/>
  <c r="S36" i="1" l="1"/>
  <c r="U36" i="1" s="1"/>
  <c r="W36" i="1" s="1"/>
  <c r="R37" i="1"/>
  <c r="M38" i="1"/>
  <c r="O37" i="1"/>
  <c r="S37" i="1" l="1"/>
  <c r="U37" i="1" s="1"/>
  <c r="W37" i="1" s="1"/>
  <c r="R38" i="1"/>
  <c r="M40" i="1"/>
  <c r="M42" i="1" s="1"/>
  <c r="M43" i="1"/>
  <c r="O38" i="1"/>
  <c r="S38" i="1" l="1"/>
  <c r="R40" i="1"/>
  <c r="R43" i="1"/>
  <c r="R44" i="1" s="1"/>
  <c r="O40" i="1"/>
  <c r="O43" i="1"/>
  <c r="S40" i="1" l="1"/>
  <c r="S43" i="1"/>
  <c r="S44" i="1" s="1"/>
  <c r="U38" i="1"/>
  <c r="W38" i="1" l="1"/>
  <c r="U40" i="1"/>
  <c r="U43" i="1"/>
  <c r="U44" i="1" s="1"/>
  <c r="W40" i="1" l="1"/>
  <c r="W43" i="1"/>
  <c r="W46" i="1" l="1"/>
  <c r="W44" i="1"/>
</calcChain>
</file>

<file path=xl/sharedStrings.xml><?xml version="1.0" encoding="utf-8"?>
<sst xmlns="http://schemas.openxmlformats.org/spreadsheetml/2006/main" count="75" uniqueCount="44">
  <si>
    <t>SWING CONTRACT VOLUMES</t>
  </si>
  <si>
    <t>3rd Party</t>
  </si>
  <si>
    <t>ECT TOTAL</t>
  </si>
  <si>
    <t xml:space="preserve"> TOTAL</t>
  </si>
  <si>
    <t>HL&amp;P</t>
  </si>
  <si>
    <t>TUFCO</t>
  </si>
  <si>
    <t>TOTAL</t>
  </si>
  <si>
    <t>CURRENT DAY</t>
  </si>
  <si>
    <t>Beginning Balance</t>
  </si>
  <si>
    <t>Ending Balance</t>
  </si>
  <si>
    <t>Variances:</t>
  </si>
  <si>
    <t>Total Projected</t>
  </si>
  <si>
    <t>VOLUME SPLIT BY Counterparties</t>
  </si>
  <si>
    <t>CP&amp;L</t>
  </si>
  <si>
    <t>TUFCO/ HL&amp;P/ CP&amp;L SWING VOLUME</t>
  </si>
  <si>
    <t>ECT LONG OR (SHORT)</t>
  </si>
  <si>
    <t>ECT LONG/(SHORT)</t>
  </si>
  <si>
    <t>Total</t>
  </si>
  <si>
    <t>MTD Adjustment</t>
  </si>
  <si>
    <t>ECT FIRST OF THE MONTH</t>
  </si>
  <si>
    <t>HPLC Total</t>
  </si>
  <si>
    <t>LONG/(SHORT)</t>
  </si>
  <si>
    <t>HPLC Excluding 3rd Party</t>
  </si>
  <si>
    <t>Net LONG/ (SHORT)</t>
  </si>
  <si>
    <t>Reinject Fees</t>
  </si>
  <si>
    <t>Value</t>
  </si>
  <si>
    <t xml:space="preserve">  </t>
  </si>
  <si>
    <t>Index:</t>
  </si>
  <si>
    <t>Fuel:</t>
  </si>
  <si>
    <t>Fuel Rate:</t>
  </si>
  <si>
    <t>Prod.Tx Rate:</t>
  </si>
  <si>
    <t>Variance:</t>
  </si>
  <si>
    <t>Previous Position:</t>
  </si>
  <si>
    <t>HPL INDEX</t>
  </si>
  <si>
    <t>HPL FIXED PRICE</t>
  </si>
  <si>
    <t>Injected Volume</t>
  </si>
  <si>
    <t>BAMMEL STORAGE ACTIVITY</t>
  </si>
  <si>
    <t>Estimated</t>
  </si>
  <si>
    <t>April 28 thru May 4</t>
  </si>
  <si>
    <t>May 5 thru May 11</t>
  </si>
  <si>
    <t>May 12 thru May 18</t>
  </si>
  <si>
    <t>May 19 thru May 25</t>
  </si>
  <si>
    <t>Projected</t>
  </si>
  <si>
    <t>Scheduled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</si>
</sst>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8" formatCode="&quot;$&quot;#,##0.00_);[Red]\(&quot;$&quot;#,##0.00\)"/>
    <numFmt numFmtId="165" formatCode="mm/dd/yy"/>
    <numFmt numFmtId="166" formatCode="&quot;$&quot;#,##0.0000_);[Red]\(&quot;$&quot;#,##0.0000\)"/>
    <numFmt numFmtId="168" formatCode="&quot;$&quot;#,##0.000_);[Red]\(&quot;$&quot;#,##0.000\)"/>
    <numFmt numFmtId="169" formatCode="0.000%"/>
    <numFmt numFmtId="170" formatCode="&quot;$&quot;#,##0.00000_);[Red]\(&quot;$&quot;#,##0.00000\)"/>
  </numFmts>
  <fonts count="25" x14ac:knownFonts="1">
    <font>
      <sz val="10"/>
      <name val="Arial"/>
    </font>
    <font>
      <b/>
      <sz val="10"/>
      <name val="Arial"/>
    </font>
    <font>
      <b/>
      <i/>
      <sz val="10"/>
      <name val="Arial"/>
    </font>
    <font>
      <sz val="10"/>
      <name val="Arial"/>
    </font>
    <font>
      <sz val="7"/>
      <name val="MS Sans Serif"/>
    </font>
    <font>
      <b/>
      <sz val="12"/>
      <name val="Arial"/>
    </font>
    <font>
      <b/>
      <sz val="8"/>
      <name val="MS Sans Serif"/>
    </font>
    <font>
      <b/>
      <sz val="8"/>
      <name val="Arial"/>
    </font>
    <font>
      <b/>
      <sz val="10"/>
      <name val="MS Sans Serif"/>
      <family val="2"/>
    </font>
    <font>
      <sz val="9"/>
      <name val="Arial"/>
    </font>
    <font>
      <b/>
      <sz val="20"/>
      <name val="Arial"/>
      <family val="2"/>
    </font>
    <font>
      <sz val="7"/>
      <name val="MS Sans Serif"/>
      <family val="2"/>
    </font>
    <font>
      <b/>
      <sz val="8"/>
      <name val="Arial"/>
      <family val="2"/>
    </font>
    <font>
      <b/>
      <sz val="18"/>
      <name val="Arial"/>
      <family val="2"/>
    </font>
    <font>
      <sz val="7"/>
      <name val="Arial"/>
      <family val="2"/>
    </font>
    <font>
      <sz val="10"/>
      <color indexed="12"/>
      <name val="Arial"/>
    </font>
    <font>
      <sz val="7"/>
      <color indexed="12"/>
      <name val="MS Sans Serif"/>
      <family val="2"/>
    </font>
    <font>
      <b/>
      <sz val="10"/>
      <color indexed="12"/>
      <name val="Arial"/>
      <family val="2"/>
    </font>
    <font>
      <b/>
      <sz val="10"/>
      <color indexed="20"/>
      <name val="Arial"/>
      <family val="2"/>
    </font>
    <font>
      <b/>
      <sz val="10"/>
      <color indexed="20"/>
      <name val="MS Sans Serif"/>
      <family val="2"/>
    </font>
    <font>
      <sz val="9.5"/>
      <name val="Arial"/>
    </font>
    <font>
      <sz val="9.5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40"/>
      <name val="MS Sans Serif"/>
      <family val="2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dotted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91">
    <xf numFmtId="0" fontId="0" fillId="0" borderId="0" xfId="0"/>
    <xf numFmtId="38" fontId="4" fillId="0" borderId="0" xfId="0" applyNumberFormat="1" applyFont="1" applyAlignment="1">
      <alignment horizontal="center"/>
    </xf>
    <xf numFmtId="38" fontId="6" fillId="0" borderId="0" xfId="0" applyNumberFormat="1" applyFont="1" applyBorder="1" applyAlignment="1">
      <alignment horizontal="center"/>
    </xf>
    <xf numFmtId="0" fontId="7" fillId="0" borderId="0" xfId="0" applyFont="1" applyAlignment="1">
      <alignment horizontal="center"/>
    </xf>
    <xf numFmtId="38" fontId="4" fillId="0" borderId="0" xfId="0" applyNumberFormat="1" applyFont="1" applyBorder="1" applyAlignment="1">
      <alignment horizontal="center"/>
    </xf>
    <xf numFmtId="38" fontId="8" fillId="0" borderId="0" xfId="0" applyNumberFormat="1" applyFont="1" applyAlignment="1">
      <alignment horizontal="center"/>
    </xf>
    <xf numFmtId="38" fontId="4" fillId="0" borderId="1" xfId="0" applyNumberFormat="1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1" fillId="0" borderId="0" xfId="0" applyFont="1" applyBorder="1" applyAlignment="1">
      <alignment horizontal="centerContinuous"/>
    </xf>
    <xf numFmtId="0" fontId="0" fillId="0" borderId="3" xfId="0" applyBorder="1" applyAlignment="1">
      <alignment horizontal="centerContinuous"/>
    </xf>
    <xf numFmtId="0" fontId="0" fillId="0" borderId="4" xfId="0" applyBorder="1" applyAlignment="1">
      <alignment horizontal="centerContinuous"/>
    </xf>
    <xf numFmtId="0" fontId="0" fillId="0" borderId="5" xfId="0" applyBorder="1" applyAlignment="1">
      <alignment horizontal="centerContinuous"/>
    </xf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Continuous"/>
    </xf>
    <xf numFmtId="0" fontId="0" fillId="0" borderId="0" xfId="0" applyBorder="1" applyAlignment="1">
      <alignment horizontal="center"/>
    </xf>
    <xf numFmtId="0" fontId="7" fillId="0" borderId="6" xfId="0" applyFont="1" applyBorder="1" applyAlignment="1">
      <alignment horizontal="center" wrapText="1"/>
    </xf>
    <xf numFmtId="0" fontId="7" fillId="0" borderId="7" xfId="0" applyFont="1" applyBorder="1" applyAlignment="1">
      <alignment horizontal="center" wrapText="1"/>
    </xf>
    <xf numFmtId="38" fontId="1" fillId="0" borderId="0" xfId="0" applyNumberFormat="1" applyFont="1" applyBorder="1" applyAlignment="1">
      <alignment horizontal="center"/>
    </xf>
    <xf numFmtId="38" fontId="8" fillId="0" borderId="0" xfId="0" applyNumberFormat="1" applyFont="1" applyBorder="1" applyAlignment="1">
      <alignment horizontal="center"/>
    </xf>
    <xf numFmtId="0" fontId="0" fillId="0" borderId="0" xfId="0" applyAlignment="1"/>
    <xf numFmtId="0" fontId="1" fillId="0" borderId="0" xfId="0" applyFont="1" applyAlignment="1"/>
    <xf numFmtId="0" fontId="7" fillId="0" borderId="8" xfId="0" applyFont="1" applyBorder="1" applyAlignment="1">
      <alignment horizontal="center"/>
    </xf>
    <xf numFmtId="0" fontId="0" fillId="0" borderId="0" xfId="0" applyBorder="1" applyAlignment="1"/>
    <xf numFmtId="0" fontId="7" fillId="0" borderId="0" xfId="0" applyFont="1" applyBorder="1" applyAlignment="1">
      <alignment horizontal="center"/>
    </xf>
    <xf numFmtId="38" fontId="4" fillId="0" borderId="1" xfId="0" applyNumberFormat="1" applyFont="1" applyBorder="1" applyAlignment="1"/>
    <xf numFmtId="0" fontId="0" fillId="0" borderId="2" xfId="0" applyBorder="1" applyAlignment="1"/>
    <xf numFmtId="0" fontId="3" fillId="0" borderId="2" xfId="0" applyFont="1" applyBorder="1" applyAlignment="1"/>
    <xf numFmtId="38" fontId="4" fillId="0" borderId="0" xfId="0" applyNumberFormat="1" applyFont="1" applyBorder="1" applyAlignment="1"/>
    <xf numFmtId="38" fontId="4" fillId="0" borderId="0" xfId="0" applyNumberFormat="1" applyFont="1" applyAlignment="1"/>
    <xf numFmtId="38" fontId="1" fillId="0" borderId="0" xfId="0" applyNumberFormat="1" applyFont="1" applyAlignment="1"/>
    <xf numFmtId="38" fontId="11" fillId="0" borderId="0" xfId="0" applyNumberFormat="1" applyFont="1" applyFill="1" applyAlignment="1"/>
    <xf numFmtId="40" fontId="0" fillId="0" borderId="0" xfId="0" applyNumberFormat="1" applyBorder="1" applyAlignment="1"/>
    <xf numFmtId="165" fontId="1" fillId="0" borderId="0" xfId="0" applyNumberFormat="1" applyFont="1" applyBorder="1" applyAlignment="1"/>
    <xf numFmtId="38" fontId="0" fillId="0" borderId="0" xfId="0" applyNumberFormat="1" applyBorder="1" applyAlignment="1"/>
    <xf numFmtId="166" fontId="0" fillId="0" borderId="0" xfId="0" applyNumberFormat="1" applyBorder="1" applyAlignment="1"/>
    <xf numFmtId="8" fontId="0" fillId="0" borderId="0" xfId="0" applyNumberFormat="1" applyBorder="1" applyAlignment="1"/>
    <xf numFmtId="38" fontId="4" fillId="0" borderId="0" xfId="0" applyNumberFormat="1" applyFont="1" applyFill="1" applyAlignment="1"/>
    <xf numFmtId="38" fontId="0" fillId="0" borderId="0" xfId="0" applyNumberFormat="1" applyAlignment="1"/>
    <xf numFmtId="0" fontId="3" fillId="0" borderId="0" xfId="0" applyFont="1" applyAlignment="1"/>
    <xf numFmtId="165" fontId="0" fillId="0" borderId="0" xfId="0" applyNumberFormat="1" applyBorder="1" applyAlignment="1"/>
    <xf numFmtId="38" fontId="6" fillId="0" borderId="9" xfId="0" applyNumberFormat="1" applyFont="1" applyBorder="1" applyAlignment="1"/>
    <xf numFmtId="38" fontId="1" fillId="0" borderId="9" xfId="0" applyNumberFormat="1" applyFont="1" applyBorder="1" applyAlignment="1"/>
    <xf numFmtId="38" fontId="1" fillId="0" borderId="0" xfId="0" applyNumberFormat="1" applyFont="1" applyBorder="1" applyAlignment="1"/>
    <xf numFmtId="38" fontId="2" fillId="0" borderId="0" xfId="0" applyNumberFormat="1" applyFont="1" applyAlignment="1"/>
    <xf numFmtId="0" fontId="3" fillId="0" borderId="0" xfId="0" applyFont="1" applyBorder="1" applyAlignment="1"/>
    <xf numFmtId="8" fontId="1" fillId="0" borderId="0" xfId="0" applyNumberFormat="1" applyFont="1" applyBorder="1" applyAlignment="1"/>
    <xf numFmtId="38" fontId="9" fillId="0" borderId="2" xfId="0" applyNumberFormat="1" applyFont="1" applyBorder="1" applyAlignment="1"/>
    <xf numFmtId="0" fontId="12" fillId="0" borderId="0" xfId="0" applyFont="1" applyAlignment="1">
      <alignment horizontal="center" wrapText="1"/>
    </xf>
    <xf numFmtId="38" fontId="11" fillId="0" borderId="0" xfId="0" applyNumberFormat="1" applyFont="1" applyAlignment="1"/>
    <xf numFmtId="0" fontId="10" fillId="0" borderId="0" xfId="0" applyFont="1" applyAlignment="1">
      <alignment horizontal="center"/>
    </xf>
    <xf numFmtId="38" fontId="1" fillId="0" borderId="0" xfId="0" applyNumberFormat="1" applyFont="1" applyAlignment="1">
      <alignment horizontal="center"/>
    </xf>
    <xf numFmtId="17" fontId="5" fillId="0" borderId="0" xfId="0" applyNumberFormat="1" applyFont="1" applyAlignment="1">
      <alignment horizontal="center"/>
    </xf>
    <xf numFmtId="17" fontId="5" fillId="0" borderId="10" xfId="0" applyNumberFormat="1" applyFont="1" applyBorder="1" applyAlignment="1">
      <alignment horizontal="center"/>
    </xf>
    <xf numFmtId="38" fontId="8" fillId="0" borderId="0" xfId="0" applyNumberFormat="1" applyFont="1" applyAlignment="1"/>
    <xf numFmtId="38" fontId="8" fillId="0" borderId="0" xfId="0" applyNumberFormat="1" applyFont="1" applyBorder="1" applyAlignment="1"/>
    <xf numFmtId="0" fontId="7" fillId="0" borderId="11" xfId="0" applyFont="1" applyBorder="1" applyAlignment="1">
      <alignment horizontal="center" wrapText="1"/>
    </xf>
    <xf numFmtId="0" fontId="0" fillId="0" borderId="12" xfId="0" applyBorder="1" applyAlignment="1">
      <alignment horizontal="center"/>
    </xf>
    <xf numFmtId="0" fontId="7" fillId="0" borderId="12" xfId="0" applyFont="1" applyBorder="1" applyAlignment="1">
      <alignment horizontal="center" wrapText="1"/>
    </xf>
    <xf numFmtId="0" fontId="7" fillId="0" borderId="8" xfId="0" applyFont="1" applyBorder="1" applyAlignment="1">
      <alignment horizontal="center" wrapText="1"/>
    </xf>
    <xf numFmtId="0" fontId="15" fillId="0" borderId="0" xfId="0" applyFont="1" applyBorder="1" applyAlignment="1"/>
    <xf numFmtId="38" fontId="16" fillId="0" borderId="0" xfId="0" applyNumberFormat="1" applyFont="1" applyFill="1" applyAlignment="1"/>
    <xf numFmtId="0" fontId="17" fillId="0" borderId="0" xfId="0" applyFont="1" applyAlignment="1">
      <alignment horizontal="left"/>
    </xf>
    <xf numFmtId="38" fontId="18" fillId="0" borderId="0" xfId="0" applyNumberFormat="1" applyFont="1" applyBorder="1" applyAlignment="1"/>
    <xf numFmtId="38" fontId="19" fillId="0" borderId="0" xfId="0" applyNumberFormat="1" applyFont="1" applyAlignment="1">
      <alignment horizontal="center"/>
    </xf>
    <xf numFmtId="38" fontId="19" fillId="0" borderId="0" xfId="0" applyNumberFormat="1" applyFont="1" applyFill="1" applyAlignment="1">
      <alignment horizontal="center"/>
    </xf>
    <xf numFmtId="170" fontId="1" fillId="0" borderId="0" xfId="0" applyNumberFormat="1" applyFont="1" applyBorder="1" applyAlignment="1"/>
    <xf numFmtId="170" fontId="22" fillId="0" borderId="0" xfId="0" applyNumberFormat="1" applyFont="1" applyBorder="1" applyAlignment="1"/>
    <xf numFmtId="38" fontId="23" fillId="0" borderId="0" xfId="0" applyNumberFormat="1" applyFont="1" applyBorder="1" applyAlignment="1">
      <alignment shrinkToFit="1"/>
    </xf>
    <xf numFmtId="0" fontId="3" fillId="0" borderId="0" xfId="0" applyFont="1" applyBorder="1" applyAlignment="1">
      <alignment shrinkToFit="1"/>
    </xf>
    <xf numFmtId="38" fontId="24" fillId="0" borderId="0" xfId="0" applyNumberFormat="1" applyFont="1" applyBorder="1" applyAlignment="1">
      <alignment horizontal="center"/>
    </xf>
    <xf numFmtId="168" fontId="24" fillId="0" borderId="0" xfId="0" applyNumberFormat="1" applyFont="1" applyBorder="1" applyAlignment="1">
      <alignment horizontal="center"/>
    </xf>
    <xf numFmtId="169" fontId="24" fillId="0" borderId="0" xfId="1" applyNumberFormat="1" applyFont="1" applyBorder="1" applyAlignment="1">
      <alignment horizontal="center"/>
    </xf>
    <xf numFmtId="38" fontId="1" fillId="0" borderId="0" xfId="0" applyNumberFormat="1" applyFont="1" applyBorder="1" applyAlignment="1">
      <alignment horizontal="left"/>
    </xf>
    <xf numFmtId="38" fontId="9" fillId="0" borderId="13" xfId="0" applyNumberFormat="1" applyFont="1" applyBorder="1" applyAlignment="1">
      <alignment horizontal="center"/>
    </xf>
    <xf numFmtId="38" fontId="9" fillId="0" borderId="2" xfId="0" applyNumberFormat="1" applyFont="1" applyBorder="1" applyAlignment="1">
      <alignment horizontal="center"/>
    </xf>
    <xf numFmtId="0" fontId="14" fillId="0" borderId="0" xfId="0" applyFont="1" applyAlignment="1">
      <alignment horizontal="center" wrapText="1"/>
    </xf>
    <xf numFmtId="1" fontId="7" fillId="0" borderId="0" xfId="0" applyNumberFormat="1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38" fontId="6" fillId="0" borderId="0" xfId="0" applyNumberFormat="1" applyFont="1" applyBorder="1" applyAlignment="1">
      <alignment horizontal="center"/>
    </xf>
    <xf numFmtId="0" fontId="13" fillId="0" borderId="14" xfId="0" applyFont="1" applyBorder="1" applyAlignment="1">
      <alignment horizontal="center"/>
    </xf>
    <xf numFmtId="0" fontId="13" fillId="0" borderId="15" xfId="0" applyFont="1" applyBorder="1" applyAlignment="1">
      <alignment horizontal="center"/>
    </xf>
    <xf numFmtId="0" fontId="13" fillId="0" borderId="16" xfId="0" applyFont="1" applyBorder="1" applyAlignment="1">
      <alignment horizontal="center"/>
    </xf>
    <xf numFmtId="38" fontId="1" fillId="0" borderId="17" xfId="0" applyNumberFormat="1" applyFont="1" applyBorder="1" applyAlignment="1">
      <alignment horizontal="center"/>
    </xf>
    <xf numFmtId="38" fontId="1" fillId="0" borderId="0" xfId="0" applyNumberFormat="1" applyFont="1" applyBorder="1" applyAlignment="1">
      <alignment horizontal="center"/>
    </xf>
    <xf numFmtId="38" fontId="1" fillId="0" borderId="18" xfId="0" applyNumberFormat="1" applyFont="1" applyBorder="1" applyAlignment="1">
      <alignment horizontal="center"/>
    </xf>
    <xf numFmtId="17" fontId="5" fillId="0" borderId="19" xfId="0" applyNumberFormat="1" applyFont="1" applyBorder="1" applyAlignment="1">
      <alignment horizontal="center"/>
    </xf>
    <xf numFmtId="17" fontId="5" fillId="0" borderId="20" xfId="0" applyNumberFormat="1" applyFont="1" applyBorder="1" applyAlignment="1">
      <alignment horizontal="center"/>
    </xf>
    <xf numFmtId="17" fontId="5" fillId="0" borderId="21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externalLink" Target="externalLinks/externalLink4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3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2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9968976215098237E-2"/>
          <c:y val="3.5593220338983052E-2"/>
          <c:w val="0.84694932781799381"/>
          <c:h val="0.9288135593220339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BMSPT066!$C$43:$D$43</c:f>
              <c:strCache>
                <c:ptCount val="2"/>
                <c:pt idx="0">
                  <c:v>0 </c:v>
                </c:pt>
                <c:pt idx="1">
                  <c:v>0 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BMSPT066!$E$42:$W$42</c:f>
              <c:numCache>
                <c:formatCode>#,##0_);[Red]\(#,##0\)</c:formatCode>
                <c:ptCount val="19"/>
                <c:pt idx="0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cat>
          <c:val>
            <c:numRef>
              <c:f>BMSPT066!$E$43:$W$43</c:f>
              <c:numCache>
                <c:formatCode>#,##0_);[Red]\(#,##0\)</c:formatCode>
                <c:ptCount val="19"/>
                <c:pt idx="0">
                  <c:v>-24771.000000000229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734734.37931034504</c:v>
                </c:pt>
                <c:pt idx="5">
                  <c:v>734734.37931034504</c:v>
                </c:pt>
                <c:pt idx="6">
                  <c:v>709963.37931034481</c:v>
                </c:pt>
                <c:pt idx="7">
                  <c:v>0</c:v>
                </c:pt>
                <c:pt idx="8">
                  <c:v>0</c:v>
                </c:pt>
                <c:pt idx="9">
                  <c:v>733750.00000000023</c:v>
                </c:pt>
                <c:pt idx="10">
                  <c:v>733750.00000000023</c:v>
                </c:pt>
                <c:pt idx="12">
                  <c:v>1064516.1290322584</c:v>
                </c:pt>
                <c:pt idx="13">
                  <c:v>-73750.000000000029</c:v>
                </c:pt>
                <c:pt idx="14">
                  <c:v>-1015537.1290322578</c:v>
                </c:pt>
                <c:pt idx="16">
                  <c:v>-24771.000000000226</c:v>
                </c:pt>
                <c:pt idx="17">
                  <c:v>0</c:v>
                </c:pt>
                <c:pt idx="18">
                  <c:v>-24771.000000000226</c:v>
                </c:pt>
              </c:numCache>
            </c:numRef>
          </c:val>
        </c:ser>
        <c:ser>
          <c:idx val="1"/>
          <c:order val="1"/>
          <c:tx>
            <c:strRef>
              <c:f>BMSPT066!$C$44:$D$44</c:f>
              <c:strCache>
                <c:ptCount val="2"/>
                <c:pt idx="0">
                  <c:v>0 </c:v>
                </c:pt>
                <c:pt idx="1">
                  <c:v>0 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BMSPT066!$E$42:$W$42</c:f>
              <c:numCache>
                <c:formatCode>#,##0_);[Red]\(#,##0\)</c:formatCode>
                <c:ptCount val="19"/>
                <c:pt idx="0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cat>
          <c:val>
            <c:numRef>
              <c:f>BMSPT066!$E$44:$W$44</c:f>
              <c:numCache>
                <c:formatCode>"$"#,##0.00_);[Red]\("$"#,##0.00\)</c:formatCode>
                <c:ptCount val="19"/>
                <c:pt idx="6" formatCode="#,##0_);[Red]\(#,##0\)">
                  <c:v>1726223.6206896552</c:v>
                </c:pt>
                <c:pt idx="12" formatCode="#,##0_);[Red]\(#,##0\)">
                  <c:v>0</c:v>
                </c:pt>
                <c:pt idx="13" formatCode="#,##0_);[Red]\(#,##0\)">
                  <c:v>0</c:v>
                </c:pt>
                <c:pt idx="14" formatCode="#,##0_);[Red]\(#,##0\)">
                  <c:v>0</c:v>
                </c:pt>
                <c:pt idx="16" formatCode="#,##0_);[Red]\(#,##0\)">
                  <c:v>0</c:v>
                </c:pt>
                <c:pt idx="17" formatCode="#,##0_);[Red]\(#,##0\)">
                  <c:v>0</c:v>
                </c:pt>
                <c:pt idx="18" formatCode="#,##0_);[Red]\(#,##0\)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4935520"/>
        <c:axId val="154936080"/>
      </c:barChart>
      <c:catAx>
        <c:axId val="154935520"/>
        <c:scaling>
          <c:orientation val="minMax"/>
        </c:scaling>
        <c:delete val="0"/>
        <c:axPos val="b"/>
        <c:numFmt formatCode="#,##0_);[Red]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49360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49360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[Red]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493552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829369183040335"/>
          <c:y val="0.46440677966101696"/>
          <c:w val="4.7569803516028956E-2"/>
          <c:h val="7.288135593220339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"/>
  <sheetViews>
    <sheetView workbookViewId="0" zoomToFit="1"/>
  </sheetViews>
  <pageMargins left="0.75" right="0.75" top="1" bottom="1" header="0.5" footer="0.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10675" cy="561975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AM-3R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BAM-EG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BAM-hplr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Logistics/TUFCO/TUFCO%20200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BMSPT04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mmel Cumulative"/>
      <sheetName val="BAM-3RD"/>
    </sheetNames>
    <sheetDataSet>
      <sheetData sheetId="0"/>
      <sheetData sheetId="1">
        <row r="2479">
          <cell r="BK2479">
            <v>33216</v>
          </cell>
        </row>
        <row r="2480">
          <cell r="BK2480">
            <v>33216</v>
          </cell>
        </row>
        <row r="2481">
          <cell r="BK2481">
            <v>33539.620689655174</v>
          </cell>
        </row>
        <row r="2482">
          <cell r="BK2482">
            <v>33540</v>
          </cell>
        </row>
        <row r="2483">
          <cell r="BK2483">
            <v>33540</v>
          </cell>
        </row>
        <row r="2484">
          <cell r="BK2484">
            <v>33540</v>
          </cell>
        </row>
        <row r="2485">
          <cell r="BK2485">
            <v>33540</v>
          </cell>
        </row>
        <row r="2486">
          <cell r="BK2486">
            <v>33540</v>
          </cell>
        </row>
        <row r="2487">
          <cell r="BK2487">
            <v>33397</v>
          </cell>
        </row>
        <row r="2488">
          <cell r="BK2488">
            <v>33397.017241379312</v>
          </cell>
        </row>
        <row r="2489">
          <cell r="BK2489">
            <v>33397.017241379312</v>
          </cell>
        </row>
        <row r="2490">
          <cell r="BK2490">
            <v>33397.017241379312</v>
          </cell>
        </row>
        <row r="2491">
          <cell r="BK2491">
            <v>33397.017241379312</v>
          </cell>
        </row>
        <row r="2492">
          <cell r="BK2492">
            <v>33397.017241379312</v>
          </cell>
        </row>
        <row r="2493">
          <cell r="BK2493">
            <v>33397.017241379312</v>
          </cell>
        </row>
        <row r="2494">
          <cell r="BK2494">
            <v>33397.017241379312</v>
          </cell>
        </row>
        <row r="2495">
          <cell r="BK2495">
            <v>33397.017241379312</v>
          </cell>
        </row>
        <row r="2496">
          <cell r="BK2496">
            <v>33397.017241379312</v>
          </cell>
        </row>
        <row r="2497">
          <cell r="BK2497">
            <v>33397.017241379312</v>
          </cell>
        </row>
        <row r="2498">
          <cell r="BK2498">
            <v>33397.017241379312</v>
          </cell>
        </row>
        <row r="2499">
          <cell r="BK2499">
            <v>33397.017241379312</v>
          </cell>
        </row>
        <row r="2500">
          <cell r="BK2500">
            <v>33397.017241379312</v>
          </cell>
        </row>
        <row r="2501">
          <cell r="BK2501">
            <v>33397.017241379312</v>
          </cell>
        </row>
        <row r="2502">
          <cell r="BK2502">
            <v>33397.017241379312</v>
          </cell>
        </row>
        <row r="2503">
          <cell r="BK2503">
            <v>33397.017241379312</v>
          </cell>
        </row>
        <row r="2504">
          <cell r="BK2504">
            <v>33397.017241379312</v>
          </cell>
        </row>
        <row r="2505">
          <cell r="BK2505">
            <v>33397.017241379312</v>
          </cell>
        </row>
        <row r="2506">
          <cell r="BK2506">
            <v>33397.017241379312</v>
          </cell>
        </row>
        <row r="2507">
          <cell r="BK2507">
            <v>33397.017241379312</v>
          </cell>
        </row>
        <row r="2508">
          <cell r="BK2508">
            <v>33397.017241379312</v>
          </cell>
        </row>
        <row r="2509">
          <cell r="BK2509">
            <v>33397.017241379304</v>
          </cell>
        </row>
        <row r="2511">
          <cell r="BK2511">
            <v>1035803.0000000007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BAM-EGS"/>
    </sheetNames>
    <sheetDataSet>
      <sheetData sheetId="0"/>
      <sheetData sheetId="1">
        <row r="9">
          <cell r="BC9">
            <v>1000000</v>
          </cell>
        </row>
        <row r="12">
          <cell r="BC12">
            <v>0</v>
          </cell>
        </row>
        <row r="13">
          <cell r="BC13">
            <v>0</v>
          </cell>
        </row>
        <row r="14">
          <cell r="BC14">
            <v>1000000</v>
          </cell>
        </row>
        <row r="15">
          <cell r="BC15">
            <v>0</v>
          </cell>
        </row>
        <row r="16">
          <cell r="BC16">
            <v>0</v>
          </cell>
        </row>
        <row r="17">
          <cell r="BC17">
            <v>0</v>
          </cell>
        </row>
        <row r="18">
          <cell r="BC18">
            <v>0</v>
          </cell>
        </row>
        <row r="19">
          <cell r="BC19">
            <v>0</v>
          </cell>
        </row>
        <row r="20">
          <cell r="BC20">
            <v>0</v>
          </cell>
        </row>
        <row r="21">
          <cell r="BC21">
            <v>0</v>
          </cell>
        </row>
        <row r="22">
          <cell r="BC22">
            <v>0</v>
          </cell>
        </row>
        <row r="23">
          <cell r="BC23">
            <v>0</v>
          </cell>
        </row>
        <row r="24">
          <cell r="BC24">
            <v>0</v>
          </cell>
        </row>
        <row r="25">
          <cell r="BC25">
            <v>0</v>
          </cell>
        </row>
        <row r="26">
          <cell r="BC26">
            <v>0</v>
          </cell>
        </row>
        <row r="27">
          <cell r="BC27">
            <v>0</v>
          </cell>
        </row>
        <row r="28">
          <cell r="BC28">
            <v>0</v>
          </cell>
        </row>
        <row r="29">
          <cell r="BC29">
            <v>0</v>
          </cell>
        </row>
        <row r="30">
          <cell r="BC30">
            <v>0</v>
          </cell>
        </row>
        <row r="31">
          <cell r="BC31">
            <v>0</v>
          </cell>
        </row>
        <row r="32">
          <cell r="BC32">
            <v>0</v>
          </cell>
        </row>
        <row r="33">
          <cell r="BC33">
            <v>0</v>
          </cell>
        </row>
        <row r="34">
          <cell r="BC34">
            <v>0</v>
          </cell>
        </row>
        <row r="35">
          <cell r="BC35">
            <v>0</v>
          </cell>
        </row>
        <row r="36">
          <cell r="BC36">
            <v>0</v>
          </cell>
        </row>
        <row r="37">
          <cell r="BC37">
            <v>0</v>
          </cell>
        </row>
        <row r="38">
          <cell r="BC38">
            <v>0</v>
          </cell>
        </row>
        <row r="39">
          <cell r="BC39">
            <v>0</v>
          </cell>
        </row>
        <row r="40">
          <cell r="BC40">
            <v>0</v>
          </cell>
        </row>
        <row r="41">
          <cell r="BC41">
            <v>0</v>
          </cell>
        </row>
        <row r="42">
          <cell r="BC42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BAM-EGS"/>
    </sheetNames>
    <sheetDataSet>
      <sheetData sheetId="0"/>
      <sheetData sheetId="1">
        <row r="9">
          <cell r="BC9">
            <v>500000</v>
          </cell>
        </row>
        <row r="12">
          <cell r="BC12">
            <v>147014</v>
          </cell>
        </row>
        <row r="13">
          <cell r="BC13">
            <v>106804</v>
          </cell>
        </row>
        <row r="14">
          <cell r="BC14">
            <v>-961786</v>
          </cell>
        </row>
        <row r="15">
          <cell r="BC15">
            <v>77920</v>
          </cell>
        </row>
        <row r="16">
          <cell r="BC16">
            <v>252040</v>
          </cell>
        </row>
        <row r="17">
          <cell r="BC17">
            <v>260900</v>
          </cell>
        </row>
        <row r="18">
          <cell r="BC18">
            <v>215620</v>
          </cell>
        </row>
        <row r="19">
          <cell r="BC19">
            <v>219835</v>
          </cell>
        </row>
        <row r="20">
          <cell r="BC20">
            <v>206424</v>
          </cell>
        </row>
        <row r="21">
          <cell r="BC21">
            <v>-1125.9545454545455</v>
          </cell>
        </row>
        <row r="22">
          <cell r="BC22">
            <v>-1125.9545454545462</v>
          </cell>
        </row>
        <row r="23">
          <cell r="BC23">
            <v>-1125.9545454545471</v>
          </cell>
        </row>
        <row r="24">
          <cell r="BC24">
            <v>-1125.954545454548</v>
          </cell>
        </row>
        <row r="25">
          <cell r="BC25">
            <v>-1125.9545454545489</v>
          </cell>
        </row>
        <row r="26">
          <cell r="BC26">
            <v>-1125.95454545455</v>
          </cell>
        </row>
        <row r="27">
          <cell r="BC27">
            <v>-1125.9545454545514</v>
          </cell>
        </row>
        <row r="28">
          <cell r="BC28">
            <v>-1125.9545454545528</v>
          </cell>
        </row>
        <row r="29">
          <cell r="BC29">
            <v>-1125.9545454545546</v>
          </cell>
        </row>
        <row r="30">
          <cell r="BC30">
            <v>-1125.9545454545564</v>
          </cell>
        </row>
        <row r="31">
          <cell r="BC31">
            <v>-1125.9545454545587</v>
          </cell>
        </row>
        <row r="32">
          <cell r="BC32">
            <v>-1125.954545454556</v>
          </cell>
        </row>
        <row r="33">
          <cell r="BC33">
            <v>-1125.9545454545587</v>
          </cell>
        </row>
        <row r="34">
          <cell r="BC34">
            <v>-1125.9545454545619</v>
          </cell>
        </row>
        <row r="35">
          <cell r="BC35">
            <v>-1125.9545454545587</v>
          </cell>
        </row>
        <row r="36">
          <cell r="BC36">
            <v>-1125.9545454545546</v>
          </cell>
        </row>
        <row r="37">
          <cell r="BC37">
            <v>-1125.9545454545587</v>
          </cell>
        </row>
        <row r="38">
          <cell r="BC38">
            <v>-1125.9545454545646</v>
          </cell>
        </row>
        <row r="39">
          <cell r="BC39">
            <v>-1125.9545454545587</v>
          </cell>
        </row>
        <row r="40">
          <cell r="BC40">
            <v>-1125.9545454545489</v>
          </cell>
        </row>
        <row r="41">
          <cell r="BC41">
            <v>-1125.9545454545587</v>
          </cell>
        </row>
        <row r="42">
          <cell r="BC42">
            <v>-1125.9545454545878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***01"/>
      <sheetName val="***02"/>
      <sheetName val="***03"/>
      <sheetName val="***04"/>
      <sheetName val="***05"/>
      <sheetName val="***06"/>
      <sheetName val="***07"/>
      <sheetName val="***08"/>
      <sheetName val="***09"/>
      <sheetName val="***10"/>
      <sheetName val="***11"/>
      <sheetName val="***12"/>
      <sheetName val="***13"/>
      <sheetName val="***14"/>
      <sheetName val="***15"/>
      <sheetName val="***16"/>
      <sheetName val="***17"/>
      <sheetName val="***18"/>
      <sheetName val="***19"/>
      <sheetName val="***21"/>
      <sheetName val="Jan"/>
      <sheetName val="Jan 99a"/>
      <sheetName val="Feb"/>
      <sheetName val="Mar"/>
      <sheetName val="Apr"/>
      <sheetName val="May"/>
      <sheetName val="June"/>
      <sheetName val="Notes"/>
      <sheetName val="Obligation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>
        <row r="10">
          <cell r="J10">
            <v>30000</v>
          </cell>
        </row>
        <row r="16">
          <cell r="K16">
            <v>47500</v>
          </cell>
        </row>
        <row r="17">
          <cell r="K17">
            <v>32500</v>
          </cell>
        </row>
        <row r="18">
          <cell r="K18">
            <v>32500</v>
          </cell>
        </row>
        <row r="19">
          <cell r="K19">
            <v>30000</v>
          </cell>
        </row>
        <row r="20">
          <cell r="K20">
            <v>5000</v>
          </cell>
        </row>
        <row r="21">
          <cell r="K21">
            <v>18750</v>
          </cell>
        </row>
        <row r="22">
          <cell r="K22">
            <v>30000</v>
          </cell>
        </row>
        <row r="23">
          <cell r="K23">
            <v>0</v>
          </cell>
        </row>
        <row r="24">
          <cell r="K24">
            <v>0</v>
          </cell>
        </row>
      </sheetData>
      <sheetData sheetId="26"/>
      <sheetData sheetId="27"/>
      <sheetData sheetId="28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1"/>
      <sheetName val="BMSPT066"/>
    </sheetNames>
    <sheetDataSet>
      <sheetData sheetId="0" refreshError="1"/>
      <sheetData sheetId="1">
        <row r="34">
          <cell r="K34">
            <v>357380</v>
          </cell>
        </row>
        <row r="35">
          <cell r="K35">
            <v>346570</v>
          </cell>
        </row>
        <row r="36">
          <cell r="K36">
            <v>347250</v>
          </cell>
        </row>
        <row r="37">
          <cell r="K37">
            <v>283020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O50"/>
  <sheetViews>
    <sheetView tabSelected="1" topLeftCell="O27" workbookViewId="0">
      <selection activeCell="W47" sqref="W47"/>
    </sheetView>
  </sheetViews>
  <sheetFormatPr defaultRowHeight="12.75" x14ac:dyDescent="0.2"/>
  <cols>
    <col min="1" max="1" width="8.42578125" style="21" customWidth="1"/>
    <col min="2" max="3" width="10.7109375" style="20" customWidth="1"/>
    <col min="4" max="4" width="9.42578125" style="20" customWidth="1"/>
    <col min="5" max="5" width="11.42578125" style="39" customWidth="1"/>
    <col min="6" max="6" width="10.42578125" style="39" customWidth="1"/>
    <col min="7" max="7" width="8.140625" style="39" customWidth="1"/>
    <col min="8" max="8" width="11.5703125" style="39" customWidth="1"/>
    <col min="9" max="9" width="10.28515625" style="39" customWidth="1"/>
    <col min="10" max="10" width="11.42578125" style="39" customWidth="1"/>
    <col min="11" max="11" width="11.42578125" style="38" customWidth="1"/>
    <col min="12" max="12" width="6.5703125" style="20" customWidth="1"/>
    <col min="13" max="13" width="6.85546875" style="20" customWidth="1"/>
    <col min="14" max="15" width="10.7109375" style="20" bestFit="1" customWidth="1"/>
    <col min="16" max="16" width="2.140625" style="20" customWidth="1"/>
    <col min="17" max="17" width="13.7109375" style="20" customWidth="1"/>
    <col min="18" max="18" width="12.42578125" style="20" customWidth="1"/>
    <col min="19" max="19" width="12.85546875" style="20" customWidth="1"/>
    <col min="20" max="20" width="1.85546875" style="20" customWidth="1"/>
    <col min="21" max="21" width="12" style="20" customWidth="1"/>
    <col min="22" max="22" width="12.140625" style="20" customWidth="1"/>
    <col min="23" max="23" width="13.5703125" style="20" customWidth="1"/>
    <col min="24" max="24" width="10.42578125" style="20" customWidth="1"/>
    <col min="25" max="25" width="11.7109375" style="20" customWidth="1"/>
    <col min="26" max="26" width="10" style="20" customWidth="1"/>
    <col min="27" max="27" width="10.28515625" style="20" customWidth="1"/>
    <col min="28" max="28" width="10.140625" style="20" customWidth="1"/>
    <col min="29" max="30" width="9.140625" style="20"/>
    <col min="31" max="31" width="8.140625" style="20" customWidth="1"/>
    <col min="32" max="32" width="9.7109375" style="20" customWidth="1"/>
    <col min="33" max="33" width="10.5703125" style="20" customWidth="1"/>
    <col min="34" max="35" width="11.28515625" style="20" customWidth="1"/>
    <col min="36" max="36" width="9.28515625" style="20" customWidth="1"/>
    <col min="37" max="37" width="9.140625" style="20"/>
    <col min="38" max="38" width="12" style="20" customWidth="1"/>
    <col min="39" max="39" width="12.7109375" style="20" customWidth="1"/>
    <col min="40" max="16384" width="9.140625" style="20"/>
  </cols>
  <sheetData>
    <row r="1" spans="1:41" ht="38.25" customHeight="1" thickTop="1" x14ac:dyDescent="0.4">
      <c r="A1" s="82" t="s">
        <v>36</v>
      </c>
      <c r="B1" s="83"/>
      <c r="C1" s="83"/>
      <c r="D1" s="83"/>
      <c r="E1" s="84"/>
      <c r="F1" s="50" t="s">
        <v>26</v>
      </c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</row>
    <row r="2" spans="1:41" ht="16.5" customHeight="1" thickBot="1" x14ac:dyDescent="0.25">
      <c r="A2" s="85" t="s">
        <v>12</v>
      </c>
      <c r="B2" s="86"/>
      <c r="C2" s="86"/>
      <c r="D2" s="86"/>
      <c r="E2" s="87"/>
      <c r="F2" s="51"/>
      <c r="G2" s="51"/>
      <c r="H2" s="51"/>
      <c r="I2" s="51"/>
      <c r="J2" s="51"/>
      <c r="K2" s="51"/>
      <c r="T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</row>
    <row r="3" spans="1:41" ht="16.5" customHeight="1" thickBot="1" x14ac:dyDescent="0.3">
      <c r="A3" s="88">
        <v>37012</v>
      </c>
      <c r="B3" s="89"/>
      <c r="C3" s="89"/>
      <c r="D3" s="89"/>
      <c r="E3" s="90"/>
      <c r="F3" s="52"/>
      <c r="G3" s="52"/>
      <c r="H3" s="52"/>
      <c r="I3" s="52"/>
      <c r="J3" s="52"/>
      <c r="K3" s="53"/>
      <c r="L3" s="9" t="s">
        <v>0</v>
      </c>
      <c r="M3" s="10"/>
      <c r="N3" s="10"/>
      <c r="O3" s="11"/>
      <c r="Q3" s="78" t="s">
        <v>16</v>
      </c>
      <c r="R3" s="79"/>
      <c r="S3" s="79"/>
      <c r="T3" s="57"/>
      <c r="U3" s="78" t="s">
        <v>21</v>
      </c>
      <c r="V3" s="79"/>
      <c r="W3" s="80"/>
      <c r="X3" s="14"/>
      <c r="Y3" s="15"/>
      <c r="Z3" s="15"/>
      <c r="AA3" s="15"/>
      <c r="AB3" s="15"/>
      <c r="AC3" s="23"/>
      <c r="AD3" s="23"/>
      <c r="AE3" s="23"/>
      <c r="AF3" s="23"/>
      <c r="AG3" s="23"/>
      <c r="AH3" s="23"/>
      <c r="AI3" s="23"/>
    </row>
    <row r="4" spans="1:41" ht="47.25" customHeight="1" thickTop="1" thickBot="1" x14ac:dyDescent="0.25">
      <c r="C4" s="81" t="s">
        <v>33</v>
      </c>
      <c r="D4" s="81"/>
      <c r="E4" s="81"/>
      <c r="F4" s="81" t="s">
        <v>34</v>
      </c>
      <c r="G4" s="81"/>
      <c r="H4" s="81"/>
      <c r="I4" s="81"/>
      <c r="J4" s="81"/>
      <c r="K4" s="3" t="s">
        <v>3</v>
      </c>
      <c r="L4" s="22" t="s">
        <v>4</v>
      </c>
      <c r="M4" s="22" t="s">
        <v>13</v>
      </c>
      <c r="N4" s="22" t="s">
        <v>5</v>
      </c>
      <c r="O4" s="22" t="s">
        <v>6</v>
      </c>
      <c r="P4" s="3"/>
      <c r="Q4" s="17" t="s">
        <v>19</v>
      </c>
      <c r="R4" s="16" t="s">
        <v>14</v>
      </c>
      <c r="S4" s="56" t="s">
        <v>15</v>
      </c>
      <c r="T4" s="58"/>
      <c r="U4" s="59" t="s">
        <v>2</v>
      </c>
      <c r="V4" s="59" t="s">
        <v>22</v>
      </c>
      <c r="W4" s="59" t="s">
        <v>23</v>
      </c>
      <c r="X4" s="24"/>
      <c r="Y4" s="24"/>
      <c r="Z4" s="24"/>
      <c r="AA4" s="24"/>
      <c r="AB4" s="24"/>
      <c r="AC4" s="23"/>
      <c r="AD4" s="23"/>
      <c r="AE4" s="12"/>
      <c r="AF4" s="8"/>
      <c r="AG4" s="8"/>
      <c r="AH4" s="13"/>
      <c r="AI4" s="13"/>
      <c r="AJ4" s="8"/>
      <c r="AK4" s="8"/>
      <c r="AL4" s="13"/>
      <c r="AM4" s="13"/>
      <c r="AN4" s="23"/>
      <c r="AO4" s="23"/>
    </row>
    <row r="5" spans="1:41" ht="22.5" x14ac:dyDescent="0.2">
      <c r="C5" s="48" t="s">
        <v>18</v>
      </c>
      <c r="D5" s="48" t="s">
        <v>7</v>
      </c>
      <c r="E5" s="2" t="s">
        <v>17</v>
      </c>
      <c r="F5" s="48" t="s">
        <v>18</v>
      </c>
      <c r="G5" s="48" t="s">
        <v>7</v>
      </c>
      <c r="H5" s="2" t="s">
        <v>17</v>
      </c>
      <c r="I5" s="2" t="s">
        <v>1</v>
      </c>
      <c r="J5" s="2" t="s">
        <v>20</v>
      </c>
      <c r="K5" s="3"/>
      <c r="L5" s="24">
        <v>0</v>
      </c>
      <c r="M5" s="24">
        <v>0</v>
      </c>
      <c r="N5" s="77">
        <f>[4]May!$J$10</f>
        <v>30000</v>
      </c>
      <c r="O5" s="24"/>
      <c r="P5" s="3"/>
      <c r="Q5" s="24"/>
      <c r="R5" s="24"/>
      <c r="S5" s="24"/>
      <c r="T5" s="24"/>
      <c r="U5" s="24"/>
      <c r="V5" s="24"/>
      <c r="W5" s="24"/>
      <c r="X5" s="4" t="s">
        <v>24</v>
      </c>
      <c r="Y5" s="4"/>
      <c r="Z5" s="24"/>
      <c r="AA5" s="24"/>
      <c r="AB5" s="24"/>
      <c r="AC5" s="23"/>
      <c r="AD5" s="23"/>
      <c r="AE5" s="12"/>
      <c r="AF5" s="8"/>
      <c r="AG5" s="8"/>
      <c r="AH5" s="13"/>
      <c r="AI5" s="13"/>
      <c r="AJ5" s="8"/>
      <c r="AK5" s="8"/>
      <c r="AL5" s="13"/>
      <c r="AM5" s="13"/>
      <c r="AN5" s="23"/>
      <c r="AO5" s="23"/>
    </row>
    <row r="6" spans="1:41" ht="29.25" customHeight="1" x14ac:dyDescent="0.2">
      <c r="B6" s="21"/>
      <c r="C6" s="21"/>
      <c r="D6" s="21"/>
      <c r="E6" s="25">
        <f>+'[3]BAM-EGS'!$BC$9</f>
        <v>500000</v>
      </c>
      <c r="F6" s="25"/>
      <c r="G6" s="25"/>
      <c r="H6" s="25">
        <f>+'[2]BAM-EGS'!$BC$9</f>
        <v>1000000</v>
      </c>
      <c r="I6" s="6">
        <f>'[1]BAM-3RD'!$BK$2511</f>
        <v>1035803.0000000007</v>
      </c>
      <c r="J6" s="6"/>
      <c r="K6" s="6">
        <f>SUM(E6,H6,I6)</f>
        <v>2535803.0000000009</v>
      </c>
      <c r="L6" s="4">
        <f>L5*30</f>
        <v>0</v>
      </c>
      <c r="M6" s="4">
        <f>M5*30</f>
        <v>0</v>
      </c>
      <c r="N6" s="4">
        <f>N5*31</f>
        <v>930000</v>
      </c>
      <c r="O6" s="4">
        <f>SUM(L6:N6)</f>
        <v>930000</v>
      </c>
      <c r="P6" s="4"/>
      <c r="Q6" s="25">
        <f>+'[3]BAM-EGS'!$BC$9+'[2]BAM-EGS'!$BC$9</f>
        <v>1500000</v>
      </c>
      <c r="R6" s="4"/>
      <c r="S6" s="4"/>
      <c r="T6" s="4"/>
      <c r="U6" s="4"/>
      <c r="V6" s="4"/>
      <c r="W6" s="4"/>
      <c r="X6" s="76" t="s">
        <v>35</v>
      </c>
      <c r="Y6" s="4" t="s">
        <v>25</v>
      </c>
      <c r="Z6" s="4"/>
      <c r="AA6" s="4"/>
      <c r="AB6" s="4"/>
      <c r="AC6" s="14"/>
      <c r="AD6" s="14"/>
      <c r="AE6" s="12"/>
      <c r="AF6" s="13"/>
      <c r="AG6" s="13"/>
      <c r="AH6" s="12"/>
      <c r="AI6" s="12"/>
      <c r="AJ6" s="13"/>
      <c r="AK6" s="13"/>
      <c r="AL6" s="12"/>
      <c r="AM6" s="12"/>
      <c r="AN6" s="23"/>
      <c r="AO6" s="23"/>
    </row>
    <row r="7" spans="1:41" x14ac:dyDescent="0.2">
      <c r="A7" s="21" t="s">
        <v>8</v>
      </c>
      <c r="B7" s="21"/>
      <c r="C7" s="21"/>
      <c r="D7" s="21"/>
      <c r="E7" s="74"/>
      <c r="F7" s="75"/>
      <c r="G7" s="47"/>
      <c r="H7" s="26"/>
      <c r="I7" s="7"/>
      <c r="J7" s="7"/>
      <c r="K7" s="27"/>
      <c r="L7" s="23"/>
      <c r="M7" s="23"/>
      <c r="N7" s="60"/>
      <c r="O7" s="23"/>
      <c r="P7" s="23"/>
      <c r="Q7" s="23"/>
      <c r="R7" s="23"/>
      <c r="S7" s="23"/>
      <c r="T7" s="23"/>
      <c r="U7" s="23"/>
      <c r="V7" s="23"/>
      <c r="W7" s="4"/>
      <c r="X7" s="4"/>
      <c r="Y7" s="23"/>
      <c r="Z7" s="23"/>
      <c r="AA7" s="23"/>
      <c r="AB7" s="23"/>
      <c r="AC7" s="15"/>
      <c r="AD7" s="15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</row>
    <row r="8" spans="1:41" x14ac:dyDescent="0.2">
      <c r="A8" s="21">
        <v>1</v>
      </c>
      <c r="B8" s="62" t="s">
        <v>43</v>
      </c>
      <c r="C8" s="49"/>
      <c r="D8" s="49"/>
      <c r="E8" s="55">
        <f>+'[3]BAM-EGS'!$BC12</f>
        <v>147014</v>
      </c>
      <c r="F8" s="49"/>
      <c r="G8" s="28"/>
      <c r="H8" s="54">
        <f>+'[2]BAM-EGS'!$BC12</f>
        <v>0</v>
      </c>
      <c r="I8" s="29">
        <f>'[1]BAM-3RD'!$BK2479</f>
        <v>33216</v>
      </c>
      <c r="J8" s="54">
        <f>SUM(H8:I8)</f>
        <v>33216</v>
      </c>
      <c r="K8" s="30">
        <f>SUM(E8,H8,I8)</f>
        <v>180230</v>
      </c>
      <c r="L8" s="31">
        <v>0</v>
      </c>
      <c r="M8" s="29">
        <v>0</v>
      </c>
      <c r="N8" s="61">
        <f>[4]May!$K16</f>
        <v>47500</v>
      </c>
      <c r="O8" s="4">
        <f>SUM(L8:N8)</f>
        <v>47500</v>
      </c>
      <c r="P8" s="5"/>
      <c r="Q8" s="5">
        <f>$Q$6/31</f>
        <v>48387.096774193546</v>
      </c>
      <c r="R8" s="64">
        <f t="shared" ref="R8:R16" si="0">IF(L8&gt;0,$L$5-L8,0)+($M$5-M8)+($N$5-N8)</f>
        <v>-17500</v>
      </c>
      <c r="S8" s="5">
        <f>E8-Q8-R8</f>
        <v>116126.90322580645</v>
      </c>
      <c r="T8" s="5"/>
      <c r="U8" s="5">
        <f>SUM(Q8:S8)</f>
        <v>147014</v>
      </c>
      <c r="V8" s="19">
        <f>SUM(H8)</f>
        <v>0</v>
      </c>
      <c r="W8" s="19">
        <f>SUM(U8:V8)</f>
        <v>147014</v>
      </c>
      <c r="X8" s="4">
        <f>IF(K8&gt;0,K8,0)</f>
        <v>180230</v>
      </c>
      <c r="Y8" s="19"/>
      <c r="Z8" s="19"/>
      <c r="AA8" s="19"/>
      <c r="AB8" s="19"/>
      <c r="AC8" s="32"/>
      <c r="AD8" s="23"/>
      <c r="AE8" s="33"/>
      <c r="AF8" s="34"/>
      <c r="AG8" s="34"/>
      <c r="AH8" s="34"/>
      <c r="AI8" s="34"/>
      <c r="AJ8" s="35"/>
      <c r="AK8" s="35"/>
      <c r="AL8" s="35"/>
      <c r="AM8" s="36"/>
      <c r="AN8" s="23"/>
      <c r="AO8" s="23"/>
    </row>
    <row r="9" spans="1:41" x14ac:dyDescent="0.2">
      <c r="A9" s="21">
        <f t="shared" ref="A9:A36" si="1">A8+1</f>
        <v>2</v>
      </c>
      <c r="B9" s="62" t="s">
        <v>43</v>
      </c>
      <c r="C9" s="49"/>
      <c r="D9" s="49"/>
      <c r="E9" s="55">
        <f>+'[3]BAM-EGS'!$BC13</f>
        <v>106804</v>
      </c>
      <c r="F9" s="49"/>
      <c r="G9" s="28"/>
      <c r="H9" s="54">
        <f>+'[2]BAM-EGS'!$BC13</f>
        <v>0</v>
      </c>
      <c r="I9" s="29">
        <f>'[1]BAM-3RD'!$BK2480</f>
        <v>33216</v>
      </c>
      <c r="J9" s="54">
        <f t="shared" ref="J9:J36" si="2">SUM(H9:I9)</f>
        <v>33216</v>
      </c>
      <c r="K9" s="30">
        <f t="shared" ref="K9:K36" si="3">SUM(E9,H9,I9)</f>
        <v>140020</v>
      </c>
      <c r="L9" s="37">
        <f>((L$6)-SUM(L$8:L8))/($A$38-$A8)</f>
        <v>0</v>
      </c>
      <c r="M9" s="37">
        <f>((M$6)-SUM(M$8:M8))/($A$38-$A8)</f>
        <v>0</v>
      </c>
      <c r="N9" s="61">
        <f>[4]May!$K17</f>
        <v>32500</v>
      </c>
      <c r="O9" s="4">
        <f t="shared" ref="O9:O36" si="4">SUM(L9:N9)</f>
        <v>32500</v>
      </c>
      <c r="P9" s="5"/>
      <c r="Q9" s="5">
        <f t="shared" ref="Q9:Q37" si="5">$Q$6/31</f>
        <v>48387.096774193546</v>
      </c>
      <c r="R9" s="64">
        <f t="shared" si="0"/>
        <v>-2500</v>
      </c>
      <c r="S9" s="5">
        <f t="shared" ref="S9:S36" si="6">E9-Q9-R9</f>
        <v>60916.903225806454</v>
      </c>
      <c r="T9" s="5"/>
      <c r="U9" s="5">
        <f t="shared" ref="U9:U36" si="7">SUM(Q9:S9)</f>
        <v>106804</v>
      </c>
      <c r="V9" s="19">
        <f t="shared" ref="V9:V36" si="8">SUM(H9)</f>
        <v>0</v>
      </c>
      <c r="W9" s="19">
        <f t="shared" ref="W9:W36" si="9">SUM(U9:V9)</f>
        <v>106804</v>
      </c>
      <c r="X9" s="4">
        <f t="shared" ref="X9:X36" si="10">IF(K9&gt;0,K9,0)</f>
        <v>140020</v>
      </c>
      <c r="Y9" s="19"/>
      <c r="Z9" s="19"/>
      <c r="AA9" s="19"/>
      <c r="AB9" s="19"/>
      <c r="AC9" s="32"/>
      <c r="AD9" s="23"/>
      <c r="AE9" s="33"/>
      <c r="AF9" s="34"/>
      <c r="AG9" s="34"/>
      <c r="AH9" s="34"/>
      <c r="AI9" s="34"/>
      <c r="AJ9" s="35"/>
      <c r="AK9" s="35"/>
      <c r="AL9" s="35"/>
      <c r="AM9" s="36"/>
      <c r="AN9" s="23"/>
      <c r="AO9" s="23"/>
    </row>
    <row r="10" spans="1:41" x14ac:dyDescent="0.2">
      <c r="A10" s="21">
        <f t="shared" si="1"/>
        <v>3</v>
      </c>
      <c r="B10" s="62" t="s">
        <v>43</v>
      </c>
      <c r="C10" s="49"/>
      <c r="D10" s="49"/>
      <c r="E10" s="55">
        <f>+'[3]BAM-EGS'!$BC14</f>
        <v>-961786</v>
      </c>
      <c r="F10" s="49"/>
      <c r="G10" s="28"/>
      <c r="H10" s="54">
        <f>+'[2]BAM-EGS'!$BC14</f>
        <v>1000000</v>
      </c>
      <c r="I10" s="29">
        <f>'[1]BAM-3RD'!$BK2481</f>
        <v>33539.620689655174</v>
      </c>
      <c r="J10" s="54">
        <f t="shared" si="2"/>
        <v>1033539.6206896552</v>
      </c>
      <c r="K10" s="30">
        <f t="shared" si="3"/>
        <v>71753.620689655174</v>
      </c>
      <c r="L10" s="37">
        <f>((L$6)-SUM(L$8:L9))/($A$38-$A9)</f>
        <v>0</v>
      </c>
      <c r="M10" s="37">
        <f>((M$6)-SUM(M$8:M9))/($A$38-$A9)</f>
        <v>0</v>
      </c>
      <c r="N10" s="61">
        <f>[4]May!$K18</f>
        <v>32500</v>
      </c>
      <c r="O10" s="4">
        <f t="shared" si="4"/>
        <v>32500</v>
      </c>
      <c r="P10" s="5"/>
      <c r="Q10" s="5">
        <f t="shared" si="5"/>
        <v>48387.096774193546</v>
      </c>
      <c r="R10" s="64">
        <f t="shared" si="0"/>
        <v>-2500</v>
      </c>
      <c r="S10" s="5">
        <f t="shared" si="6"/>
        <v>-1007673.0967741936</v>
      </c>
      <c r="T10" s="5"/>
      <c r="U10" s="5">
        <f t="shared" si="7"/>
        <v>-961786</v>
      </c>
      <c r="V10" s="19">
        <f t="shared" si="8"/>
        <v>1000000</v>
      </c>
      <c r="W10" s="19">
        <f t="shared" si="9"/>
        <v>38214</v>
      </c>
      <c r="X10" s="4">
        <f t="shared" si="10"/>
        <v>71753.620689655174</v>
      </c>
      <c r="Y10" s="19"/>
      <c r="Z10" s="19"/>
      <c r="AA10" s="19"/>
      <c r="AB10" s="19"/>
      <c r="AC10" s="32"/>
      <c r="AD10" s="23"/>
      <c r="AE10" s="33"/>
      <c r="AF10" s="34"/>
      <c r="AG10" s="34"/>
      <c r="AH10" s="34"/>
      <c r="AI10" s="34"/>
      <c r="AJ10" s="35"/>
      <c r="AK10" s="35"/>
      <c r="AL10" s="35"/>
      <c r="AM10" s="36"/>
      <c r="AN10" s="23"/>
      <c r="AO10" s="23"/>
    </row>
    <row r="11" spans="1:41" x14ac:dyDescent="0.2">
      <c r="A11" s="21">
        <f t="shared" si="1"/>
        <v>4</v>
      </c>
      <c r="B11" s="62" t="s">
        <v>43</v>
      </c>
      <c r="C11" s="49"/>
      <c r="D11" s="49"/>
      <c r="E11" s="55">
        <f>+'[3]BAM-EGS'!$BC15</f>
        <v>77920</v>
      </c>
      <c r="F11" s="49"/>
      <c r="G11" s="28"/>
      <c r="H11" s="54">
        <f>+'[2]BAM-EGS'!$BC15</f>
        <v>0</v>
      </c>
      <c r="I11" s="29">
        <f>'[1]BAM-3RD'!$BK2482</f>
        <v>33540</v>
      </c>
      <c r="J11" s="54">
        <f t="shared" si="2"/>
        <v>33540</v>
      </c>
      <c r="K11" s="30">
        <f t="shared" si="3"/>
        <v>111460</v>
      </c>
      <c r="L11" s="37">
        <f>((L$6)-SUM(L$8:L10))/($A$38-$A10)</f>
        <v>0</v>
      </c>
      <c r="M11" s="37">
        <f>((M$6)-SUM(M$8:M10))/($A$38-$A10)</f>
        <v>0</v>
      </c>
      <c r="N11" s="61">
        <f>[4]May!$K19</f>
        <v>30000</v>
      </c>
      <c r="O11" s="4">
        <f t="shared" si="4"/>
        <v>30000</v>
      </c>
      <c r="P11" s="5"/>
      <c r="Q11" s="5">
        <f t="shared" si="5"/>
        <v>48387.096774193546</v>
      </c>
      <c r="R11" s="64">
        <f t="shared" si="0"/>
        <v>0</v>
      </c>
      <c r="S11" s="5">
        <f t="shared" si="6"/>
        <v>29532.903225806454</v>
      </c>
      <c r="T11" s="5"/>
      <c r="U11" s="5">
        <f t="shared" si="7"/>
        <v>77920</v>
      </c>
      <c r="V11" s="19">
        <f t="shared" si="8"/>
        <v>0</v>
      </c>
      <c r="W11" s="19">
        <f t="shared" si="9"/>
        <v>77920</v>
      </c>
      <c r="X11" s="4">
        <f t="shared" si="10"/>
        <v>111460</v>
      </c>
      <c r="Y11" s="19"/>
      <c r="Z11" s="19"/>
      <c r="AA11" s="19"/>
      <c r="AB11" s="19"/>
      <c r="AC11" s="32"/>
      <c r="AD11" s="23"/>
      <c r="AE11" s="33"/>
      <c r="AF11" s="34"/>
      <c r="AG11" s="34"/>
      <c r="AH11" s="34"/>
      <c r="AI11" s="34"/>
      <c r="AJ11" s="35"/>
      <c r="AK11" s="35"/>
      <c r="AL11" s="35"/>
      <c r="AM11" s="36"/>
      <c r="AN11" s="23"/>
      <c r="AO11" s="23"/>
    </row>
    <row r="12" spans="1:41" x14ac:dyDescent="0.2">
      <c r="A12" s="21">
        <f t="shared" si="1"/>
        <v>5</v>
      </c>
      <c r="B12" s="62" t="s">
        <v>43</v>
      </c>
      <c r="C12" s="49"/>
      <c r="D12" s="49"/>
      <c r="E12" s="55">
        <f>+'[3]BAM-EGS'!$BC16</f>
        <v>252040</v>
      </c>
      <c r="F12" s="49"/>
      <c r="G12" s="28"/>
      <c r="H12" s="54">
        <f>+'[2]BAM-EGS'!$BC16</f>
        <v>0</v>
      </c>
      <c r="I12" s="29">
        <f>'[1]BAM-3RD'!$BK2483</f>
        <v>33540</v>
      </c>
      <c r="J12" s="54">
        <f t="shared" si="2"/>
        <v>33540</v>
      </c>
      <c r="K12" s="30">
        <f t="shared" si="3"/>
        <v>285580</v>
      </c>
      <c r="L12" s="37">
        <f>((L$6)-SUM(L$8:L11))/($A$38-$A11)</f>
        <v>0</v>
      </c>
      <c r="M12" s="37">
        <f>((M$6)-SUM(M$8:M11))/($A$38-$A11)</f>
        <v>0</v>
      </c>
      <c r="N12" s="61">
        <f>[4]May!$K20</f>
        <v>5000</v>
      </c>
      <c r="O12" s="4">
        <f t="shared" si="4"/>
        <v>5000</v>
      </c>
      <c r="P12" s="5"/>
      <c r="Q12" s="5">
        <f t="shared" si="5"/>
        <v>48387.096774193546</v>
      </c>
      <c r="R12" s="64">
        <f t="shared" si="0"/>
        <v>25000</v>
      </c>
      <c r="S12" s="5">
        <f t="shared" si="6"/>
        <v>178652.90322580645</v>
      </c>
      <c r="T12" s="5"/>
      <c r="U12" s="5">
        <f t="shared" si="7"/>
        <v>252040</v>
      </c>
      <c r="V12" s="19">
        <f t="shared" si="8"/>
        <v>0</v>
      </c>
      <c r="W12" s="19">
        <f t="shared" si="9"/>
        <v>252040</v>
      </c>
      <c r="X12" s="4">
        <f t="shared" si="10"/>
        <v>285580</v>
      </c>
      <c r="Y12" s="19"/>
      <c r="Z12" s="19"/>
      <c r="AA12" s="19"/>
      <c r="AB12" s="19"/>
      <c r="AC12" s="32"/>
      <c r="AD12" s="23"/>
      <c r="AE12" s="33"/>
      <c r="AF12" s="34"/>
      <c r="AG12" s="34"/>
      <c r="AH12" s="34"/>
      <c r="AI12" s="34"/>
      <c r="AJ12" s="35"/>
      <c r="AK12" s="35"/>
      <c r="AL12" s="35"/>
      <c r="AM12" s="36"/>
      <c r="AN12" s="23"/>
      <c r="AO12" s="23"/>
    </row>
    <row r="13" spans="1:41" x14ac:dyDescent="0.2">
      <c r="A13" s="21">
        <f t="shared" si="1"/>
        <v>6</v>
      </c>
      <c r="B13" s="62" t="s">
        <v>43</v>
      </c>
      <c r="C13" s="49"/>
      <c r="D13" s="49"/>
      <c r="E13" s="55">
        <f>+'[3]BAM-EGS'!$BC17</f>
        <v>260900</v>
      </c>
      <c r="F13" s="49"/>
      <c r="G13" s="28"/>
      <c r="H13" s="54">
        <f>+'[2]BAM-EGS'!$BC17</f>
        <v>0</v>
      </c>
      <c r="I13" s="29">
        <f>'[1]BAM-3RD'!$BK2484</f>
        <v>33540</v>
      </c>
      <c r="J13" s="54">
        <f t="shared" si="2"/>
        <v>33540</v>
      </c>
      <c r="K13" s="30">
        <f t="shared" si="3"/>
        <v>294440</v>
      </c>
      <c r="L13" s="37">
        <f>((L$6)-SUM(L$8:L12))/($A$38-$A12)</f>
        <v>0</v>
      </c>
      <c r="M13" s="37">
        <f>((M$6)-SUM(M$8:M12))/($A$38-$A12)</f>
        <v>0</v>
      </c>
      <c r="N13" s="61">
        <f>[4]May!$K21</f>
        <v>18750</v>
      </c>
      <c r="O13" s="4">
        <f t="shared" si="4"/>
        <v>18750</v>
      </c>
      <c r="P13" s="5"/>
      <c r="Q13" s="5">
        <f t="shared" si="5"/>
        <v>48387.096774193546</v>
      </c>
      <c r="R13" s="64">
        <f t="shared" si="0"/>
        <v>11250</v>
      </c>
      <c r="S13" s="5">
        <f t="shared" si="6"/>
        <v>201262.90322580645</v>
      </c>
      <c r="T13" s="5"/>
      <c r="U13" s="5">
        <f t="shared" si="7"/>
        <v>260900</v>
      </c>
      <c r="V13" s="19">
        <f t="shared" si="8"/>
        <v>0</v>
      </c>
      <c r="W13" s="19">
        <f t="shared" si="9"/>
        <v>260900</v>
      </c>
      <c r="X13" s="4">
        <f t="shared" si="10"/>
        <v>294440</v>
      </c>
      <c r="Y13" s="19"/>
      <c r="Z13" s="19"/>
      <c r="AA13" s="19"/>
      <c r="AB13" s="19"/>
      <c r="AC13" s="32"/>
      <c r="AD13" s="23"/>
      <c r="AE13" s="33"/>
      <c r="AF13" s="34"/>
      <c r="AG13" s="34"/>
      <c r="AH13" s="34"/>
      <c r="AI13" s="34"/>
      <c r="AJ13" s="35"/>
      <c r="AK13" s="35"/>
      <c r="AL13" s="35"/>
      <c r="AM13" s="36"/>
      <c r="AN13" s="23"/>
      <c r="AO13" s="23"/>
    </row>
    <row r="14" spans="1:41" x14ac:dyDescent="0.2">
      <c r="A14" s="21">
        <f t="shared" si="1"/>
        <v>7</v>
      </c>
      <c r="B14" s="62" t="s">
        <v>43</v>
      </c>
      <c r="C14" s="49"/>
      <c r="D14" s="49"/>
      <c r="E14" s="55">
        <f>+'[3]BAM-EGS'!$BC18</f>
        <v>215620</v>
      </c>
      <c r="F14" s="49"/>
      <c r="G14" s="28"/>
      <c r="H14" s="54">
        <f>+'[2]BAM-EGS'!$BC18</f>
        <v>0</v>
      </c>
      <c r="I14" s="29">
        <f>'[1]BAM-3RD'!$BK2485</f>
        <v>33540</v>
      </c>
      <c r="J14" s="54">
        <f t="shared" si="2"/>
        <v>33540</v>
      </c>
      <c r="K14" s="30">
        <f t="shared" si="3"/>
        <v>249160</v>
      </c>
      <c r="L14" s="37">
        <f>((L$6)-SUM(L$8:L13))/($A$38-$A13)</f>
        <v>0</v>
      </c>
      <c r="M14" s="37">
        <f>((M$6)-SUM(M$8:M13))/($A$38-$A13)</f>
        <v>0</v>
      </c>
      <c r="N14" s="61">
        <f>[4]May!$K22</f>
        <v>30000</v>
      </c>
      <c r="O14" s="4">
        <f t="shared" si="4"/>
        <v>30000</v>
      </c>
      <c r="P14" s="5"/>
      <c r="Q14" s="5">
        <f t="shared" si="5"/>
        <v>48387.096774193546</v>
      </c>
      <c r="R14" s="64">
        <f t="shared" si="0"/>
        <v>0</v>
      </c>
      <c r="S14" s="5">
        <f t="shared" si="6"/>
        <v>167232.90322580645</v>
      </c>
      <c r="T14" s="5"/>
      <c r="U14" s="5">
        <f t="shared" si="7"/>
        <v>215620</v>
      </c>
      <c r="V14" s="19">
        <f t="shared" si="8"/>
        <v>0</v>
      </c>
      <c r="W14" s="19">
        <f t="shared" si="9"/>
        <v>215620</v>
      </c>
      <c r="X14" s="4">
        <f t="shared" si="10"/>
        <v>249160</v>
      </c>
      <c r="Y14" s="19"/>
      <c r="Z14" s="19"/>
      <c r="AA14" s="19"/>
      <c r="AB14" s="19"/>
      <c r="AC14" s="32"/>
      <c r="AD14" s="23"/>
      <c r="AE14" s="33"/>
      <c r="AF14" s="34"/>
      <c r="AG14" s="34"/>
      <c r="AH14" s="34"/>
      <c r="AI14" s="34"/>
      <c r="AJ14" s="35"/>
      <c r="AK14" s="35"/>
      <c r="AL14" s="35"/>
      <c r="AM14" s="36"/>
      <c r="AN14" s="23"/>
      <c r="AO14" s="23"/>
    </row>
    <row r="15" spans="1:41" x14ac:dyDescent="0.2">
      <c r="A15" s="21">
        <f t="shared" si="1"/>
        <v>8</v>
      </c>
      <c r="B15" s="62" t="s">
        <v>37</v>
      </c>
      <c r="C15" s="49"/>
      <c r="D15" s="49"/>
      <c r="E15" s="55">
        <f>+'[3]BAM-EGS'!$BC19</f>
        <v>219835</v>
      </c>
      <c r="F15" s="49"/>
      <c r="G15" s="28"/>
      <c r="H15" s="54">
        <f>+'[2]BAM-EGS'!$BC19</f>
        <v>0</v>
      </c>
      <c r="I15" s="29">
        <f>'[1]BAM-3RD'!$BK2486</f>
        <v>33540</v>
      </c>
      <c r="J15" s="54">
        <f t="shared" si="2"/>
        <v>33540</v>
      </c>
      <c r="K15" s="30">
        <f t="shared" si="3"/>
        <v>253375</v>
      </c>
      <c r="L15" s="37">
        <f>((L$6)-SUM(L$8:L14))/($A$38-$A14)</f>
        <v>0</v>
      </c>
      <c r="M15" s="37">
        <f>((M$6)-SUM(M$8:M14))/($A$38-$A14)</f>
        <v>0</v>
      </c>
      <c r="N15" s="61">
        <f>[4]May!$K23</f>
        <v>0</v>
      </c>
      <c r="O15" s="4">
        <f t="shared" si="4"/>
        <v>0</v>
      </c>
      <c r="P15" s="5"/>
      <c r="Q15" s="5">
        <f t="shared" si="5"/>
        <v>48387.096774193546</v>
      </c>
      <c r="R15" s="64">
        <f t="shared" si="0"/>
        <v>30000</v>
      </c>
      <c r="S15" s="5">
        <f t="shared" si="6"/>
        <v>141447.90322580645</v>
      </c>
      <c r="T15" s="5"/>
      <c r="U15" s="5">
        <f t="shared" si="7"/>
        <v>219835</v>
      </c>
      <c r="V15" s="19">
        <f t="shared" si="8"/>
        <v>0</v>
      </c>
      <c r="W15" s="19">
        <f t="shared" si="9"/>
        <v>219835</v>
      </c>
      <c r="X15" s="4">
        <f t="shared" si="10"/>
        <v>253375</v>
      </c>
      <c r="Y15" s="19"/>
      <c r="Z15" s="19"/>
      <c r="AA15" s="19"/>
      <c r="AB15" s="19"/>
      <c r="AC15" s="32"/>
      <c r="AD15" s="23"/>
      <c r="AE15" s="33"/>
      <c r="AF15" s="34"/>
      <c r="AG15" s="34"/>
      <c r="AH15" s="34"/>
      <c r="AI15" s="34"/>
      <c r="AJ15" s="35"/>
      <c r="AK15" s="35"/>
      <c r="AL15" s="35"/>
      <c r="AM15" s="36"/>
      <c r="AN15" s="23"/>
      <c r="AO15" s="23"/>
    </row>
    <row r="16" spans="1:41" x14ac:dyDescent="0.2">
      <c r="A16" s="21">
        <f t="shared" si="1"/>
        <v>9</v>
      </c>
      <c r="B16" s="62" t="s">
        <v>37</v>
      </c>
      <c r="C16" s="49"/>
      <c r="D16" s="49"/>
      <c r="E16" s="55">
        <f>+'[3]BAM-EGS'!$BC20</f>
        <v>206424</v>
      </c>
      <c r="F16" s="49"/>
      <c r="G16" s="28"/>
      <c r="H16" s="54">
        <f>+'[2]BAM-EGS'!$BC20</f>
        <v>0</v>
      </c>
      <c r="I16" s="29">
        <f>'[1]BAM-3RD'!$BK2487</f>
        <v>33397</v>
      </c>
      <c r="J16" s="54">
        <f t="shared" si="2"/>
        <v>33397</v>
      </c>
      <c r="K16" s="30">
        <f t="shared" si="3"/>
        <v>239821</v>
      </c>
      <c r="L16" s="37">
        <f>((L$6)-SUM(L$8:L15))/($A$38-$A15)</f>
        <v>0</v>
      </c>
      <c r="M16" s="37">
        <f>((M$6)-SUM(M$8:M15))/($A$38-$A15)</f>
        <v>0</v>
      </c>
      <c r="N16" s="61">
        <f>[4]May!$K24</f>
        <v>0</v>
      </c>
      <c r="O16" s="4">
        <f t="shared" si="4"/>
        <v>0</v>
      </c>
      <c r="P16" s="5"/>
      <c r="Q16" s="5">
        <f t="shared" si="5"/>
        <v>48387.096774193546</v>
      </c>
      <c r="R16" s="64">
        <f t="shared" si="0"/>
        <v>30000</v>
      </c>
      <c r="S16" s="5">
        <f t="shared" si="6"/>
        <v>128036.90322580645</v>
      </c>
      <c r="T16" s="5"/>
      <c r="U16" s="5">
        <f t="shared" si="7"/>
        <v>206424</v>
      </c>
      <c r="V16" s="19">
        <f t="shared" si="8"/>
        <v>0</v>
      </c>
      <c r="W16" s="19">
        <f t="shared" si="9"/>
        <v>206424</v>
      </c>
      <c r="X16" s="4">
        <f t="shared" si="10"/>
        <v>239821</v>
      </c>
      <c r="Y16" s="19"/>
      <c r="Z16" s="19"/>
      <c r="AA16" s="19"/>
      <c r="AB16" s="19"/>
      <c r="AC16" s="32"/>
      <c r="AD16" s="23"/>
      <c r="AE16" s="33"/>
      <c r="AF16" s="34"/>
      <c r="AG16" s="34"/>
      <c r="AH16" s="34"/>
      <c r="AI16" s="34"/>
      <c r="AJ16" s="35"/>
      <c r="AK16" s="35"/>
      <c r="AL16" s="35"/>
      <c r="AM16" s="36"/>
      <c r="AN16" s="23"/>
      <c r="AO16" s="23"/>
    </row>
    <row r="17" spans="1:41" x14ac:dyDescent="0.2">
      <c r="A17" s="21">
        <f t="shared" si="1"/>
        <v>10</v>
      </c>
      <c r="B17" s="62" t="s">
        <v>42</v>
      </c>
      <c r="C17" s="49"/>
      <c r="D17" s="49"/>
      <c r="E17" s="55">
        <f>+'[3]BAM-EGS'!$BC21</f>
        <v>-1125.9545454545455</v>
      </c>
      <c r="F17" s="49"/>
      <c r="G17" s="28"/>
      <c r="H17" s="54">
        <f>+'[2]BAM-EGS'!$BC21</f>
        <v>0</v>
      </c>
      <c r="I17" s="29">
        <f>'[1]BAM-3RD'!$BK2488</f>
        <v>33397.017241379312</v>
      </c>
      <c r="J17" s="54">
        <f t="shared" si="2"/>
        <v>33397.017241379312</v>
      </c>
      <c r="K17" s="30">
        <f t="shared" si="3"/>
        <v>32271.062695924767</v>
      </c>
      <c r="L17" s="37">
        <f>((L$6)-SUM(L$8:L16))/($A$38-$A16)</f>
        <v>0</v>
      </c>
      <c r="M17" s="37">
        <f>((M$6)-SUM(M$8:M16))/($A$38-$A16)</f>
        <v>0</v>
      </c>
      <c r="N17" s="37">
        <f>((N$6)-SUM(N$8:N16))/($A$38-$A16)</f>
        <v>33352.272727272728</v>
      </c>
      <c r="O17" s="4">
        <f t="shared" si="4"/>
        <v>33352.272727272728</v>
      </c>
      <c r="P17" s="5"/>
      <c r="Q17" s="5">
        <f t="shared" si="5"/>
        <v>48387.096774193546</v>
      </c>
      <c r="R17" s="65">
        <f>((R$6)-SUM(R$8:R16))/($A$38-$A16)</f>
        <v>-3352.2727272727275</v>
      </c>
      <c r="S17" s="5">
        <f t="shared" si="6"/>
        <v>-46160.778592375362</v>
      </c>
      <c r="T17" s="5"/>
      <c r="U17" s="5">
        <f t="shared" si="7"/>
        <v>-1125.9545454545441</v>
      </c>
      <c r="V17" s="19">
        <f t="shared" si="8"/>
        <v>0</v>
      </c>
      <c r="W17" s="19">
        <f t="shared" si="9"/>
        <v>-1125.9545454545441</v>
      </c>
      <c r="X17" s="4">
        <f t="shared" si="10"/>
        <v>32271.062695924767</v>
      </c>
      <c r="Y17" s="19"/>
      <c r="Z17" s="19"/>
      <c r="AA17" s="19"/>
      <c r="AB17" s="19"/>
      <c r="AC17" s="32"/>
      <c r="AD17" s="23"/>
      <c r="AE17" s="33"/>
      <c r="AF17" s="34"/>
      <c r="AG17" s="34"/>
      <c r="AH17" s="34"/>
      <c r="AI17" s="34"/>
      <c r="AJ17" s="35"/>
      <c r="AK17" s="35"/>
      <c r="AL17" s="35"/>
      <c r="AM17" s="36"/>
      <c r="AN17" s="23"/>
      <c r="AO17" s="23"/>
    </row>
    <row r="18" spans="1:41" x14ac:dyDescent="0.2">
      <c r="A18" s="21">
        <f t="shared" si="1"/>
        <v>11</v>
      </c>
      <c r="B18" s="62" t="s">
        <v>42</v>
      </c>
      <c r="C18" s="49"/>
      <c r="D18" s="49"/>
      <c r="E18" s="55">
        <f>+'[3]BAM-EGS'!$BC22</f>
        <v>-1125.9545454545462</v>
      </c>
      <c r="F18" s="49"/>
      <c r="G18" s="28"/>
      <c r="H18" s="54">
        <f>+'[2]BAM-EGS'!$BC22</f>
        <v>0</v>
      </c>
      <c r="I18" s="29">
        <f>'[1]BAM-3RD'!$BK2489</f>
        <v>33397.017241379312</v>
      </c>
      <c r="J18" s="54">
        <f t="shared" si="2"/>
        <v>33397.017241379312</v>
      </c>
      <c r="K18" s="30">
        <f t="shared" si="3"/>
        <v>32271.062695924764</v>
      </c>
      <c r="L18" s="37">
        <f>((L$6)-SUM(L$8:L17))/($A$38-$A17)</f>
        <v>0</v>
      </c>
      <c r="M18" s="37">
        <f>((M$6)-SUM(M$8:M17))/($A$38-$A17)</f>
        <v>0</v>
      </c>
      <c r="N18" s="37">
        <f>((N$6)-SUM(N$8:N17))/($A$38-$A17)</f>
        <v>33352.272727272728</v>
      </c>
      <c r="O18" s="4">
        <f t="shared" si="4"/>
        <v>33352.272727272728</v>
      </c>
      <c r="P18" s="5"/>
      <c r="Q18" s="5">
        <f t="shared" si="5"/>
        <v>48387.096774193546</v>
      </c>
      <c r="R18" s="65">
        <f>((R$6)-SUM(R$8:R17))/($A$38-$A17)</f>
        <v>-3352.2727272727275</v>
      </c>
      <c r="S18" s="5">
        <f t="shared" si="6"/>
        <v>-46160.778592375362</v>
      </c>
      <c r="T18" s="5"/>
      <c r="U18" s="5">
        <f t="shared" si="7"/>
        <v>-1125.9545454545441</v>
      </c>
      <c r="V18" s="19">
        <f t="shared" si="8"/>
        <v>0</v>
      </c>
      <c r="W18" s="19">
        <f t="shared" si="9"/>
        <v>-1125.9545454545441</v>
      </c>
      <c r="X18" s="4">
        <f t="shared" si="10"/>
        <v>32271.062695924764</v>
      </c>
      <c r="Y18" s="19"/>
      <c r="Z18" s="19"/>
      <c r="AA18" s="19"/>
      <c r="AB18" s="19"/>
      <c r="AC18" s="32"/>
      <c r="AD18" s="23"/>
      <c r="AE18" s="33"/>
      <c r="AF18" s="34"/>
      <c r="AG18" s="34"/>
      <c r="AH18" s="34"/>
      <c r="AI18" s="34"/>
      <c r="AJ18" s="35"/>
      <c r="AK18" s="35"/>
      <c r="AL18" s="35"/>
      <c r="AM18" s="36"/>
      <c r="AN18" s="23"/>
      <c r="AO18" s="23"/>
    </row>
    <row r="19" spans="1:41" x14ac:dyDescent="0.2">
      <c r="A19" s="21">
        <f t="shared" si="1"/>
        <v>12</v>
      </c>
      <c r="B19" s="62" t="s">
        <v>42</v>
      </c>
      <c r="C19" s="49"/>
      <c r="D19" s="49"/>
      <c r="E19" s="55">
        <f>+'[3]BAM-EGS'!$BC23</f>
        <v>-1125.9545454545471</v>
      </c>
      <c r="F19" s="49"/>
      <c r="G19" s="28"/>
      <c r="H19" s="54">
        <f>+'[2]BAM-EGS'!$BC23</f>
        <v>0</v>
      </c>
      <c r="I19" s="29">
        <f>'[1]BAM-3RD'!$BK2490</f>
        <v>33397.017241379312</v>
      </c>
      <c r="J19" s="54">
        <f t="shared" si="2"/>
        <v>33397.017241379312</v>
      </c>
      <c r="K19" s="30">
        <f t="shared" si="3"/>
        <v>32271.062695924764</v>
      </c>
      <c r="L19" s="37">
        <f>((L$6)-SUM(L$8:L18))/($A$38-$A18)</f>
        <v>0</v>
      </c>
      <c r="M19" s="37">
        <f>((M$6)-SUM(M$8:M18))/($A$38-$A18)</f>
        <v>0</v>
      </c>
      <c r="N19" s="37">
        <f>((N$6)-SUM(N$8:N18))/($A$38-$A18)</f>
        <v>33352.272727272728</v>
      </c>
      <c r="O19" s="4">
        <f t="shared" si="4"/>
        <v>33352.272727272728</v>
      </c>
      <c r="P19" s="5"/>
      <c r="Q19" s="5">
        <f t="shared" si="5"/>
        <v>48387.096774193546</v>
      </c>
      <c r="R19" s="65">
        <f>((R$6)-SUM(R$8:R18))/($A$38-$A18)</f>
        <v>-3352.2727272727279</v>
      </c>
      <c r="S19" s="5">
        <f t="shared" si="6"/>
        <v>-46160.778592375362</v>
      </c>
      <c r="T19" s="5"/>
      <c r="U19" s="5">
        <f t="shared" si="7"/>
        <v>-1125.9545454545441</v>
      </c>
      <c r="V19" s="19">
        <f t="shared" si="8"/>
        <v>0</v>
      </c>
      <c r="W19" s="19">
        <f t="shared" si="9"/>
        <v>-1125.9545454545441</v>
      </c>
      <c r="X19" s="4">
        <f t="shared" si="10"/>
        <v>32271.062695924764</v>
      </c>
      <c r="Y19" s="19"/>
      <c r="Z19" s="19"/>
      <c r="AA19" s="19"/>
      <c r="AB19" s="19"/>
      <c r="AC19" s="32"/>
      <c r="AD19" s="23"/>
      <c r="AE19" s="33"/>
      <c r="AF19" s="34"/>
      <c r="AG19" s="34"/>
      <c r="AH19" s="34"/>
      <c r="AI19" s="34"/>
      <c r="AJ19" s="35"/>
      <c r="AK19" s="35"/>
      <c r="AL19" s="35"/>
      <c r="AM19" s="36"/>
      <c r="AN19" s="23"/>
      <c r="AO19" s="23"/>
    </row>
    <row r="20" spans="1:41" x14ac:dyDescent="0.2">
      <c r="A20" s="21">
        <f t="shared" si="1"/>
        <v>13</v>
      </c>
      <c r="B20" s="62" t="s">
        <v>42</v>
      </c>
      <c r="C20" s="49"/>
      <c r="D20" s="49"/>
      <c r="E20" s="55">
        <f>+'[3]BAM-EGS'!$BC24</f>
        <v>-1125.954545454548</v>
      </c>
      <c r="F20" s="49"/>
      <c r="G20" s="28"/>
      <c r="H20" s="54">
        <f>+'[2]BAM-EGS'!$BC24</f>
        <v>0</v>
      </c>
      <c r="I20" s="29">
        <f>'[1]BAM-3RD'!$BK2491</f>
        <v>33397.017241379312</v>
      </c>
      <c r="J20" s="54">
        <f t="shared" si="2"/>
        <v>33397.017241379312</v>
      </c>
      <c r="K20" s="30">
        <f t="shared" si="3"/>
        <v>32271.062695924764</v>
      </c>
      <c r="L20" s="37">
        <f>((L$6)-SUM(L$8:L19))/($A$38-$A19)</f>
        <v>0</v>
      </c>
      <c r="M20" s="37">
        <f>((M$6)-SUM(M$8:M19))/($A$38-$A19)</f>
        <v>0</v>
      </c>
      <c r="N20" s="37">
        <f>((N$6)-SUM(N$8:N19))/($A$38-$A19)</f>
        <v>33352.272727272728</v>
      </c>
      <c r="O20" s="4">
        <f t="shared" si="4"/>
        <v>33352.272727272728</v>
      </c>
      <c r="P20" s="5"/>
      <c r="Q20" s="5">
        <f t="shared" si="5"/>
        <v>48387.096774193546</v>
      </c>
      <c r="R20" s="65">
        <f>((R$6)-SUM(R$8:R19))/($A$38-$A19)</f>
        <v>-3352.2727272727279</v>
      </c>
      <c r="S20" s="5">
        <f t="shared" si="6"/>
        <v>-46160.778592375369</v>
      </c>
      <c r="T20" s="5"/>
      <c r="U20" s="5">
        <f t="shared" si="7"/>
        <v>-1125.9545454545514</v>
      </c>
      <c r="V20" s="19">
        <f t="shared" si="8"/>
        <v>0</v>
      </c>
      <c r="W20" s="19">
        <f t="shared" si="9"/>
        <v>-1125.9545454545514</v>
      </c>
      <c r="X20" s="4">
        <f t="shared" si="10"/>
        <v>32271.062695924764</v>
      </c>
      <c r="Y20" s="19"/>
      <c r="Z20" s="19"/>
      <c r="AA20" s="19"/>
      <c r="AB20" s="19"/>
      <c r="AC20" s="32"/>
      <c r="AD20" s="23"/>
      <c r="AE20" s="33"/>
      <c r="AF20" s="34"/>
      <c r="AG20" s="34"/>
      <c r="AH20" s="34"/>
      <c r="AI20" s="34"/>
      <c r="AJ20" s="35"/>
      <c r="AK20" s="35"/>
      <c r="AL20" s="35"/>
      <c r="AM20" s="36"/>
      <c r="AN20" s="23"/>
      <c r="AO20" s="23"/>
    </row>
    <row r="21" spans="1:41" x14ac:dyDescent="0.2">
      <c r="A21" s="21">
        <f t="shared" si="1"/>
        <v>14</v>
      </c>
      <c r="B21" s="62" t="s">
        <v>42</v>
      </c>
      <c r="C21" s="49"/>
      <c r="D21" s="49"/>
      <c r="E21" s="55">
        <f>+'[3]BAM-EGS'!$BC25</f>
        <v>-1125.9545454545489</v>
      </c>
      <c r="F21" s="49"/>
      <c r="G21" s="28"/>
      <c r="H21" s="54">
        <f>+'[2]BAM-EGS'!$BC25</f>
        <v>0</v>
      </c>
      <c r="I21" s="29">
        <f>'[1]BAM-3RD'!$BK2492</f>
        <v>33397.017241379312</v>
      </c>
      <c r="J21" s="54">
        <f t="shared" si="2"/>
        <v>33397.017241379312</v>
      </c>
      <c r="K21" s="30">
        <f t="shared" si="3"/>
        <v>32271.062695924764</v>
      </c>
      <c r="L21" s="37">
        <f>((L$6)-SUM(L$8:L20))/($A$38-$A20)</f>
        <v>0</v>
      </c>
      <c r="M21" s="37">
        <f>((M$6)-SUM(M$8:M20))/($A$38-$A20)</f>
        <v>0</v>
      </c>
      <c r="N21" s="37">
        <f>((N$6)-SUM(N$8:N20))/($A$38-$A20)</f>
        <v>33352.272727272735</v>
      </c>
      <c r="O21" s="4">
        <f t="shared" si="4"/>
        <v>33352.272727272735</v>
      </c>
      <c r="P21" s="5"/>
      <c r="Q21" s="5">
        <f t="shared" si="5"/>
        <v>48387.096774193546</v>
      </c>
      <c r="R21" s="65">
        <f>((R$6)-SUM(R$8:R20))/($A$38-$A20)</f>
        <v>-3352.2727272727279</v>
      </c>
      <c r="S21" s="5">
        <f t="shared" si="6"/>
        <v>-46160.778592375369</v>
      </c>
      <c r="T21" s="5"/>
      <c r="U21" s="5">
        <f t="shared" si="7"/>
        <v>-1125.9545454545514</v>
      </c>
      <c r="V21" s="19">
        <f t="shared" si="8"/>
        <v>0</v>
      </c>
      <c r="W21" s="19">
        <f t="shared" si="9"/>
        <v>-1125.9545454545514</v>
      </c>
      <c r="X21" s="4">
        <f t="shared" si="10"/>
        <v>32271.062695924764</v>
      </c>
      <c r="Y21" s="19"/>
      <c r="Z21" s="19"/>
      <c r="AA21" s="19"/>
      <c r="AB21" s="19"/>
      <c r="AC21" s="32"/>
      <c r="AD21" s="23"/>
      <c r="AE21" s="33"/>
      <c r="AF21" s="34"/>
      <c r="AG21" s="34"/>
      <c r="AH21" s="34"/>
      <c r="AI21" s="34"/>
      <c r="AJ21" s="35"/>
      <c r="AK21" s="35"/>
      <c r="AL21" s="35"/>
      <c r="AM21" s="36"/>
      <c r="AN21" s="23"/>
      <c r="AO21" s="23"/>
    </row>
    <row r="22" spans="1:41" x14ac:dyDescent="0.2">
      <c r="A22" s="21">
        <f t="shared" si="1"/>
        <v>15</v>
      </c>
      <c r="B22" s="62" t="s">
        <v>42</v>
      </c>
      <c r="C22" s="49"/>
      <c r="D22" s="49"/>
      <c r="E22" s="55">
        <f>+'[3]BAM-EGS'!$BC26</f>
        <v>-1125.95454545455</v>
      </c>
      <c r="F22" s="49"/>
      <c r="G22" s="28"/>
      <c r="H22" s="54">
        <f>+'[2]BAM-EGS'!$BC26</f>
        <v>0</v>
      </c>
      <c r="I22" s="29">
        <f>'[1]BAM-3RD'!$BK2493</f>
        <v>33397.017241379312</v>
      </c>
      <c r="J22" s="54">
        <f t="shared" si="2"/>
        <v>33397.017241379312</v>
      </c>
      <c r="K22" s="30">
        <f t="shared" si="3"/>
        <v>32271.06269592476</v>
      </c>
      <c r="L22" s="37">
        <f>((L$6)-SUM(L$8:L21))/($A$38-$A21)</f>
        <v>0</v>
      </c>
      <c r="M22" s="37">
        <f>((M$6)-SUM(M$8:M21))/($A$38-$A21)</f>
        <v>0</v>
      </c>
      <c r="N22" s="37">
        <f>((N$6)-SUM(N$8:N21))/($A$38-$A21)</f>
        <v>33352.272727272728</v>
      </c>
      <c r="O22" s="4">
        <f t="shared" si="4"/>
        <v>33352.272727272728</v>
      </c>
      <c r="P22" s="5"/>
      <c r="Q22" s="5">
        <f t="shared" si="5"/>
        <v>48387.096774193546</v>
      </c>
      <c r="R22" s="65">
        <f>((R$6)-SUM(R$8:R21))/($A$38-$A21)</f>
        <v>-3352.2727272727279</v>
      </c>
      <c r="S22" s="5">
        <f t="shared" si="6"/>
        <v>-46160.778592375369</v>
      </c>
      <c r="T22" s="5"/>
      <c r="U22" s="5">
        <f t="shared" si="7"/>
        <v>-1125.9545454545514</v>
      </c>
      <c r="V22" s="19">
        <f t="shared" si="8"/>
        <v>0</v>
      </c>
      <c r="W22" s="19">
        <f t="shared" si="9"/>
        <v>-1125.9545454545514</v>
      </c>
      <c r="X22" s="4">
        <f t="shared" si="10"/>
        <v>32271.06269592476</v>
      </c>
      <c r="Y22" s="19"/>
      <c r="Z22" s="19"/>
      <c r="AA22" s="19"/>
      <c r="AB22" s="19"/>
      <c r="AC22" s="32"/>
      <c r="AD22" s="23"/>
      <c r="AE22" s="33"/>
      <c r="AF22" s="34"/>
      <c r="AG22" s="34"/>
      <c r="AH22" s="34"/>
      <c r="AI22" s="34"/>
      <c r="AJ22" s="35"/>
      <c r="AK22" s="35"/>
      <c r="AL22" s="35"/>
      <c r="AM22" s="36"/>
      <c r="AN22" s="23"/>
      <c r="AO22" s="23"/>
    </row>
    <row r="23" spans="1:41" x14ac:dyDescent="0.2">
      <c r="A23" s="21">
        <f t="shared" si="1"/>
        <v>16</v>
      </c>
      <c r="B23" s="62" t="s">
        <v>42</v>
      </c>
      <c r="C23" s="49"/>
      <c r="D23" s="49"/>
      <c r="E23" s="55">
        <f>+'[3]BAM-EGS'!$BC27</f>
        <v>-1125.9545454545514</v>
      </c>
      <c r="F23" s="49"/>
      <c r="G23" s="28"/>
      <c r="H23" s="54">
        <f>+'[2]BAM-EGS'!$BC27</f>
        <v>0</v>
      </c>
      <c r="I23" s="29">
        <f>'[1]BAM-3RD'!$BK2494</f>
        <v>33397.017241379312</v>
      </c>
      <c r="J23" s="54">
        <f t="shared" si="2"/>
        <v>33397.017241379312</v>
      </c>
      <c r="K23" s="30">
        <f t="shared" si="3"/>
        <v>32271.06269592476</v>
      </c>
      <c r="L23" s="37">
        <f>((L$6)-SUM(L$8:L22))/($A$38-$A22)</f>
        <v>0</v>
      </c>
      <c r="M23" s="37">
        <f>((M$6)-SUM(M$8:M22))/($A$38-$A22)</f>
        <v>0</v>
      </c>
      <c r="N23" s="37">
        <f>((N$6)-SUM(N$8:N22))/($A$38-$A22)</f>
        <v>33352.272727272728</v>
      </c>
      <c r="O23" s="4">
        <f t="shared" si="4"/>
        <v>33352.272727272728</v>
      </c>
      <c r="P23" s="5"/>
      <c r="Q23" s="5">
        <f t="shared" si="5"/>
        <v>48387.096774193546</v>
      </c>
      <c r="R23" s="65">
        <f>((R$6)-SUM(R$8:R22))/($A$38-$A22)</f>
        <v>-3352.2727272727279</v>
      </c>
      <c r="S23" s="5">
        <f t="shared" si="6"/>
        <v>-46160.778592375369</v>
      </c>
      <c r="T23" s="5"/>
      <c r="U23" s="5">
        <f t="shared" si="7"/>
        <v>-1125.9545454545514</v>
      </c>
      <c r="V23" s="19">
        <f t="shared" si="8"/>
        <v>0</v>
      </c>
      <c r="W23" s="19">
        <f t="shared" si="9"/>
        <v>-1125.9545454545514</v>
      </c>
      <c r="X23" s="4">
        <f t="shared" si="10"/>
        <v>32271.06269592476</v>
      </c>
      <c r="Y23" s="19"/>
      <c r="Z23" s="19"/>
      <c r="AA23" s="19"/>
      <c r="AB23" s="19"/>
      <c r="AC23" s="32"/>
      <c r="AD23" s="23"/>
      <c r="AE23" s="33"/>
      <c r="AF23" s="34"/>
      <c r="AG23" s="34"/>
      <c r="AH23" s="34"/>
      <c r="AI23" s="34"/>
      <c r="AJ23" s="35"/>
      <c r="AK23" s="35"/>
      <c r="AL23" s="35"/>
      <c r="AM23" s="36"/>
      <c r="AN23" s="23"/>
      <c r="AO23" s="23"/>
    </row>
    <row r="24" spans="1:41" x14ac:dyDescent="0.2">
      <c r="A24" s="21">
        <f t="shared" si="1"/>
        <v>17</v>
      </c>
      <c r="B24" s="62" t="s">
        <v>42</v>
      </c>
      <c r="C24" s="49"/>
      <c r="D24" s="49"/>
      <c r="E24" s="55">
        <f>+'[3]BAM-EGS'!$BC28</f>
        <v>-1125.9545454545528</v>
      </c>
      <c r="F24" s="49"/>
      <c r="G24" s="28"/>
      <c r="H24" s="54">
        <f>+'[2]BAM-EGS'!$BC28</f>
        <v>0</v>
      </c>
      <c r="I24" s="29">
        <f>'[1]BAM-3RD'!$BK2495</f>
        <v>33397.017241379312</v>
      </c>
      <c r="J24" s="54">
        <f t="shared" si="2"/>
        <v>33397.017241379312</v>
      </c>
      <c r="K24" s="30">
        <f t="shared" si="3"/>
        <v>32271.06269592476</v>
      </c>
      <c r="L24" s="37">
        <f>((L$6)-SUM(L$8:L23))/($A$38-$A23)</f>
        <v>0</v>
      </c>
      <c r="M24" s="37">
        <f>((M$6)-SUM(M$8:M23))/($A$38-$A23)</f>
        <v>0</v>
      </c>
      <c r="N24" s="37">
        <f>((N$6)-SUM(N$8:N23))/($A$38-$A23)</f>
        <v>33352.272727272728</v>
      </c>
      <c r="O24" s="4">
        <f t="shared" si="4"/>
        <v>33352.272727272728</v>
      </c>
      <c r="P24" s="5"/>
      <c r="Q24" s="5">
        <f t="shared" si="5"/>
        <v>48387.096774193546</v>
      </c>
      <c r="R24" s="65">
        <f>((R$6)-SUM(R$8:R23))/($A$38-$A23)</f>
        <v>-3352.2727272727279</v>
      </c>
      <c r="S24" s="5">
        <f t="shared" si="6"/>
        <v>-46160.778592375369</v>
      </c>
      <c r="T24" s="5"/>
      <c r="U24" s="5">
        <f t="shared" si="7"/>
        <v>-1125.9545454545514</v>
      </c>
      <c r="V24" s="19">
        <f t="shared" si="8"/>
        <v>0</v>
      </c>
      <c r="W24" s="19">
        <f t="shared" si="9"/>
        <v>-1125.9545454545514</v>
      </c>
      <c r="X24" s="4">
        <f t="shared" si="10"/>
        <v>32271.06269592476</v>
      </c>
      <c r="Y24" s="19"/>
      <c r="Z24" s="19"/>
      <c r="AA24" s="19"/>
      <c r="AB24" s="19"/>
      <c r="AC24" s="32"/>
      <c r="AD24" s="23"/>
      <c r="AE24" s="33"/>
      <c r="AF24" s="34"/>
      <c r="AG24" s="34"/>
      <c r="AH24" s="34"/>
      <c r="AI24" s="34"/>
      <c r="AJ24" s="35"/>
      <c r="AK24" s="35"/>
      <c r="AL24" s="35"/>
      <c r="AM24" s="36"/>
      <c r="AN24" s="23"/>
      <c r="AO24" s="23"/>
    </row>
    <row r="25" spans="1:41" x14ac:dyDescent="0.2">
      <c r="A25" s="21">
        <f t="shared" si="1"/>
        <v>18</v>
      </c>
      <c r="B25" s="62" t="s">
        <v>42</v>
      </c>
      <c r="C25" s="49"/>
      <c r="D25" s="49"/>
      <c r="E25" s="55">
        <f>+'[3]BAM-EGS'!$BC29</f>
        <v>-1125.9545454545546</v>
      </c>
      <c r="F25" s="49"/>
      <c r="G25" s="28"/>
      <c r="H25" s="54">
        <f>+'[2]BAM-EGS'!$BC29</f>
        <v>0</v>
      </c>
      <c r="I25" s="29">
        <f>'[1]BAM-3RD'!$BK2496</f>
        <v>33397.017241379312</v>
      </c>
      <c r="J25" s="54">
        <f t="shared" si="2"/>
        <v>33397.017241379312</v>
      </c>
      <c r="K25" s="30">
        <f t="shared" si="3"/>
        <v>32271.062695924757</v>
      </c>
      <c r="L25" s="37">
        <f>((L$6)-SUM(L$8:L24))/($A$38-$A24)</f>
        <v>0</v>
      </c>
      <c r="M25" s="37">
        <f>((M$6)-SUM(M$8:M24))/($A$38-$A24)</f>
        <v>0</v>
      </c>
      <c r="N25" s="37">
        <f>((N$6)-SUM(N$8:N24))/($A$38-$A24)</f>
        <v>33352.272727272728</v>
      </c>
      <c r="O25" s="4">
        <f t="shared" si="4"/>
        <v>33352.272727272728</v>
      </c>
      <c r="P25" s="5"/>
      <c r="Q25" s="5">
        <f t="shared" si="5"/>
        <v>48387.096774193546</v>
      </c>
      <c r="R25" s="65">
        <f>((R$6)-SUM(R$8:R24))/($A$38-$A24)</f>
        <v>-3352.2727272727279</v>
      </c>
      <c r="S25" s="5">
        <f t="shared" si="6"/>
        <v>-46160.778592375369</v>
      </c>
      <c r="T25" s="5"/>
      <c r="U25" s="5">
        <f t="shared" si="7"/>
        <v>-1125.9545454545514</v>
      </c>
      <c r="V25" s="19">
        <f t="shared" si="8"/>
        <v>0</v>
      </c>
      <c r="W25" s="19">
        <f t="shared" si="9"/>
        <v>-1125.9545454545514</v>
      </c>
      <c r="X25" s="4">
        <f t="shared" si="10"/>
        <v>32271.062695924757</v>
      </c>
      <c r="Y25" s="19"/>
      <c r="Z25" s="19"/>
      <c r="AA25" s="19"/>
      <c r="AB25" s="19"/>
      <c r="AC25" s="32"/>
      <c r="AD25" s="23"/>
      <c r="AE25" s="33"/>
      <c r="AF25" s="34"/>
      <c r="AG25" s="34"/>
      <c r="AH25" s="34"/>
      <c r="AI25" s="34"/>
      <c r="AJ25" s="35"/>
      <c r="AK25" s="35"/>
      <c r="AL25" s="35"/>
      <c r="AM25" s="36"/>
      <c r="AN25" s="23"/>
      <c r="AO25" s="23"/>
    </row>
    <row r="26" spans="1:41" x14ac:dyDescent="0.2">
      <c r="A26" s="21">
        <f>A25+1</f>
        <v>19</v>
      </c>
      <c r="B26" s="62" t="s">
        <v>42</v>
      </c>
      <c r="C26" s="49"/>
      <c r="D26" s="49"/>
      <c r="E26" s="55">
        <f>+'[3]BAM-EGS'!$BC30</f>
        <v>-1125.9545454545564</v>
      </c>
      <c r="F26" s="49"/>
      <c r="G26" s="28"/>
      <c r="H26" s="54">
        <f>+'[2]BAM-EGS'!$BC30</f>
        <v>0</v>
      </c>
      <c r="I26" s="29">
        <f>'[1]BAM-3RD'!$BK2497</f>
        <v>33397.017241379312</v>
      </c>
      <c r="J26" s="54">
        <f t="shared" si="2"/>
        <v>33397.017241379312</v>
      </c>
      <c r="K26" s="30">
        <f t="shared" si="3"/>
        <v>32271.062695924757</v>
      </c>
      <c r="L26" s="37">
        <f>((L$6)-SUM(L$8:L25))/($A$38-$A25)</f>
        <v>0</v>
      </c>
      <c r="M26" s="37">
        <f>((M$6)-SUM(M$8:M25))/($A$38-$A25)</f>
        <v>0</v>
      </c>
      <c r="N26" s="37">
        <f>((N$6)-SUM(N$8:N25))/($A$38-$A25)</f>
        <v>33352.272727272735</v>
      </c>
      <c r="O26" s="4">
        <f t="shared" si="4"/>
        <v>33352.272727272735</v>
      </c>
      <c r="P26" s="5"/>
      <c r="Q26" s="5">
        <f t="shared" si="5"/>
        <v>48387.096774193546</v>
      </c>
      <c r="R26" s="65">
        <f>((R$6)-SUM(R$8:R25))/($A$38-$A25)</f>
        <v>-3352.2727272727279</v>
      </c>
      <c r="S26" s="5">
        <f t="shared" si="6"/>
        <v>-46160.778592375376</v>
      </c>
      <c r="T26" s="5"/>
      <c r="U26" s="5">
        <f t="shared" si="7"/>
        <v>-1125.9545454545587</v>
      </c>
      <c r="V26" s="19">
        <f t="shared" si="8"/>
        <v>0</v>
      </c>
      <c r="W26" s="19">
        <f t="shared" si="9"/>
        <v>-1125.9545454545587</v>
      </c>
      <c r="X26" s="4">
        <f t="shared" si="10"/>
        <v>32271.062695924757</v>
      </c>
      <c r="Y26" s="19"/>
      <c r="Z26" s="19"/>
      <c r="AA26" s="19"/>
      <c r="AB26" s="19"/>
      <c r="AC26" s="32"/>
      <c r="AD26" s="23"/>
      <c r="AE26" s="33"/>
      <c r="AF26" s="34"/>
      <c r="AG26" s="34"/>
      <c r="AH26" s="34"/>
      <c r="AI26" s="34"/>
      <c r="AJ26" s="35"/>
      <c r="AK26" s="35"/>
      <c r="AL26" s="35"/>
      <c r="AM26" s="36"/>
      <c r="AN26" s="23"/>
      <c r="AO26" s="23"/>
    </row>
    <row r="27" spans="1:41" x14ac:dyDescent="0.2">
      <c r="A27" s="21">
        <f t="shared" si="1"/>
        <v>20</v>
      </c>
      <c r="B27" s="62" t="s">
        <v>42</v>
      </c>
      <c r="C27" s="49"/>
      <c r="D27" s="49"/>
      <c r="E27" s="55">
        <f>+'[3]BAM-EGS'!$BC31</f>
        <v>-1125.9545454545587</v>
      </c>
      <c r="F27" s="49"/>
      <c r="G27" s="28"/>
      <c r="H27" s="54">
        <f>+'[2]BAM-EGS'!$BC31</f>
        <v>0</v>
      </c>
      <c r="I27" s="29">
        <f>'[1]BAM-3RD'!$BK2498</f>
        <v>33397.017241379312</v>
      </c>
      <c r="J27" s="54">
        <f t="shared" si="2"/>
        <v>33397.017241379312</v>
      </c>
      <c r="K27" s="30">
        <f t="shared" si="3"/>
        <v>32271.062695924753</v>
      </c>
      <c r="L27" s="37">
        <f>((L$6)-SUM(L$8:L26))/($A$38-$A26)</f>
        <v>0</v>
      </c>
      <c r="M27" s="37">
        <f>((M$6)-SUM(M$8:M26))/($A$38-$A26)</f>
        <v>0</v>
      </c>
      <c r="N27" s="37">
        <f>((N$6)-SUM(N$8:N26))/($A$38-$A26)</f>
        <v>33352.272727272735</v>
      </c>
      <c r="O27" s="4">
        <f t="shared" si="4"/>
        <v>33352.272727272735</v>
      </c>
      <c r="P27" s="5"/>
      <c r="Q27" s="5">
        <f t="shared" si="5"/>
        <v>48387.096774193546</v>
      </c>
      <c r="R27" s="65">
        <f>((R$6)-SUM(R$8:R26))/($A$38-$A26)</f>
        <v>-3352.2727272727279</v>
      </c>
      <c r="S27" s="5">
        <f t="shared" si="6"/>
        <v>-46160.778592375376</v>
      </c>
      <c r="T27" s="5"/>
      <c r="U27" s="5">
        <f t="shared" si="7"/>
        <v>-1125.9545454545587</v>
      </c>
      <c r="V27" s="19">
        <f t="shared" si="8"/>
        <v>0</v>
      </c>
      <c r="W27" s="19">
        <f t="shared" si="9"/>
        <v>-1125.9545454545587</v>
      </c>
      <c r="X27" s="4">
        <f t="shared" si="10"/>
        <v>32271.062695924753</v>
      </c>
      <c r="Y27" s="19"/>
      <c r="Z27" s="19"/>
      <c r="AA27" s="19"/>
      <c r="AB27" s="19"/>
      <c r="AC27" s="32"/>
      <c r="AD27" s="23"/>
      <c r="AE27" s="33"/>
      <c r="AF27" s="34"/>
      <c r="AG27" s="34"/>
      <c r="AH27" s="34"/>
      <c r="AI27" s="34"/>
      <c r="AJ27" s="35"/>
      <c r="AK27" s="35"/>
      <c r="AL27" s="35"/>
      <c r="AM27" s="36"/>
      <c r="AN27" s="23"/>
      <c r="AO27" s="23"/>
    </row>
    <row r="28" spans="1:41" x14ac:dyDescent="0.2">
      <c r="A28" s="21">
        <f t="shared" si="1"/>
        <v>21</v>
      </c>
      <c r="B28" s="62" t="s">
        <v>42</v>
      </c>
      <c r="C28" s="49"/>
      <c r="D28" s="49"/>
      <c r="E28" s="55">
        <f>+'[3]BAM-EGS'!$BC32</f>
        <v>-1125.954545454556</v>
      </c>
      <c r="F28" s="49"/>
      <c r="G28" s="28"/>
      <c r="H28" s="54">
        <f>+'[2]BAM-EGS'!$BC32</f>
        <v>0</v>
      </c>
      <c r="I28" s="29">
        <f>'[1]BAM-3RD'!$BK2499</f>
        <v>33397.017241379312</v>
      </c>
      <c r="J28" s="54">
        <f t="shared" si="2"/>
        <v>33397.017241379312</v>
      </c>
      <c r="K28" s="30">
        <f t="shared" si="3"/>
        <v>32271.062695924757</v>
      </c>
      <c r="L28" s="37">
        <f>((L$6)-SUM(L$8:L27))/($A$38-$A27)</f>
        <v>0</v>
      </c>
      <c r="M28" s="37">
        <f>((M$6)-SUM(M$8:M27))/($A$38-$A27)</f>
        <v>0</v>
      </c>
      <c r="N28" s="37">
        <f>((N$6)-SUM(N$8:N27))/($A$38-$A27)</f>
        <v>33352.272727272735</v>
      </c>
      <c r="O28" s="4">
        <f t="shared" si="4"/>
        <v>33352.272727272735</v>
      </c>
      <c r="P28" s="5"/>
      <c r="Q28" s="5">
        <f t="shared" si="5"/>
        <v>48387.096774193546</v>
      </c>
      <c r="R28" s="65">
        <f>((R$6)-SUM(R$8:R27))/($A$38-$A27)</f>
        <v>-3352.2727272727279</v>
      </c>
      <c r="S28" s="5">
        <f t="shared" si="6"/>
        <v>-46160.778592375376</v>
      </c>
      <c r="T28" s="5"/>
      <c r="U28" s="5">
        <f t="shared" si="7"/>
        <v>-1125.9545454545587</v>
      </c>
      <c r="V28" s="19">
        <f t="shared" si="8"/>
        <v>0</v>
      </c>
      <c r="W28" s="19">
        <f t="shared" si="9"/>
        <v>-1125.9545454545587</v>
      </c>
      <c r="X28" s="4">
        <f t="shared" si="10"/>
        <v>32271.062695924757</v>
      </c>
      <c r="Y28" s="19"/>
      <c r="Z28" s="19"/>
      <c r="AA28" s="19"/>
      <c r="AB28" s="19"/>
      <c r="AC28" s="32"/>
      <c r="AD28" s="23"/>
      <c r="AE28" s="33"/>
      <c r="AF28" s="34"/>
      <c r="AG28" s="34"/>
      <c r="AH28" s="34"/>
      <c r="AI28" s="34"/>
      <c r="AJ28" s="35"/>
      <c r="AK28" s="35"/>
      <c r="AL28" s="35"/>
      <c r="AM28" s="36"/>
      <c r="AN28" s="23"/>
      <c r="AO28" s="23"/>
    </row>
    <row r="29" spans="1:41" ht="14.25" customHeight="1" x14ac:dyDescent="0.2">
      <c r="A29" s="21">
        <f t="shared" si="1"/>
        <v>22</v>
      </c>
      <c r="B29" s="62" t="s">
        <v>42</v>
      </c>
      <c r="C29" s="49"/>
      <c r="D29" s="49"/>
      <c r="E29" s="55">
        <f>+'[3]BAM-EGS'!$BC33</f>
        <v>-1125.9545454545587</v>
      </c>
      <c r="F29" s="49"/>
      <c r="G29" s="28"/>
      <c r="H29" s="54">
        <f>+'[2]BAM-EGS'!$BC33</f>
        <v>0</v>
      </c>
      <c r="I29" s="29">
        <f>'[1]BAM-3RD'!$BK2500</f>
        <v>33397.017241379312</v>
      </c>
      <c r="J29" s="54">
        <f t="shared" si="2"/>
        <v>33397.017241379312</v>
      </c>
      <c r="K29" s="30">
        <f t="shared" si="3"/>
        <v>32271.062695924753</v>
      </c>
      <c r="L29" s="37">
        <f>((L$6)-SUM(L$8:L28))/($A$38-$A28)</f>
        <v>0</v>
      </c>
      <c r="M29" s="37">
        <f>((M$6)-SUM(M$8:M28))/($A$38-$A28)</f>
        <v>0</v>
      </c>
      <c r="N29" s="37">
        <f>((N$6)-SUM(N$8:N28))/($A$38-$A28)</f>
        <v>33352.272727272742</v>
      </c>
      <c r="O29" s="4">
        <f t="shared" si="4"/>
        <v>33352.272727272742</v>
      </c>
      <c r="P29" s="5"/>
      <c r="Q29" s="5">
        <f t="shared" si="5"/>
        <v>48387.096774193546</v>
      </c>
      <c r="R29" s="65">
        <f>((R$6)-SUM(R$8:R28))/($A$38-$A28)</f>
        <v>-3352.2727272727279</v>
      </c>
      <c r="S29" s="5">
        <f t="shared" si="6"/>
        <v>-46160.778592375376</v>
      </c>
      <c r="T29" s="5"/>
      <c r="U29" s="5">
        <f t="shared" si="7"/>
        <v>-1125.9545454545587</v>
      </c>
      <c r="V29" s="19">
        <f t="shared" si="8"/>
        <v>0</v>
      </c>
      <c r="W29" s="19">
        <f t="shared" si="9"/>
        <v>-1125.9545454545587</v>
      </c>
      <c r="X29" s="4">
        <f t="shared" si="10"/>
        <v>32271.062695924753</v>
      </c>
      <c r="Y29" s="19"/>
      <c r="Z29" s="19"/>
      <c r="AA29" s="19"/>
      <c r="AB29" s="19"/>
      <c r="AC29" s="32"/>
      <c r="AD29" s="23"/>
      <c r="AE29" s="33"/>
      <c r="AF29" s="34"/>
      <c r="AG29" s="34"/>
      <c r="AH29" s="34"/>
      <c r="AI29" s="34"/>
      <c r="AJ29" s="35"/>
      <c r="AK29" s="35"/>
      <c r="AL29" s="35"/>
      <c r="AM29" s="36"/>
      <c r="AN29" s="23"/>
      <c r="AO29" s="23"/>
    </row>
    <row r="30" spans="1:41" x14ac:dyDescent="0.2">
      <c r="A30" s="21">
        <f t="shared" si="1"/>
        <v>23</v>
      </c>
      <c r="B30" s="62" t="s">
        <v>42</v>
      </c>
      <c r="C30" s="49"/>
      <c r="D30" s="49"/>
      <c r="E30" s="55">
        <f>+'[3]BAM-EGS'!$BC34</f>
        <v>-1125.9545454545619</v>
      </c>
      <c r="F30" s="49"/>
      <c r="G30" s="28"/>
      <c r="H30" s="54">
        <f>+'[2]BAM-EGS'!$BC34</f>
        <v>0</v>
      </c>
      <c r="I30" s="29">
        <f>'[1]BAM-3RD'!$BK2501</f>
        <v>33397.017241379312</v>
      </c>
      <c r="J30" s="54">
        <f t="shared" si="2"/>
        <v>33397.017241379312</v>
      </c>
      <c r="K30" s="30">
        <f t="shared" si="3"/>
        <v>32271.062695924749</v>
      </c>
      <c r="L30" s="37">
        <f>((L$6)-SUM(L$8:L29))/($A$38-$A29)</f>
        <v>0</v>
      </c>
      <c r="M30" s="37">
        <f>((M$6)-SUM(M$8:M29))/($A$38-$A29)</f>
        <v>0</v>
      </c>
      <c r="N30" s="37">
        <f>((N$6)-SUM(N$8:N29))/($A$38-$A29)</f>
        <v>33352.272727272742</v>
      </c>
      <c r="O30" s="4">
        <f t="shared" si="4"/>
        <v>33352.272727272742</v>
      </c>
      <c r="P30" s="5"/>
      <c r="Q30" s="5">
        <f t="shared" si="5"/>
        <v>48387.096774193546</v>
      </c>
      <c r="R30" s="65">
        <f>((R$6)-SUM(R$8:R29))/($A$38-$A29)</f>
        <v>-3352.2727272727279</v>
      </c>
      <c r="S30" s="5">
        <f t="shared" si="6"/>
        <v>-46160.778592375376</v>
      </c>
      <c r="T30" s="5"/>
      <c r="U30" s="5">
        <f t="shared" si="7"/>
        <v>-1125.9545454545587</v>
      </c>
      <c r="V30" s="19">
        <f t="shared" si="8"/>
        <v>0</v>
      </c>
      <c r="W30" s="19">
        <f t="shared" si="9"/>
        <v>-1125.9545454545587</v>
      </c>
      <c r="X30" s="4">
        <f t="shared" si="10"/>
        <v>32271.062695924749</v>
      </c>
      <c r="Y30" s="19"/>
      <c r="Z30" s="19"/>
      <c r="AA30" s="19"/>
      <c r="AB30" s="19"/>
      <c r="AC30" s="32"/>
      <c r="AD30" s="23"/>
      <c r="AE30" s="33"/>
      <c r="AF30" s="34"/>
      <c r="AG30" s="34"/>
      <c r="AH30" s="34"/>
      <c r="AI30" s="34"/>
      <c r="AJ30" s="35"/>
      <c r="AK30" s="35"/>
      <c r="AL30" s="35"/>
      <c r="AM30" s="36"/>
      <c r="AN30" s="23"/>
      <c r="AO30" s="23"/>
    </row>
    <row r="31" spans="1:41" x14ac:dyDescent="0.2">
      <c r="A31" s="21">
        <f t="shared" si="1"/>
        <v>24</v>
      </c>
      <c r="B31" s="62" t="s">
        <v>42</v>
      </c>
      <c r="C31" s="49"/>
      <c r="D31" s="49"/>
      <c r="E31" s="55">
        <f>+'[3]BAM-EGS'!$BC35</f>
        <v>-1125.9545454545587</v>
      </c>
      <c r="F31" s="49"/>
      <c r="G31" s="28"/>
      <c r="H31" s="54">
        <f>+'[2]BAM-EGS'!$BC35</f>
        <v>0</v>
      </c>
      <c r="I31" s="29">
        <f>'[1]BAM-3RD'!$BK2502</f>
        <v>33397.017241379312</v>
      </c>
      <c r="J31" s="54">
        <f t="shared" si="2"/>
        <v>33397.017241379312</v>
      </c>
      <c r="K31" s="30">
        <f t="shared" si="3"/>
        <v>32271.062695924753</v>
      </c>
      <c r="L31" s="37">
        <f>((L$6)-SUM(L$8:L30))/($A$38-$A30)</f>
        <v>0</v>
      </c>
      <c r="M31" s="37">
        <f>((M$6)-SUM(M$8:M30))/($A$38-$A30)</f>
        <v>0</v>
      </c>
      <c r="N31" s="37">
        <f>((N$6)-SUM(N$8:N30))/($A$38-$A30)</f>
        <v>33352.27272727275</v>
      </c>
      <c r="O31" s="4">
        <f t="shared" si="4"/>
        <v>33352.27272727275</v>
      </c>
      <c r="P31" s="5"/>
      <c r="Q31" s="5">
        <f t="shared" si="5"/>
        <v>48387.096774193546</v>
      </c>
      <c r="R31" s="65">
        <f>((R$6)-SUM(R$8:R30))/($A$38-$A30)</f>
        <v>-3352.2727272727279</v>
      </c>
      <c r="S31" s="5">
        <f t="shared" si="6"/>
        <v>-46160.778592375376</v>
      </c>
      <c r="T31" s="5"/>
      <c r="U31" s="5">
        <f t="shared" si="7"/>
        <v>-1125.9545454545587</v>
      </c>
      <c r="V31" s="19">
        <f t="shared" si="8"/>
        <v>0</v>
      </c>
      <c r="W31" s="19">
        <f t="shared" si="9"/>
        <v>-1125.9545454545587</v>
      </c>
      <c r="X31" s="4">
        <f t="shared" si="10"/>
        <v>32271.062695924753</v>
      </c>
      <c r="Y31" s="19"/>
      <c r="Z31" s="19"/>
      <c r="AA31" s="19"/>
      <c r="AB31" s="19"/>
      <c r="AC31" s="32"/>
      <c r="AD31" s="23"/>
      <c r="AE31" s="33"/>
      <c r="AF31" s="34"/>
      <c r="AG31" s="34"/>
      <c r="AH31" s="34"/>
      <c r="AI31" s="34"/>
      <c r="AJ31" s="35"/>
      <c r="AK31" s="35"/>
      <c r="AL31" s="35"/>
      <c r="AM31" s="36"/>
      <c r="AN31" s="23"/>
      <c r="AO31" s="23"/>
    </row>
    <row r="32" spans="1:41" x14ac:dyDescent="0.2">
      <c r="A32" s="21">
        <f t="shared" si="1"/>
        <v>25</v>
      </c>
      <c r="B32" s="62" t="s">
        <v>42</v>
      </c>
      <c r="C32" s="49"/>
      <c r="D32" s="49"/>
      <c r="E32" s="55">
        <f>+'[3]BAM-EGS'!$BC36</f>
        <v>-1125.9545454545546</v>
      </c>
      <c r="F32" s="49"/>
      <c r="G32" s="28"/>
      <c r="H32" s="54">
        <f>+'[2]BAM-EGS'!$BC36</f>
        <v>0</v>
      </c>
      <c r="I32" s="29">
        <f>'[1]BAM-3RD'!$BK2503</f>
        <v>33397.017241379312</v>
      </c>
      <c r="J32" s="54">
        <f t="shared" si="2"/>
        <v>33397.017241379312</v>
      </c>
      <c r="K32" s="30">
        <f t="shared" si="3"/>
        <v>32271.062695924757</v>
      </c>
      <c r="L32" s="37">
        <f>((L$6)-SUM(L$8:L31))/($A$38-$A31)</f>
        <v>0</v>
      </c>
      <c r="M32" s="37">
        <f>((M$6)-SUM(M$8:M31))/($A$38-$A31)</f>
        <v>0</v>
      </c>
      <c r="N32" s="37">
        <f>((N$6)-SUM(N$8:N31))/($A$38-$A31)</f>
        <v>33352.272727272757</v>
      </c>
      <c r="O32" s="4">
        <f t="shared" si="4"/>
        <v>33352.272727272757</v>
      </c>
      <c r="P32" s="5"/>
      <c r="Q32" s="5">
        <f t="shared" si="5"/>
        <v>48387.096774193546</v>
      </c>
      <c r="R32" s="65">
        <f>((R$6)-SUM(R$8:R31))/($A$38-$A31)</f>
        <v>-3352.2727272727279</v>
      </c>
      <c r="S32" s="5">
        <f t="shared" si="6"/>
        <v>-46160.778592375369</v>
      </c>
      <c r="T32" s="5"/>
      <c r="U32" s="5">
        <f t="shared" si="7"/>
        <v>-1125.9545454545514</v>
      </c>
      <c r="V32" s="19">
        <f t="shared" si="8"/>
        <v>0</v>
      </c>
      <c r="W32" s="19">
        <f t="shared" si="9"/>
        <v>-1125.9545454545514</v>
      </c>
      <c r="X32" s="4">
        <f t="shared" si="10"/>
        <v>32271.062695924757</v>
      </c>
      <c r="Y32" s="19"/>
      <c r="Z32" s="19"/>
      <c r="AA32" s="19"/>
      <c r="AB32" s="19"/>
      <c r="AC32" s="32"/>
      <c r="AD32" s="23"/>
      <c r="AE32" s="33"/>
      <c r="AF32" s="34"/>
      <c r="AG32" s="34"/>
      <c r="AH32" s="34"/>
      <c r="AI32" s="34"/>
      <c r="AJ32" s="35"/>
      <c r="AK32" s="35"/>
      <c r="AL32" s="35"/>
      <c r="AM32" s="36"/>
      <c r="AN32" s="23"/>
      <c r="AO32" s="23"/>
    </row>
    <row r="33" spans="1:41" x14ac:dyDescent="0.2">
      <c r="A33" s="21">
        <f t="shared" si="1"/>
        <v>26</v>
      </c>
      <c r="B33" s="62" t="s">
        <v>42</v>
      </c>
      <c r="C33" s="49"/>
      <c r="D33" s="49"/>
      <c r="E33" s="55">
        <f>+'[3]BAM-EGS'!$BC37</f>
        <v>-1125.9545454545587</v>
      </c>
      <c r="F33" s="49"/>
      <c r="G33" s="28"/>
      <c r="H33" s="54">
        <f>+'[2]BAM-EGS'!$BC37</f>
        <v>0</v>
      </c>
      <c r="I33" s="29">
        <f>'[1]BAM-3RD'!$BK2504</f>
        <v>33397.017241379312</v>
      </c>
      <c r="J33" s="54">
        <f t="shared" si="2"/>
        <v>33397.017241379312</v>
      </c>
      <c r="K33" s="30">
        <f t="shared" si="3"/>
        <v>32271.062695924753</v>
      </c>
      <c r="L33" s="37">
        <f>((L$6)-SUM(L$8:L32))/($A$38-$A32)</f>
        <v>0</v>
      </c>
      <c r="M33" s="37">
        <f>((M$6)-SUM(M$8:M32))/($A$38-$A32)</f>
        <v>0</v>
      </c>
      <c r="N33" s="37">
        <f>((N$6)-SUM(N$8:N32))/($A$38-$A32)</f>
        <v>33352.272727272764</v>
      </c>
      <c r="O33" s="4">
        <f t="shared" si="4"/>
        <v>33352.272727272764</v>
      </c>
      <c r="P33" s="5"/>
      <c r="Q33" s="5">
        <f t="shared" si="5"/>
        <v>48387.096774193546</v>
      </c>
      <c r="R33" s="65">
        <f>((R$6)-SUM(R$8:R32))/($A$38-$A32)</f>
        <v>-3352.2727272727279</v>
      </c>
      <c r="S33" s="5">
        <f t="shared" si="6"/>
        <v>-46160.778592375376</v>
      </c>
      <c r="T33" s="5"/>
      <c r="U33" s="5">
        <f t="shared" si="7"/>
        <v>-1125.9545454545587</v>
      </c>
      <c r="V33" s="19">
        <f t="shared" si="8"/>
        <v>0</v>
      </c>
      <c r="W33" s="19">
        <f t="shared" si="9"/>
        <v>-1125.9545454545587</v>
      </c>
      <c r="X33" s="4">
        <f t="shared" si="10"/>
        <v>32271.062695924753</v>
      </c>
      <c r="Y33" s="19"/>
      <c r="Z33" s="19"/>
      <c r="AA33" s="19"/>
      <c r="AB33" s="19"/>
      <c r="AC33" s="32"/>
      <c r="AD33" s="23"/>
      <c r="AE33" s="33"/>
      <c r="AF33" s="34"/>
      <c r="AG33" s="34"/>
      <c r="AH33" s="34"/>
      <c r="AI33" s="34"/>
      <c r="AJ33" s="35"/>
      <c r="AK33" s="35"/>
      <c r="AL33" s="35"/>
      <c r="AM33" s="36"/>
      <c r="AN33" s="23"/>
      <c r="AO33" s="23"/>
    </row>
    <row r="34" spans="1:41" x14ac:dyDescent="0.2">
      <c r="A34" s="21">
        <f t="shared" si="1"/>
        <v>27</v>
      </c>
      <c r="B34" s="62" t="s">
        <v>42</v>
      </c>
      <c r="C34" s="49"/>
      <c r="D34" s="49"/>
      <c r="E34" s="55">
        <f>+'[3]BAM-EGS'!$BC38</f>
        <v>-1125.9545454545646</v>
      </c>
      <c r="F34" s="49"/>
      <c r="G34" s="28"/>
      <c r="H34" s="54">
        <f>+'[2]BAM-EGS'!$BC38</f>
        <v>0</v>
      </c>
      <c r="I34" s="29">
        <f>'[1]BAM-3RD'!$BK2505</f>
        <v>33397.017241379312</v>
      </c>
      <c r="J34" s="54">
        <f t="shared" si="2"/>
        <v>33397.017241379312</v>
      </c>
      <c r="K34" s="30">
        <f t="shared" si="3"/>
        <v>32271.062695924746</v>
      </c>
      <c r="L34" s="37">
        <f>((L$6)-SUM(L$8:L33))/($A$38-$A33)</f>
        <v>0</v>
      </c>
      <c r="M34" s="37">
        <f>((M$6)-SUM(M$8:M33))/($A$38-$A33)</f>
        <v>0</v>
      </c>
      <c r="N34" s="37">
        <f>((N$6)-SUM(N$8:N33))/($A$38-$A33)</f>
        <v>33352.27272727275</v>
      </c>
      <c r="O34" s="4">
        <f t="shared" si="4"/>
        <v>33352.27272727275</v>
      </c>
      <c r="P34" s="5"/>
      <c r="Q34" s="5">
        <f t="shared" si="5"/>
        <v>48387.096774193546</v>
      </c>
      <c r="R34" s="65">
        <f>((R$6)-SUM(R$8:R33))/($A$38-$A33)</f>
        <v>-3352.2727272727279</v>
      </c>
      <c r="S34" s="5">
        <f t="shared" si="6"/>
        <v>-46160.778592375384</v>
      </c>
      <c r="T34" s="5"/>
      <c r="U34" s="5">
        <f t="shared" si="7"/>
        <v>-1125.954545454566</v>
      </c>
      <c r="V34" s="19">
        <f t="shared" si="8"/>
        <v>0</v>
      </c>
      <c r="W34" s="19">
        <f t="shared" si="9"/>
        <v>-1125.954545454566</v>
      </c>
      <c r="X34" s="4">
        <f t="shared" si="10"/>
        <v>32271.062695924746</v>
      </c>
      <c r="Y34" s="19"/>
      <c r="Z34" s="19"/>
      <c r="AA34" s="19"/>
      <c r="AB34" s="19"/>
      <c r="AC34" s="32"/>
      <c r="AD34" s="23"/>
      <c r="AE34" s="33"/>
      <c r="AF34" s="34"/>
      <c r="AG34" s="34"/>
      <c r="AH34" s="34"/>
      <c r="AI34" s="34"/>
      <c r="AJ34" s="35"/>
      <c r="AK34" s="35"/>
      <c r="AL34" s="35"/>
      <c r="AM34" s="36"/>
      <c r="AN34" s="23"/>
      <c r="AO34" s="23"/>
    </row>
    <row r="35" spans="1:41" x14ac:dyDescent="0.2">
      <c r="A35" s="21">
        <f t="shared" si="1"/>
        <v>28</v>
      </c>
      <c r="B35" s="62" t="s">
        <v>42</v>
      </c>
      <c r="C35" s="49"/>
      <c r="D35" s="49"/>
      <c r="E35" s="55">
        <f>+'[3]BAM-EGS'!$BC39</f>
        <v>-1125.9545454545587</v>
      </c>
      <c r="F35" s="49"/>
      <c r="G35" s="28"/>
      <c r="H35" s="54">
        <f>+'[2]BAM-EGS'!$BC39</f>
        <v>0</v>
      </c>
      <c r="I35" s="29">
        <f>'[1]BAM-3RD'!$BK2506</f>
        <v>33397.017241379312</v>
      </c>
      <c r="J35" s="54">
        <f t="shared" si="2"/>
        <v>33397.017241379312</v>
      </c>
      <c r="K35" s="30">
        <f t="shared" si="3"/>
        <v>32271.062695924753</v>
      </c>
      <c r="L35" s="37">
        <f>((L$6)-SUM(L$8:L34))/($A$38-$A34)</f>
        <v>0</v>
      </c>
      <c r="M35" s="37">
        <f>((M$6)-SUM(M$8:M34))/($A$38-$A34)</f>
        <v>0</v>
      </c>
      <c r="N35" s="37">
        <f>((N$6)-SUM(N$8:N34))/($A$38-$A34)</f>
        <v>33352.272727272764</v>
      </c>
      <c r="O35" s="4">
        <f t="shared" si="4"/>
        <v>33352.272727272764</v>
      </c>
      <c r="P35" s="5"/>
      <c r="Q35" s="5">
        <f t="shared" si="5"/>
        <v>48387.096774193546</v>
      </c>
      <c r="R35" s="65">
        <f>((R$6)-SUM(R$8:R34))/($A$38-$A34)</f>
        <v>-3352.2727272727279</v>
      </c>
      <c r="S35" s="5">
        <f t="shared" si="6"/>
        <v>-46160.778592375376</v>
      </c>
      <c r="T35" s="5"/>
      <c r="U35" s="5">
        <f t="shared" si="7"/>
        <v>-1125.9545454545587</v>
      </c>
      <c r="V35" s="19">
        <f t="shared" si="8"/>
        <v>0</v>
      </c>
      <c r="W35" s="19">
        <f t="shared" si="9"/>
        <v>-1125.9545454545587</v>
      </c>
      <c r="X35" s="4">
        <f t="shared" si="10"/>
        <v>32271.062695924753</v>
      </c>
      <c r="Y35" s="19"/>
      <c r="Z35" s="19"/>
      <c r="AA35" s="19"/>
      <c r="AB35" s="19"/>
      <c r="AC35" s="32"/>
      <c r="AD35" s="23"/>
      <c r="AE35" s="33"/>
      <c r="AF35" s="34"/>
      <c r="AG35" s="34"/>
      <c r="AH35" s="34"/>
      <c r="AI35" s="34"/>
      <c r="AJ35" s="35"/>
      <c r="AK35" s="35"/>
      <c r="AL35" s="35"/>
      <c r="AM35" s="36"/>
      <c r="AN35" s="23"/>
      <c r="AO35" s="23"/>
    </row>
    <row r="36" spans="1:41" x14ac:dyDescent="0.2">
      <c r="A36" s="21">
        <f t="shared" si="1"/>
        <v>29</v>
      </c>
      <c r="B36" s="62" t="s">
        <v>42</v>
      </c>
      <c r="C36" s="49"/>
      <c r="D36" s="49"/>
      <c r="E36" s="55">
        <f>+'[3]BAM-EGS'!$BC40</f>
        <v>-1125.9545454545489</v>
      </c>
      <c r="F36" s="49"/>
      <c r="G36" s="28"/>
      <c r="H36" s="54">
        <f>+'[2]BAM-EGS'!$BC40</f>
        <v>0</v>
      </c>
      <c r="I36" s="29">
        <f>'[1]BAM-3RD'!$BK2507</f>
        <v>33397.017241379312</v>
      </c>
      <c r="J36" s="54">
        <f t="shared" si="2"/>
        <v>33397.017241379312</v>
      </c>
      <c r="K36" s="30">
        <f t="shared" si="3"/>
        <v>32271.062695924764</v>
      </c>
      <c r="L36" s="37">
        <f>((L$6)-SUM(L$8:L35))/($A$38-$A35)</f>
        <v>0</v>
      </c>
      <c r="M36" s="37">
        <f>((M$6)-SUM(M$8:M35))/($A$38-$A35)</f>
        <v>0</v>
      </c>
      <c r="N36" s="37">
        <f>((N$6)-SUM(N$8:N35))/($A$38-$A35)</f>
        <v>33352.272727272786</v>
      </c>
      <c r="O36" s="4">
        <f t="shared" si="4"/>
        <v>33352.272727272786</v>
      </c>
      <c r="P36" s="5"/>
      <c r="Q36" s="5">
        <f t="shared" si="5"/>
        <v>48387.096774193546</v>
      </c>
      <c r="R36" s="65">
        <f>((R$6)-SUM(R$8:R35))/($A$38-$A35)</f>
        <v>-3352.2727272727279</v>
      </c>
      <c r="S36" s="5">
        <f t="shared" si="6"/>
        <v>-46160.778592375369</v>
      </c>
      <c r="T36" s="5"/>
      <c r="U36" s="5">
        <f t="shared" si="7"/>
        <v>-1125.9545454545514</v>
      </c>
      <c r="V36" s="19">
        <f t="shared" si="8"/>
        <v>0</v>
      </c>
      <c r="W36" s="19">
        <f t="shared" si="9"/>
        <v>-1125.9545454545514</v>
      </c>
      <c r="X36" s="4">
        <f t="shared" si="10"/>
        <v>32271.062695924764</v>
      </c>
      <c r="Y36" s="19"/>
      <c r="Z36" s="19"/>
      <c r="AA36" s="19"/>
      <c r="AB36" s="19"/>
      <c r="AC36" s="32"/>
      <c r="AD36" s="23"/>
      <c r="AE36" s="33"/>
      <c r="AF36" s="34"/>
      <c r="AG36" s="34"/>
      <c r="AH36" s="34"/>
      <c r="AI36" s="34"/>
      <c r="AJ36" s="35"/>
      <c r="AK36" s="35"/>
      <c r="AL36" s="35"/>
      <c r="AM36" s="36"/>
      <c r="AN36" s="23"/>
      <c r="AO36" s="23"/>
    </row>
    <row r="37" spans="1:41" x14ac:dyDescent="0.2">
      <c r="A37" s="21">
        <f>A36+1</f>
        <v>30</v>
      </c>
      <c r="B37" s="62" t="s">
        <v>42</v>
      </c>
      <c r="C37" s="49"/>
      <c r="D37" s="49"/>
      <c r="E37" s="55">
        <f>+'[3]BAM-EGS'!$BC41</f>
        <v>-1125.9545454545587</v>
      </c>
      <c r="F37" s="49"/>
      <c r="G37" s="28"/>
      <c r="H37" s="54">
        <f>+'[2]BAM-EGS'!$BC41</f>
        <v>0</v>
      </c>
      <c r="I37" s="29">
        <f>'[1]BAM-3RD'!$BK2508</f>
        <v>33397.017241379312</v>
      </c>
      <c r="J37" s="54">
        <f>SUM(H37:I37)</f>
        <v>33397.017241379312</v>
      </c>
      <c r="K37" s="30">
        <f>SUM(E37,H37,I37)</f>
        <v>32271.062695924753</v>
      </c>
      <c r="L37" s="37">
        <f>((L$6)-SUM(L$8:L36))/($A$38-$A36)</f>
        <v>0</v>
      </c>
      <c r="M37" s="37">
        <f>((M$6)-SUM(M$8:M36))/($A$38-$A36)</f>
        <v>0</v>
      </c>
      <c r="N37" s="37">
        <f>((N$6)-SUM(N$8:N36))/($A$38-$A36)</f>
        <v>33352.272727272764</v>
      </c>
      <c r="O37" s="4">
        <f>SUM(L37:N37)</f>
        <v>33352.272727272764</v>
      </c>
      <c r="P37" s="5"/>
      <c r="Q37" s="5">
        <f t="shared" si="5"/>
        <v>48387.096774193546</v>
      </c>
      <c r="R37" s="65">
        <f>((R$6)-SUM(R$8:R36))/($A$38-$A36)</f>
        <v>-3352.2727272727279</v>
      </c>
      <c r="S37" s="5">
        <f>E37-Q37-R37</f>
        <v>-46160.778592375376</v>
      </c>
      <c r="T37" s="5"/>
      <c r="U37" s="5">
        <f>SUM(Q37:S37)</f>
        <v>-1125.9545454545587</v>
      </c>
      <c r="V37" s="19">
        <f>SUM(H37)</f>
        <v>0</v>
      </c>
      <c r="W37" s="19">
        <f>SUM(U37:V37)</f>
        <v>-1125.9545454545587</v>
      </c>
      <c r="X37" s="4">
        <f>IF(K37&gt;0,K37,0)</f>
        <v>32271.062695924753</v>
      </c>
      <c r="Y37" s="19"/>
      <c r="Z37" s="19"/>
      <c r="AA37" s="19"/>
      <c r="AB37" s="19"/>
      <c r="AC37" s="32"/>
      <c r="AD37" s="23"/>
      <c r="AE37" s="33"/>
      <c r="AF37" s="34"/>
      <c r="AG37" s="34"/>
      <c r="AH37" s="34"/>
      <c r="AI37" s="34"/>
      <c r="AJ37" s="35"/>
      <c r="AK37" s="35"/>
      <c r="AL37" s="35"/>
      <c r="AM37" s="36"/>
      <c r="AN37" s="23"/>
      <c r="AO37" s="23"/>
    </row>
    <row r="38" spans="1:41" x14ac:dyDescent="0.2">
      <c r="A38" s="21">
        <f>A37+1</f>
        <v>31</v>
      </c>
      <c r="B38" s="62" t="s">
        <v>42</v>
      </c>
      <c r="C38" s="49"/>
      <c r="D38" s="49"/>
      <c r="E38" s="55">
        <f>+'[3]BAM-EGS'!$BC42</f>
        <v>-1125.9545454545878</v>
      </c>
      <c r="F38" s="49"/>
      <c r="G38" s="28"/>
      <c r="H38" s="54">
        <f>+'[2]BAM-EGS'!$BC42</f>
        <v>0</v>
      </c>
      <c r="I38" s="29">
        <f>'[1]BAM-3RD'!$BK2509</f>
        <v>33397.017241379304</v>
      </c>
      <c r="J38" s="54">
        <f>SUM(H38:I38)</f>
        <v>33397.017241379304</v>
      </c>
      <c r="K38" s="30">
        <f>SUM(E38,H38,I38)</f>
        <v>32271.062695924717</v>
      </c>
      <c r="L38" s="37">
        <f>((L$6)-SUM(L$8:L37))/($A$38-$A37)</f>
        <v>0</v>
      </c>
      <c r="M38" s="37">
        <f>((M$6)-SUM(M$8:M37))/($A$38-$A37)</f>
        <v>0</v>
      </c>
      <c r="N38" s="37">
        <f>((N$6)-SUM(N$8:N37))/($A$38-$A37)</f>
        <v>33352.272727272706</v>
      </c>
      <c r="O38" s="4">
        <f>SUM(L38:N38)</f>
        <v>33352.272727272706</v>
      </c>
      <c r="P38" s="5"/>
      <c r="Q38" s="5">
        <f>$Q$6/31</f>
        <v>48387.096774193546</v>
      </c>
      <c r="R38" s="65">
        <f>((R$6)-SUM(R$8:R37))/($A$38-$A37)</f>
        <v>-3352.2727272727279</v>
      </c>
      <c r="S38" s="5">
        <f>E38-Q38-R38</f>
        <v>-46160.778592375405</v>
      </c>
      <c r="T38" s="5"/>
      <c r="U38" s="5">
        <f>SUM(Q38:S38)</f>
        <v>-1125.9545454545878</v>
      </c>
      <c r="V38" s="19">
        <f>SUM(H38)</f>
        <v>0</v>
      </c>
      <c r="W38" s="19">
        <f>SUM(U38:V38)</f>
        <v>-1125.9545454545878</v>
      </c>
      <c r="X38" s="4">
        <f>IF(K38&gt;0,K38,0)</f>
        <v>32271.062695924717</v>
      </c>
      <c r="Y38" s="19"/>
      <c r="Z38" s="70" t="s">
        <v>27</v>
      </c>
      <c r="AA38" s="71">
        <v>0</v>
      </c>
      <c r="AB38" s="19"/>
      <c r="AC38" s="32"/>
      <c r="AD38" s="23"/>
      <c r="AE38" s="33"/>
      <c r="AF38" s="34"/>
      <c r="AG38" s="34"/>
      <c r="AH38" s="34"/>
      <c r="AI38" s="34"/>
      <c r="AJ38" s="35"/>
      <c r="AK38" s="35"/>
      <c r="AL38" s="35"/>
      <c r="AM38" s="36"/>
      <c r="AN38" s="23"/>
      <c r="AO38" s="23"/>
    </row>
    <row r="39" spans="1:41" x14ac:dyDescent="0.2">
      <c r="A39" s="30"/>
      <c r="B39" s="21"/>
      <c r="C39" s="30"/>
      <c r="D39" s="30"/>
      <c r="E39" s="38"/>
      <c r="G39" s="28"/>
      <c r="H39" s="29"/>
      <c r="I39" s="29"/>
      <c r="J39" s="29"/>
      <c r="K39" s="21"/>
      <c r="L39" s="1"/>
      <c r="M39" s="1"/>
      <c r="N39" s="1"/>
      <c r="O39" s="1"/>
      <c r="P39" s="1"/>
      <c r="Q39" s="1"/>
      <c r="R39" s="1"/>
      <c r="S39" s="1"/>
      <c r="T39" s="1"/>
      <c r="U39" s="1"/>
      <c r="V39" s="4"/>
      <c r="W39" s="4"/>
      <c r="X39" s="4"/>
      <c r="Y39" s="4"/>
      <c r="Z39" s="70" t="s">
        <v>28</v>
      </c>
      <c r="AA39" s="72">
        <v>0.01</v>
      </c>
      <c r="AB39" s="4"/>
      <c r="AC39" s="23"/>
      <c r="AD39" s="23"/>
      <c r="AE39" s="40"/>
      <c r="AF39" s="23"/>
      <c r="AG39" s="23"/>
      <c r="AH39" s="23"/>
      <c r="AI39" s="23"/>
      <c r="AJ39" s="23"/>
      <c r="AK39" s="23"/>
      <c r="AL39" s="23"/>
      <c r="AM39" s="36"/>
      <c r="AN39" s="23"/>
      <c r="AO39" s="23"/>
    </row>
    <row r="40" spans="1:41" ht="13.5" thickBot="1" x14ac:dyDescent="0.25">
      <c r="C40" s="41">
        <f>SUM(C8:C38)</f>
        <v>0</v>
      </c>
      <c r="D40" s="41">
        <f>SUM(D8:D38)</f>
        <v>0</v>
      </c>
      <c r="E40" s="41">
        <f>SUM(E8:E38)</f>
        <v>500000</v>
      </c>
      <c r="F40" s="41">
        <f>SUM(F8:F38)</f>
        <v>0</v>
      </c>
      <c r="G40" s="41">
        <f>SUM(G8:G38)</f>
        <v>0</v>
      </c>
      <c r="H40" s="41">
        <f>SUM(H8:H39)</f>
        <v>1000000</v>
      </c>
      <c r="I40" s="41">
        <f>SUM(I8:I39)</f>
        <v>1035803.0000000007</v>
      </c>
      <c r="J40" s="41">
        <f>SUM(J8:J39)</f>
        <v>2035802.9999999986</v>
      </c>
      <c r="K40" s="42">
        <f>SUM(K8:K38)</f>
        <v>2535802.9999999977</v>
      </c>
      <c r="L40" s="42">
        <f>SUM(L8:L38)</f>
        <v>0</v>
      </c>
      <c r="M40" s="42">
        <f>SUM(M8:M38)</f>
        <v>0</v>
      </c>
      <c r="N40" s="42">
        <f>SUM(N8:N38)</f>
        <v>930000</v>
      </c>
      <c r="O40" s="42">
        <f>SUM(O8:O38)</f>
        <v>930000</v>
      </c>
      <c r="P40" s="43"/>
      <c r="Q40" s="42">
        <f>SUM(Q8:Q38)</f>
        <v>1499999.9999999995</v>
      </c>
      <c r="R40" s="42">
        <f>SUM(R8:R38)</f>
        <v>0</v>
      </c>
      <c r="S40" s="42">
        <f>SUM(S8:S38)</f>
        <v>-999999.99999999988</v>
      </c>
      <c r="T40" s="42"/>
      <c r="U40" s="42">
        <f>SUM(U8:U38)</f>
        <v>499999.99999999988</v>
      </c>
      <c r="V40" s="42">
        <f>SUM(V8:V38)</f>
        <v>1000000</v>
      </c>
      <c r="W40" s="42">
        <f>SUM(W8:W38)</f>
        <v>1499999.9999999991</v>
      </c>
      <c r="X40" s="43">
        <f>SUM(X8:X39)</f>
        <v>2535802.9999999977</v>
      </c>
      <c r="Y40" s="46">
        <f>X40*AA42</f>
        <v>0</v>
      </c>
      <c r="Z40" s="68" t="s">
        <v>29</v>
      </c>
      <c r="AA40" s="66">
        <f>AA38*AA39</f>
        <v>0</v>
      </c>
      <c r="AB40" s="43"/>
      <c r="AC40" s="23"/>
      <c r="AD40" s="23"/>
      <c r="AE40" s="40"/>
      <c r="AF40" s="23"/>
      <c r="AG40" s="23"/>
      <c r="AH40" s="23"/>
      <c r="AI40" s="23"/>
      <c r="AJ40" s="23"/>
      <c r="AK40" s="23"/>
      <c r="AL40" s="23"/>
      <c r="AM40" s="23"/>
      <c r="AN40" s="23"/>
      <c r="AO40" s="23"/>
    </row>
    <row r="41" spans="1:41" ht="13.5" thickTop="1" x14ac:dyDescent="0.2">
      <c r="A41" s="21" t="s">
        <v>9</v>
      </c>
      <c r="C41" s="44"/>
      <c r="D41" s="44"/>
      <c r="E41" s="44"/>
      <c r="F41" s="44"/>
      <c r="G41" s="44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45"/>
      <c r="Y41" s="45"/>
      <c r="Z41" s="69" t="s">
        <v>30</v>
      </c>
      <c r="AA41" s="67">
        <f>AA38*0.075*0.075</f>
        <v>0</v>
      </c>
      <c r="AB41" s="45"/>
      <c r="AC41" s="23"/>
      <c r="AD41" s="23"/>
      <c r="AE41" s="40"/>
      <c r="AF41" s="23"/>
      <c r="AG41" s="23"/>
      <c r="AH41" s="23"/>
      <c r="AI41" s="23"/>
      <c r="AJ41" s="23"/>
      <c r="AK41" s="23"/>
      <c r="AL41" s="23"/>
      <c r="AM41" s="23"/>
      <c r="AN41" s="23"/>
      <c r="AO41" s="23"/>
    </row>
    <row r="42" spans="1:41" ht="13.5" thickBot="1" x14ac:dyDescent="0.25">
      <c r="A42" s="21" t="s">
        <v>10</v>
      </c>
      <c r="C42" s="42"/>
      <c r="D42" s="42"/>
      <c r="E42" s="42">
        <f>E40-E6</f>
        <v>0</v>
      </c>
      <c r="F42" s="42"/>
      <c r="G42" s="42"/>
      <c r="H42" s="42">
        <f>H40-H6</f>
        <v>0</v>
      </c>
      <c r="I42" s="42">
        <f>I40-I6</f>
        <v>0</v>
      </c>
      <c r="J42" s="42"/>
      <c r="K42" s="42">
        <f>K40-K6</f>
        <v>0</v>
      </c>
      <c r="L42" s="42">
        <f>L40-L6</f>
        <v>0</v>
      </c>
      <c r="M42" s="42">
        <f>M40-M6</f>
        <v>0</v>
      </c>
      <c r="N42" s="42">
        <f>N40-N6</f>
        <v>0</v>
      </c>
      <c r="O42" s="42"/>
      <c r="P42" s="42"/>
      <c r="Q42" s="42"/>
      <c r="R42" s="42"/>
      <c r="S42" s="42"/>
      <c r="T42" s="42"/>
      <c r="U42" s="42"/>
      <c r="V42" s="42"/>
      <c r="W42" s="42"/>
      <c r="X42" s="43"/>
      <c r="Y42" s="43"/>
      <c r="Z42" s="43"/>
      <c r="AA42" s="66">
        <f>SUM(AA40:AA41)</f>
        <v>0</v>
      </c>
      <c r="AB42" s="4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23"/>
    </row>
    <row r="43" spans="1:41" ht="13.5" thickTop="1" x14ac:dyDescent="0.2">
      <c r="A43" s="21" t="s">
        <v>11</v>
      </c>
      <c r="C43" s="63">
        <f>SUM(C17:C38)</f>
        <v>0</v>
      </c>
      <c r="D43" s="63">
        <f t="shared" ref="D43:W43" si="11">SUM(D17:D38)</f>
        <v>0</v>
      </c>
      <c r="E43" s="63">
        <f t="shared" si="11"/>
        <v>-24771.000000000229</v>
      </c>
      <c r="F43" s="63">
        <f t="shared" si="11"/>
        <v>0</v>
      </c>
      <c r="G43" s="63">
        <f t="shared" si="11"/>
        <v>0</v>
      </c>
      <c r="H43" s="63">
        <f t="shared" si="11"/>
        <v>0</v>
      </c>
      <c r="I43" s="63">
        <f t="shared" si="11"/>
        <v>734734.37931034504</v>
      </c>
      <c r="J43" s="63">
        <f t="shared" si="11"/>
        <v>734734.37931034504</v>
      </c>
      <c r="K43" s="63">
        <f t="shared" si="11"/>
        <v>709963.37931034481</v>
      </c>
      <c r="L43" s="63">
        <f t="shared" si="11"/>
        <v>0</v>
      </c>
      <c r="M43" s="63">
        <f t="shared" si="11"/>
        <v>0</v>
      </c>
      <c r="N43" s="63">
        <f t="shared" si="11"/>
        <v>733750.00000000023</v>
      </c>
      <c r="O43" s="63">
        <f t="shared" si="11"/>
        <v>733750.00000000023</v>
      </c>
      <c r="P43" s="63"/>
      <c r="Q43" s="63">
        <f t="shared" si="11"/>
        <v>1064516.1290322584</v>
      </c>
      <c r="R43" s="63">
        <f t="shared" si="11"/>
        <v>-73750.000000000029</v>
      </c>
      <c r="S43" s="63">
        <f t="shared" si="11"/>
        <v>-1015537.1290322578</v>
      </c>
      <c r="T43" s="63"/>
      <c r="U43" s="63">
        <f t="shared" si="11"/>
        <v>-24771.000000000226</v>
      </c>
      <c r="V43" s="63">
        <f t="shared" si="11"/>
        <v>0</v>
      </c>
      <c r="W43" s="63">
        <f t="shared" si="11"/>
        <v>-24771.000000000226</v>
      </c>
      <c r="X43" s="63"/>
      <c r="Y43" s="43"/>
      <c r="Z43" s="43"/>
      <c r="AA43" s="43"/>
      <c r="AB43" s="4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23"/>
    </row>
    <row r="44" spans="1:41" x14ac:dyDescent="0.2">
      <c r="A44" s="21" t="s">
        <v>38</v>
      </c>
      <c r="E44" s="46"/>
      <c r="F44" s="46"/>
      <c r="G44" s="46"/>
      <c r="H44" s="43"/>
      <c r="I44" s="43"/>
      <c r="J44" s="43"/>
      <c r="K44" s="43">
        <f>SUM([5]BMSPT066!$K$34:$K$37)+SUM(K8:K10)</f>
        <v>1726223.6206896552</v>
      </c>
      <c r="L44" s="43"/>
      <c r="M44" s="43"/>
      <c r="N44" s="43"/>
      <c r="O44" s="43"/>
      <c r="P44" s="43"/>
      <c r="Q44" s="18" t="str">
        <f>IF(Q43&gt;0,"SHORT","LONG")</f>
        <v>SHORT</v>
      </c>
      <c r="R44" s="18" t="str">
        <f>IF(R43&gt;0,"SHORT","LONG")</f>
        <v>LONG</v>
      </c>
      <c r="S44" s="18" t="str">
        <f>IF(S43&gt;0,"SHORT","LONG")</f>
        <v>LONG</v>
      </c>
      <c r="T44" s="18"/>
      <c r="U44" s="18" t="str">
        <f>IF(U43&gt;0,"SHORT","LONG")</f>
        <v>LONG</v>
      </c>
      <c r="V44" s="18" t="str">
        <f>IF(V43&gt;0,"SHORT","LONG")</f>
        <v>LONG</v>
      </c>
      <c r="W44" s="18" t="str">
        <f>IF(W43&gt;0,"SHORT","LONG")</f>
        <v>LONG</v>
      </c>
      <c r="X44" s="23"/>
      <c r="Y44" s="34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23"/>
    </row>
    <row r="45" spans="1:41" x14ac:dyDescent="0.2">
      <c r="A45" s="21" t="s">
        <v>39</v>
      </c>
      <c r="E45" s="46"/>
      <c r="F45" s="46"/>
      <c r="G45" s="46"/>
      <c r="H45" s="43"/>
      <c r="I45" s="43"/>
      <c r="J45" s="43"/>
      <c r="K45" s="43">
        <f>SUM(K11:K17)</f>
        <v>1466107.0626959247</v>
      </c>
      <c r="L45" s="43"/>
      <c r="M45" s="43"/>
      <c r="N45" s="43"/>
      <c r="O45" s="43"/>
      <c r="P45" s="43"/>
      <c r="Q45" s="18"/>
      <c r="R45" s="18"/>
      <c r="S45" s="18"/>
      <c r="T45" s="18"/>
      <c r="U45" s="73" t="s">
        <v>32</v>
      </c>
      <c r="V45" s="18"/>
      <c r="W45" s="63">
        <v>-35083.000000000109</v>
      </c>
      <c r="X45" s="23"/>
      <c r="Y45" s="34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23"/>
    </row>
    <row r="46" spans="1:41" x14ac:dyDescent="0.2">
      <c r="A46" s="21" t="s">
        <v>40</v>
      </c>
      <c r="E46" s="46"/>
      <c r="F46" s="46"/>
      <c r="G46" s="46"/>
      <c r="H46" s="43"/>
      <c r="I46" s="43"/>
      <c r="J46" s="43"/>
      <c r="K46" s="43">
        <f>SUM(K18:K24)</f>
        <v>225897.43887147336</v>
      </c>
      <c r="L46" s="43"/>
      <c r="M46" s="43"/>
      <c r="N46" s="43"/>
      <c r="O46" s="43"/>
      <c r="P46" s="43"/>
      <c r="Q46" s="18"/>
      <c r="R46" s="18"/>
      <c r="S46" s="18"/>
      <c r="T46" s="18"/>
      <c r="U46" s="73" t="s">
        <v>31</v>
      </c>
      <c r="V46" s="18"/>
      <c r="W46" s="43">
        <f>+W45-W43</f>
        <v>-10311.999999999884</v>
      </c>
      <c r="X46" s="23"/>
      <c r="Y46" s="34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23"/>
    </row>
    <row r="47" spans="1:41" x14ac:dyDescent="0.2">
      <c r="A47" s="21" t="s">
        <v>41</v>
      </c>
      <c r="K47" s="43">
        <f>SUM(K25:K31)</f>
        <v>225897.43887147328</v>
      </c>
      <c r="U47" s="23"/>
      <c r="V47" s="23"/>
      <c r="W47" s="23"/>
    </row>
    <row r="48" spans="1:41" x14ac:dyDescent="0.2">
      <c r="K48" s="43"/>
      <c r="U48" s="23"/>
      <c r="V48" s="23"/>
      <c r="W48" s="23"/>
    </row>
    <row r="49" spans="21:23" x14ac:dyDescent="0.2">
      <c r="U49" s="23"/>
      <c r="V49" s="23"/>
      <c r="W49" s="23"/>
    </row>
    <row r="50" spans="21:23" x14ac:dyDescent="0.2">
      <c r="U50" s="23"/>
      <c r="V50" s="23"/>
      <c r="W50" s="23"/>
    </row>
  </sheetData>
  <mergeCells count="7">
    <mergeCell ref="Q3:S3"/>
    <mergeCell ref="U3:W3"/>
    <mergeCell ref="C4:E4"/>
    <mergeCell ref="A1:E1"/>
    <mergeCell ref="A2:E2"/>
    <mergeCell ref="A3:E3"/>
    <mergeCell ref="F4:J4"/>
  </mergeCells>
  <printOptions gridLines="1" gridLinesSet="0"/>
  <pageMargins left="0.28000000000000003" right="0.24" top="0.77" bottom="0.38" header="0.25" footer="0.17"/>
  <pageSetup paperSize="5" scale="72" orientation="landscape" horizontalDpi="4294967292" verticalDpi="4294967292" r:id="rId1"/>
  <headerFooter alignWithMargins="0">
    <oddHeader>&amp;LPrepared by:  Kenny Soignet&amp;C&amp;"Arial,Bold"&amp;14Morning Report
05/9/2001
&amp;R&amp;D    &amp;T</oddHeader>
    <oddFooter>&amp;L&amp;F</oddFooter>
  </headerFooter>
  <rowBreaks count="1" manualBreakCount="1">
    <brk id="44" max="22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BMSPT066</vt:lpstr>
      <vt:lpstr>Chart1</vt:lpstr>
      <vt:lpstr>BMSPT066!Print_Area</vt:lpstr>
      <vt:lpstr>BMSPT066!Print_Titles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Soignet, Kenny J</dc:creator>
  <cp:keywords/>
  <dc:description>- Oracle 8i ODBC QueryFix Applied</dc:description>
  <cp:lastModifiedBy>Felienne</cp:lastModifiedBy>
  <cp:lastPrinted>2001-05-04T13:43:52Z</cp:lastPrinted>
  <dcterms:created xsi:type="dcterms:W3CDTF">1997-02-03T15:25:11Z</dcterms:created>
  <dcterms:modified xsi:type="dcterms:W3CDTF">2014-09-03T13:45:13Z</dcterms:modified>
</cp:coreProperties>
</file>