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 s="1"/>
  <c r="F8" i="18"/>
  <c r="F39" i="18" s="1"/>
  <c r="D48" i="18" s="1"/>
  <c r="D49" i="18" s="1"/>
  <c r="D28" i="80" s="1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48" i="69" s="1"/>
  <c r="D49" i="69" s="1"/>
  <c r="D22" i="80" s="1"/>
  <c r="H42" i="69"/>
  <c r="H44" i="69" s="1"/>
  <c r="A47" i="69"/>
  <c r="A48" i="69"/>
  <c r="G3" i="80"/>
  <c r="G59" i="80" s="1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H59" i="80"/>
  <c r="F68" i="80"/>
  <c r="F69" i="80"/>
  <c r="F70" i="80"/>
  <c r="F71" i="80"/>
  <c r="F75" i="80"/>
  <c r="F76" i="80"/>
  <c r="F77" i="80"/>
  <c r="F78" i="80"/>
  <c r="F82" i="80"/>
  <c r="F83" i="80"/>
  <c r="F84" i="80"/>
  <c r="F85" i="80"/>
  <c r="A130" i="80"/>
  <c r="D6" i="74"/>
  <c r="D7" i="74"/>
  <c r="D8" i="74"/>
  <c r="J8" i="74"/>
  <c r="L8" i="74"/>
  <c r="D9" i="74"/>
  <c r="J9" i="74"/>
  <c r="L9" i="74" s="1"/>
  <c r="D10" i="74"/>
  <c r="J10" i="74"/>
  <c r="L10" i="74" s="1"/>
  <c r="D11" i="74"/>
  <c r="H11" i="74"/>
  <c r="J11" i="74" s="1"/>
  <c r="L11" i="74" s="1"/>
  <c r="D12" i="74"/>
  <c r="H12" i="74"/>
  <c r="J12" i="74"/>
  <c r="L12" i="74" s="1"/>
  <c r="D13" i="74"/>
  <c r="J13" i="74"/>
  <c r="L13" i="74"/>
  <c r="D14" i="74"/>
  <c r="J14" i="74"/>
  <c r="L14" i="74" s="1"/>
  <c r="D15" i="74"/>
  <c r="D16" i="74"/>
  <c r="D17" i="74"/>
  <c r="D18" i="74"/>
  <c r="D19" i="74"/>
  <c r="H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I19" i="74" s="1"/>
  <c r="J19" i="74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A47" i="72"/>
  <c r="A48" i="72"/>
  <c r="D5" i="78"/>
  <c r="D6" i="78"/>
  <c r="D7" i="78"/>
  <c r="D8" i="78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K5" i="13" s="1"/>
  <c r="J5" i="13"/>
  <c r="N5" i="13"/>
  <c r="F6" i="13"/>
  <c r="I6" i="13"/>
  <c r="J6" i="13"/>
  <c r="K6" i="13"/>
  <c r="M6" i="13" s="1"/>
  <c r="N6" i="13"/>
  <c r="F7" i="13"/>
  <c r="I7" i="13"/>
  <c r="J7" i="13"/>
  <c r="K7" i="13"/>
  <c r="M7" i="13" s="1"/>
  <c r="N7" i="13"/>
  <c r="F8" i="13"/>
  <c r="I8" i="13"/>
  <c r="K8" i="13" s="1"/>
  <c r="M8" i="13" s="1"/>
  <c r="J8" i="13"/>
  <c r="N8" i="13"/>
  <c r="N10" i="13" s="1"/>
  <c r="F9" i="13"/>
  <c r="I9" i="13"/>
  <c r="K9" i="13" s="1"/>
  <c r="M9" i="13" s="1"/>
  <c r="J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D47" i="13" s="1"/>
  <c r="D48" i="13" s="1"/>
  <c r="D27" i="80" s="1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6" i="73" s="1"/>
  <c r="J35" i="73" s="1"/>
  <c r="J36" i="73" s="1"/>
  <c r="E35" i="73"/>
  <c r="F35" i="73"/>
  <c r="H35" i="73"/>
  <c r="C36" i="73"/>
  <c r="I35" i="73" s="1"/>
  <c r="I36" i="73" s="1"/>
  <c r="F36" i="73"/>
  <c r="F39" i="73"/>
  <c r="H41" i="73"/>
  <c r="F46" i="73"/>
  <c r="K46" i="73"/>
  <c r="B71" i="73" s="1"/>
  <c r="B68" i="73"/>
  <c r="C68" i="73"/>
  <c r="B69" i="73"/>
  <c r="C69" i="73"/>
  <c r="B70" i="73"/>
  <c r="C70" i="73"/>
  <c r="C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J11" i="20"/>
  <c r="B13" i="20"/>
  <c r="B14" i="20"/>
  <c r="B18" i="20" s="1"/>
  <c r="F39" i="20" s="1"/>
  <c r="F40" i="20" s="1"/>
  <c r="B15" i="20"/>
  <c r="J15" i="20"/>
  <c r="B17" i="20"/>
  <c r="B31" i="20"/>
  <c r="G39" i="20" s="1"/>
  <c r="G40" i="20" s="1"/>
  <c r="E38" i="20"/>
  <c r="E39" i="20"/>
  <c r="H39" i="20"/>
  <c r="H40" i="20" s="1"/>
  <c r="B46" i="20"/>
  <c r="H5" i="11"/>
  <c r="H6" i="11"/>
  <c r="H7" i="11"/>
  <c r="H8" i="11"/>
  <c r="AB8" i="11"/>
  <c r="AC8" i="11" s="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7" i="11" s="1"/>
  <c r="C36" i="11"/>
  <c r="D36" i="11"/>
  <c r="E36" i="11"/>
  <c r="E37" i="11" s="1"/>
  <c r="F36" i="11"/>
  <c r="G36" i="11"/>
  <c r="AC36" i="11"/>
  <c r="AE36" i="11"/>
  <c r="AI36" i="11"/>
  <c r="AL36" i="11"/>
  <c r="AM36" i="11"/>
  <c r="AN36" i="11"/>
  <c r="AO36" i="11"/>
  <c r="AA37" i="11"/>
  <c r="AM37" i="11" s="1"/>
  <c r="AF37" i="11"/>
  <c r="AI37" i="11"/>
  <c r="AL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E39" i="11"/>
  <c r="B77" i="80" s="1"/>
  <c r="C77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L47" i="11"/>
  <c r="AM47" i="11"/>
  <c r="AN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46" i="75" s="1"/>
  <c r="D47" i="75" s="1"/>
  <c r="D49" i="80" s="1"/>
  <c r="A45" i="75"/>
  <c r="A46" i="75"/>
  <c r="D6" i="22"/>
  <c r="F6" i="22" s="1"/>
  <c r="D7" i="22"/>
  <c r="F7" i="22" s="1"/>
  <c r="D8" i="22"/>
  <c r="F8" i="22" s="1"/>
  <c r="D9" i="22"/>
  <c r="F9" i="22" s="1"/>
  <c r="D10" i="22"/>
  <c r="D11" i="22"/>
  <c r="F11" i="22" s="1"/>
  <c r="D12" i="22"/>
  <c r="F12" i="22" s="1"/>
  <c r="D13" i="22"/>
  <c r="F13" i="22" s="1"/>
  <c r="D14" i="22"/>
  <c r="F14" i="22" s="1"/>
  <c r="D15" i="22"/>
  <c r="F15" i="22" s="1"/>
  <c r="D16" i="22"/>
  <c r="F16" i="22" s="1"/>
  <c r="D17" i="22"/>
  <c r="F17" i="22" s="1"/>
  <c r="D18" i="22"/>
  <c r="F18" i="22" s="1"/>
  <c r="D19" i="22"/>
  <c r="F19" i="22" s="1"/>
  <c r="D20" i="22"/>
  <c r="F20" i="22" s="1"/>
  <c r="D21" i="22"/>
  <c r="F21" i="22" s="1"/>
  <c r="D22" i="22"/>
  <c r="F22" i="22" s="1"/>
  <c r="D23" i="22"/>
  <c r="F23" i="22" s="1"/>
  <c r="D24" i="22"/>
  <c r="F24" i="22" s="1"/>
  <c r="D25" i="22"/>
  <c r="F25" i="22" s="1"/>
  <c r="D26" i="22"/>
  <c r="F26" i="22" s="1"/>
  <c r="D27" i="22"/>
  <c r="F27" i="22" s="1"/>
  <c r="D28" i="22"/>
  <c r="F28" i="22" s="1"/>
  <c r="D29" i="22"/>
  <c r="F29" i="22" s="1"/>
  <c r="D30" i="22"/>
  <c r="F30" i="22" s="1"/>
  <c r="D31" i="22"/>
  <c r="F31" i="22" s="1"/>
  <c r="D32" i="22"/>
  <c r="F32" i="22" s="1"/>
  <c r="D33" i="22"/>
  <c r="F33" i="22" s="1"/>
  <c r="D34" i="22"/>
  <c r="F34" i="22" s="1"/>
  <c r="D35" i="22"/>
  <c r="F35" i="22" s="1"/>
  <c r="D36" i="22"/>
  <c r="F36" i="22" s="1"/>
  <c r="B37" i="22"/>
  <c r="C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D49" i="5" s="1"/>
  <c r="D50" i="5" s="1"/>
  <c r="D85" i="80" s="1"/>
  <c r="A48" i="5"/>
  <c r="A49" i="5"/>
  <c r="J8" i="17"/>
  <c r="J9" i="17"/>
  <c r="J10" i="17"/>
  <c r="J11" i="17"/>
  <c r="J12" i="17"/>
  <c r="J13" i="17"/>
  <c r="J14" i="17"/>
  <c r="J39" i="17" s="1"/>
  <c r="D48" i="17" s="1"/>
  <c r="D49" i="17" s="1"/>
  <c r="D33" i="80" s="1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34" i="67" s="1"/>
  <c r="F4" i="67"/>
  <c r="F5" i="67"/>
  <c r="F6" i="67"/>
  <c r="F7" i="67"/>
  <c r="F8" i="67"/>
  <c r="F9" i="67"/>
  <c r="F10" i="67"/>
  <c r="L10" i="67"/>
  <c r="S10" i="67"/>
  <c r="F11" i="67"/>
  <c r="J11" i="67"/>
  <c r="L11" i="67"/>
  <c r="N11" i="67" s="1"/>
  <c r="S11" i="67"/>
  <c r="U11" i="67" s="1"/>
  <c r="F12" i="67"/>
  <c r="J12" i="67"/>
  <c r="L12" i="67"/>
  <c r="N12" i="67" s="1"/>
  <c r="S12" i="67"/>
  <c r="U12" i="67" s="1"/>
  <c r="F13" i="67"/>
  <c r="J13" i="67"/>
  <c r="L13" i="67"/>
  <c r="N13" i="67" s="1"/>
  <c r="S13" i="67"/>
  <c r="U13" i="67" s="1"/>
  <c r="F14" i="67"/>
  <c r="L14" i="67"/>
  <c r="N14" i="67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R34" i="67"/>
  <c r="F37" i="67"/>
  <c r="F38" i="67" s="1"/>
  <c r="A43" i="67"/>
  <c r="A44" i="67"/>
  <c r="D6" i="65"/>
  <c r="D7" i="65"/>
  <c r="D8" i="65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 s="1"/>
  <c r="D18" i="77"/>
  <c r="K18" i="77"/>
  <c r="M18" i="77"/>
  <c r="D19" i="77"/>
  <c r="K19" i="77"/>
  <c r="M19" i="77" s="1"/>
  <c r="D20" i="77"/>
  <c r="K20" i="77"/>
  <c r="M20" i="77"/>
  <c r="D21" i="77"/>
  <c r="K21" i="77"/>
  <c r="M21" i="77" s="1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F6" i="7"/>
  <c r="Z6" i="7"/>
  <c r="AD6" i="7" s="1"/>
  <c r="AF6" i="7" s="1"/>
  <c r="F7" i="7"/>
  <c r="Z7" i="7"/>
  <c r="AD7" i="7"/>
  <c r="AF7" i="7" s="1"/>
  <c r="F8" i="7"/>
  <c r="Z8" i="7"/>
  <c r="AD8" i="7" s="1"/>
  <c r="AF8" i="7" s="1"/>
  <c r="F9" i="7"/>
  <c r="Z9" i="7"/>
  <c r="AD9" i="7"/>
  <c r="AF9" i="7" s="1"/>
  <c r="F10" i="7"/>
  <c r="Z10" i="7"/>
  <c r="AD10" i="7" s="1"/>
  <c r="AF10" i="7"/>
  <c r="F11" i="7"/>
  <c r="Z11" i="7"/>
  <c r="AD11" i="7"/>
  <c r="AF11" i="7" s="1"/>
  <c r="F12" i="7"/>
  <c r="Z12" i="7"/>
  <c r="AD12" i="7" s="1"/>
  <c r="AF12" i="7" s="1"/>
  <c r="F13" i="7"/>
  <c r="Z13" i="7"/>
  <c r="AD13" i="7"/>
  <c r="AF13" i="7" s="1"/>
  <c r="F14" i="7"/>
  <c r="Z14" i="7"/>
  <c r="AD14" i="7" s="1"/>
  <c r="AF14" i="7"/>
  <c r="F15" i="7"/>
  <c r="Z15" i="7"/>
  <c r="AD15" i="7"/>
  <c r="AF15" i="7" s="1"/>
  <c r="F16" i="7"/>
  <c r="Z16" i="7"/>
  <c r="AD16" i="7" s="1"/>
  <c r="AF16" i="7" s="1"/>
  <c r="F17" i="7"/>
  <c r="Z17" i="7"/>
  <c r="AD17" i="7" s="1"/>
  <c r="AF17" i="7"/>
  <c r="F18" i="7"/>
  <c r="AI18" i="7"/>
  <c r="F19" i="7"/>
  <c r="Z19" i="7"/>
  <c r="AD19" i="7"/>
  <c r="F20" i="7"/>
  <c r="Z20" i="7"/>
  <c r="AD20" i="7" s="1"/>
  <c r="AF20" i="7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6" i="16" s="1"/>
  <c r="D47" i="16" s="1"/>
  <c r="D37" i="80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 s="1"/>
  <c r="H5" i="9"/>
  <c r="P5" i="9"/>
  <c r="R5" i="9" s="1"/>
  <c r="H6" i="9"/>
  <c r="P6" i="9"/>
  <c r="R6" i="9"/>
  <c r="H7" i="9"/>
  <c r="N7" i="9"/>
  <c r="P7" i="9" s="1"/>
  <c r="R7" i="9"/>
  <c r="H8" i="9"/>
  <c r="P8" i="9"/>
  <c r="R8" i="9" s="1"/>
  <c r="H9" i="9"/>
  <c r="N9" i="9"/>
  <c r="P9" i="9" s="1"/>
  <c r="R9" i="9" s="1"/>
  <c r="H10" i="9"/>
  <c r="P10" i="9"/>
  <c r="R10" i="9"/>
  <c r="H11" i="9"/>
  <c r="P11" i="9"/>
  <c r="R11" i="9"/>
  <c r="H12" i="9"/>
  <c r="P12" i="9"/>
  <c r="R12" i="9"/>
  <c r="H13" i="9"/>
  <c r="P13" i="9"/>
  <c r="R13" i="9" s="1"/>
  <c r="H14" i="9"/>
  <c r="P14" i="9"/>
  <c r="R14" i="9" s="1"/>
  <c r="H15" i="9"/>
  <c r="P15" i="9"/>
  <c r="R15" i="9" s="1"/>
  <c r="H16" i="9"/>
  <c r="P16" i="9"/>
  <c r="R16" i="9"/>
  <c r="H17" i="9"/>
  <c r="H18" i="9"/>
  <c r="H19" i="9"/>
  <c r="H20" i="9"/>
  <c r="H21" i="9"/>
  <c r="H22" i="9"/>
  <c r="H23" i="9"/>
  <c r="H24" i="9"/>
  <c r="H25" i="9"/>
  <c r="H26" i="9"/>
  <c r="H27" i="9"/>
  <c r="H35" i="9" s="1"/>
  <c r="E47" i="9" s="1"/>
  <c r="E48" i="9" s="1"/>
  <c r="D34" i="80" s="1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8" i="93"/>
  <c r="A48" i="93"/>
  <c r="A49" i="93"/>
  <c r="B5" i="64"/>
  <c r="D5" i="64"/>
  <c r="D6" i="64"/>
  <c r="B7" i="64"/>
  <c r="D7" i="64"/>
  <c r="D8" i="64"/>
  <c r="B9" i="64"/>
  <c r="D9" i="64" s="1"/>
  <c r="D10" i="64"/>
  <c r="B11" i="64"/>
  <c r="D11" i="64" s="1"/>
  <c r="D12" i="64"/>
  <c r="D13" i="64"/>
  <c r="D18" i="64"/>
  <c r="A28" i="64"/>
  <c r="A29" i="64"/>
  <c r="F8" i="15"/>
  <c r="AF8" i="15"/>
  <c r="AJ8" i="15"/>
  <c r="AN8" i="15"/>
  <c r="AR8" i="15"/>
  <c r="AV8" i="15"/>
  <c r="F9" i="15"/>
  <c r="M9" i="15"/>
  <c r="AF9" i="15"/>
  <c r="AJ9" i="15"/>
  <c r="AN9" i="15"/>
  <c r="AR9" i="15"/>
  <c r="AV9" i="15"/>
  <c r="F10" i="15"/>
  <c r="M10" i="15"/>
  <c r="O10" i="15" s="1"/>
  <c r="AF10" i="15"/>
  <c r="AJ10" i="15"/>
  <c r="AN10" i="15"/>
  <c r="AR10" i="15"/>
  <c r="AV10" i="15"/>
  <c r="F11" i="15"/>
  <c r="M11" i="15"/>
  <c r="O11" i="15" s="1"/>
  <c r="AF11" i="15"/>
  <c r="AJ11" i="15"/>
  <c r="AN11" i="15"/>
  <c r="AR11" i="15"/>
  <c r="AV11" i="15"/>
  <c r="F12" i="15"/>
  <c r="M12" i="15"/>
  <c r="O12" i="15" s="1"/>
  <c r="AF12" i="15"/>
  <c r="AJ12" i="15"/>
  <c r="AN12" i="15"/>
  <c r="AR12" i="15"/>
  <c r="AV12" i="15"/>
  <c r="F13" i="15"/>
  <c r="M13" i="15"/>
  <c r="O13" i="15" s="1"/>
  <c r="AF13" i="15"/>
  <c r="AJ13" i="15"/>
  <c r="AN13" i="15"/>
  <c r="AR13" i="15"/>
  <c r="AV13" i="15"/>
  <c r="F14" i="15"/>
  <c r="M14" i="15"/>
  <c r="O14" i="15" s="1"/>
  <c r="AF14" i="15"/>
  <c r="AJ14" i="15"/>
  <c r="AN14" i="15"/>
  <c r="AR14" i="15"/>
  <c r="AV14" i="15"/>
  <c r="F15" i="15"/>
  <c r="M15" i="15"/>
  <c r="O15" i="15" s="1"/>
  <c r="AF15" i="15"/>
  <c r="AJ15" i="15"/>
  <c r="AN15" i="15"/>
  <c r="AR15" i="15"/>
  <c r="AV15" i="15"/>
  <c r="F16" i="15"/>
  <c r="M16" i="15"/>
  <c r="O16" i="15" s="1"/>
  <c r="AF16" i="15"/>
  <c r="AJ16" i="15"/>
  <c r="AN16" i="15"/>
  <c r="AQ16" i="15"/>
  <c r="AR16" i="15" s="1"/>
  <c r="AU16" i="15"/>
  <c r="AV16" i="15"/>
  <c r="F17" i="15"/>
  <c r="M17" i="15"/>
  <c r="O17" i="15" s="1"/>
  <c r="AF17" i="15"/>
  <c r="AJ17" i="15"/>
  <c r="AN17" i="15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N19" i="15"/>
  <c r="AR19" i="15"/>
  <c r="AV19" i="15"/>
  <c r="F20" i="15"/>
  <c r="M20" i="15"/>
  <c r="O20" i="15" s="1"/>
  <c r="AF20" i="15"/>
  <c r="AJ20" i="15"/>
  <c r="AN20" i="15"/>
  <c r="AR20" i="15"/>
  <c r="AV20" i="15"/>
  <c r="F21" i="15"/>
  <c r="M21" i="15"/>
  <c r="O21" i="15" s="1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 s="1"/>
  <c r="AV22" i="15"/>
  <c r="F23" i="15"/>
  <c r="H23" i="15"/>
  <c r="I23" i="15"/>
  <c r="L23" i="15"/>
  <c r="N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J23" i="15" s="1"/>
  <c r="D39" i="15"/>
  <c r="K23" i="15" s="1"/>
  <c r="E39" i="15"/>
  <c r="F39" i="15"/>
  <c r="AD39" i="15"/>
  <c r="AE39" i="15"/>
  <c r="AH39" i="15"/>
  <c r="AI39" i="15"/>
  <c r="AL39" i="15"/>
  <c r="AM39" i="15"/>
  <c r="AP39" i="15"/>
  <c r="AT39" i="15"/>
  <c r="F45" i="15"/>
  <c r="A50" i="15"/>
  <c r="A51" i="15"/>
  <c r="D51" i="15"/>
  <c r="D52" i="15"/>
  <c r="D75" i="80" s="1"/>
  <c r="AH52" i="15"/>
  <c r="AH54" i="15"/>
  <c r="AH56" i="15"/>
  <c r="AH57" i="15" s="1"/>
  <c r="F86" i="15"/>
  <c r="K86" i="15"/>
  <c r="F87" i="15"/>
  <c r="K87" i="15"/>
  <c r="K114" i="15" s="1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F101" i="15" s="1"/>
  <c r="C101" i="15" s="1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F126" i="15"/>
  <c r="F127" i="15"/>
  <c r="F128" i="15"/>
  <c r="F129" i="15"/>
  <c r="F130" i="15"/>
  <c r="F131" i="15"/>
  <c r="B132" i="15"/>
  <c r="F132" i="15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C166" i="15"/>
  <c r="C168" i="15" s="1"/>
  <c r="C174" i="15" s="1"/>
  <c r="C176" i="15" s="1"/>
  <c r="F169" i="15"/>
  <c r="F170" i="15"/>
  <c r="F171" i="15"/>
  <c r="F172" i="15"/>
  <c r="F173" i="15"/>
  <c r="B174" i="15"/>
  <c r="B176" i="15" s="1"/>
  <c r="C175" i="15"/>
  <c r="C180" i="15" s="1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A45" i="6"/>
  <c r="A46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A46" i="92"/>
  <c r="A47" i="92"/>
  <c r="G3" i="63"/>
  <c r="D39" i="69" s="1"/>
  <c r="D40" i="69" s="1"/>
  <c r="D42" i="69" s="1"/>
  <c r="J3" i="63"/>
  <c r="G4" i="63"/>
  <c r="J36" i="70" s="1"/>
  <c r="G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P27" i="63"/>
  <c r="D28" i="63"/>
  <c r="P28" i="63"/>
  <c r="D29" i="63"/>
  <c r="D30" i="63"/>
  <c r="D31" i="63"/>
  <c r="D32" i="63"/>
  <c r="D33" i="63"/>
  <c r="D34" i="63"/>
  <c r="D35" i="63"/>
  <c r="D36" i="63"/>
  <c r="D37" i="63"/>
  <c r="D38" i="63"/>
  <c r="D42" i="63"/>
  <c r="D43" i="63"/>
  <c r="D44" i="63"/>
  <c r="D45" i="63"/>
  <c r="D46" i="63"/>
  <c r="D47" i="63"/>
  <c r="D48" i="63"/>
  <c r="K48" i="63"/>
  <c r="D49" i="63"/>
  <c r="D50" i="63"/>
  <c r="D51" i="63"/>
  <c r="D52" i="63"/>
  <c r="D53" i="63"/>
  <c r="D54" i="63"/>
  <c r="B118" i="63"/>
  <c r="B120" i="63"/>
  <c r="B141" i="63" s="1"/>
  <c r="B128" i="63"/>
  <c r="D6" i="90"/>
  <c r="D37" i="90" s="1"/>
  <c r="D47" i="90" s="1"/>
  <c r="D48" i="90" s="1"/>
  <c r="D14" i="80" s="1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D39" i="90"/>
  <c r="D41" i="90" s="1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6" i="2"/>
  <c r="P6" i="2"/>
  <c r="J7" i="2"/>
  <c r="P7" i="2"/>
  <c r="R7" i="2" s="1"/>
  <c r="J8" i="2"/>
  <c r="P8" i="2"/>
  <c r="R8" i="2" s="1"/>
  <c r="J9" i="2"/>
  <c r="P9" i="2"/>
  <c r="R9" i="2"/>
  <c r="J10" i="2"/>
  <c r="P10" i="2"/>
  <c r="R10" i="2" s="1"/>
  <c r="J11" i="2"/>
  <c r="P11" i="2"/>
  <c r="R11" i="2"/>
  <c r="J12" i="2"/>
  <c r="P12" i="2"/>
  <c r="R12" i="2"/>
  <c r="J13" i="2"/>
  <c r="P13" i="2"/>
  <c r="R13" i="2" s="1"/>
  <c r="J14" i="2"/>
  <c r="P14" i="2"/>
  <c r="R14" i="2"/>
  <c r="J15" i="2"/>
  <c r="P15" i="2"/>
  <c r="R15" i="2" s="1"/>
  <c r="J16" i="2"/>
  <c r="P16" i="2"/>
  <c r="R16" i="2"/>
  <c r="J17" i="2"/>
  <c r="O17" i="2"/>
  <c r="P17" i="2" s="1"/>
  <c r="R17" i="2" s="1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N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B22" i="80" l="1"/>
  <c r="C22" i="80" s="1"/>
  <c r="E22" i="80" s="1"/>
  <c r="B53" i="63"/>
  <c r="C53" i="63" s="1"/>
  <c r="AR39" i="15"/>
  <c r="AR45" i="15" s="1"/>
  <c r="R19" i="9"/>
  <c r="R22" i="9" s="1"/>
  <c r="D38" i="75"/>
  <c r="D39" i="75" s="1"/>
  <c r="D41" i="75" s="1"/>
  <c r="F39" i="5"/>
  <c r="F40" i="5" s="1"/>
  <c r="F43" i="5" s="1"/>
  <c r="C37" i="73"/>
  <c r="D38" i="86"/>
  <c r="D38" i="89"/>
  <c r="D39" i="89" s="1"/>
  <c r="D41" i="89" s="1"/>
  <c r="B45" i="63" s="1"/>
  <c r="G5" i="80"/>
  <c r="G61" i="80" s="1"/>
  <c r="D38" i="85"/>
  <c r="D39" i="85" s="1"/>
  <c r="D41" i="85" s="1"/>
  <c r="B19" i="20"/>
  <c r="C19" i="20" s="1"/>
  <c r="C20" i="20" s="1"/>
  <c r="B47" i="20"/>
  <c r="C47" i="20" s="1"/>
  <c r="C48" i="20" s="1"/>
  <c r="D19" i="8"/>
  <c r="D38" i="76"/>
  <c r="D37" i="16"/>
  <c r="D38" i="16" s="1"/>
  <c r="D40" i="16" s="1"/>
  <c r="D37" i="92"/>
  <c r="D47" i="92" s="1"/>
  <c r="D48" i="92" s="1"/>
  <c r="D46" i="80" s="1"/>
  <c r="B75" i="80"/>
  <c r="C29" i="63"/>
  <c r="B29" i="63" s="1"/>
  <c r="AU39" i="15"/>
  <c r="AV35" i="15"/>
  <c r="AV39" i="15" s="1"/>
  <c r="F36" i="7"/>
  <c r="M23" i="77"/>
  <c r="D37" i="77"/>
  <c r="D49" i="77" s="1"/>
  <c r="D50" i="77" s="1"/>
  <c r="D15" i="80" s="1"/>
  <c r="N10" i="67"/>
  <c r="N16" i="67" s="1"/>
  <c r="L16" i="67"/>
  <c r="P19" i="9"/>
  <c r="C39" i="11"/>
  <c r="C45" i="11"/>
  <c r="C46" i="11" s="1"/>
  <c r="H36" i="11"/>
  <c r="M23" i="15"/>
  <c r="M24" i="15" s="1"/>
  <c r="J37" i="70"/>
  <c r="J41" i="70" s="1"/>
  <c r="O23" i="15"/>
  <c r="O9" i="15"/>
  <c r="D35" i="28"/>
  <c r="F10" i="22"/>
  <c r="D37" i="22"/>
  <c r="J37" i="83"/>
  <c r="N37" i="91"/>
  <c r="D49" i="91" s="1"/>
  <c r="D50" i="91" s="1"/>
  <c r="D42" i="80" s="1"/>
  <c r="F40" i="6"/>
  <c r="S12" i="2"/>
  <c r="P21" i="2"/>
  <c r="P23" i="2" s="1"/>
  <c r="R6" i="2"/>
  <c r="R21" i="2" s="1"/>
  <c r="D41" i="19"/>
  <c r="D43" i="19" s="1"/>
  <c r="F176" i="15"/>
  <c r="F133" i="15"/>
  <c r="C133" i="15" s="1"/>
  <c r="AN39" i="15"/>
  <c r="N37" i="93"/>
  <c r="D49" i="93" s="1"/>
  <c r="D50" i="93" s="1"/>
  <c r="D47" i="80" s="1"/>
  <c r="D37" i="81"/>
  <c r="B14" i="80"/>
  <c r="B52" i="63"/>
  <c r="C52" i="63" s="1"/>
  <c r="B78" i="73"/>
  <c r="D30" i="80"/>
  <c r="B82" i="80"/>
  <c r="C15" i="63"/>
  <c r="B15" i="63" s="1"/>
  <c r="AP36" i="11"/>
  <c r="AF36" i="11"/>
  <c r="D39" i="19"/>
  <c r="D49" i="19" s="1"/>
  <c r="D50" i="19" s="1"/>
  <c r="D20" i="80" s="1"/>
  <c r="D37" i="76"/>
  <c r="D47" i="76" s="1"/>
  <c r="D48" i="76" s="1"/>
  <c r="D38" i="80" s="1"/>
  <c r="AJ39" i="15"/>
  <c r="AJ45" i="15" s="1"/>
  <c r="D17" i="64"/>
  <c r="D29" i="64" s="1"/>
  <c r="D30" i="64" s="1"/>
  <c r="D35" i="80" s="1"/>
  <c r="AF19" i="7"/>
  <c r="AH19" i="7" s="1"/>
  <c r="AG19" i="7"/>
  <c r="AG20" i="7" s="1"/>
  <c r="AG21" i="7" s="1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37" i="89"/>
  <c r="D47" i="89" s="1"/>
  <c r="D48" i="89" s="1"/>
  <c r="D39" i="80" s="1"/>
  <c r="J35" i="2"/>
  <c r="D39" i="92"/>
  <c r="D41" i="92" s="1"/>
  <c r="AF39" i="15"/>
  <c r="AF45" i="15" s="1"/>
  <c r="K36" i="73"/>
  <c r="K49" i="73" s="1"/>
  <c r="B74" i="73"/>
  <c r="D18" i="65"/>
  <c r="D33" i="65" s="1"/>
  <c r="D34" i="65" s="1"/>
  <c r="D26" i="80" s="1"/>
  <c r="F37" i="22"/>
  <c r="D47" i="22" s="1"/>
  <c r="D48" i="22" s="1"/>
  <c r="D29" i="80" s="1"/>
  <c r="J35" i="70"/>
  <c r="D47" i="70" s="1"/>
  <c r="D48" i="70" s="1"/>
  <c r="D36" i="80" s="1"/>
  <c r="D37" i="86"/>
  <c r="D47" i="86" s="1"/>
  <c r="D48" i="86" s="1"/>
  <c r="D43" i="80" s="1"/>
  <c r="F37" i="87"/>
  <c r="D47" i="87" s="1"/>
  <c r="D48" i="87" s="1"/>
  <c r="D44" i="80" s="1"/>
  <c r="D37" i="79"/>
  <c r="D47" i="79" s="1"/>
  <c r="D48" i="79" s="1"/>
  <c r="D13" i="80" s="1"/>
  <c r="AQ39" i="15"/>
  <c r="B73" i="73"/>
  <c r="D32" i="80"/>
  <c r="D42" i="72"/>
  <c r="D48" i="72"/>
  <c r="D49" i="72" s="1"/>
  <c r="D84" i="80" s="1"/>
  <c r="M9" i="74"/>
  <c r="M10" i="74" s="1"/>
  <c r="M11" i="74" s="1"/>
  <c r="M12" i="74" s="1"/>
  <c r="M13" i="74" s="1"/>
  <c r="M14" i="74" s="1"/>
  <c r="D37" i="12"/>
  <c r="F37" i="13"/>
  <c r="F38" i="13" s="1"/>
  <c r="F41" i="13" s="1"/>
  <c r="B32" i="20"/>
  <c r="C32" i="20" s="1"/>
  <c r="C33" i="20" s="1"/>
  <c r="C78" i="73" s="1"/>
  <c r="J40" i="17"/>
  <c r="J41" i="17" s="1"/>
  <c r="J43" i="17" s="1"/>
  <c r="D38" i="77"/>
  <c r="D39" i="77" s="1"/>
  <c r="D41" i="77" s="1"/>
  <c r="P38" i="88"/>
  <c r="P39" i="88" s="1"/>
  <c r="P41" i="88" s="1"/>
  <c r="G4" i="80"/>
  <c r="G60" i="80" s="1"/>
  <c r="F40" i="71"/>
  <c r="F41" i="71" s="1"/>
  <c r="F43" i="71" s="1"/>
  <c r="D19" i="65"/>
  <c r="D20" i="65" s="1"/>
  <c r="D24" i="65" s="1"/>
  <c r="D13" i="78"/>
  <c r="F38" i="22"/>
  <c r="F39" i="22" s="1"/>
  <c r="F41" i="22" s="1"/>
  <c r="D38" i="79"/>
  <c r="D39" i="79" s="1"/>
  <c r="D41" i="79" s="1"/>
  <c r="F38" i="87"/>
  <c r="H36" i="9"/>
  <c r="H37" i="9" s="1"/>
  <c r="H39" i="9" s="1"/>
  <c r="S16" i="67"/>
  <c r="D35" i="68"/>
  <c r="F39" i="71"/>
  <c r="D49" i="71" s="1"/>
  <c r="D50" i="71" s="1"/>
  <c r="D48" i="80" s="1"/>
  <c r="M5" i="13"/>
  <c r="N11" i="13" s="1"/>
  <c r="K13" i="13"/>
  <c r="L17" i="74"/>
  <c r="B77" i="73"/>
  <c r="I40" i="20"/>
  <c r="I57" i="20" s="1"/>
  <c r="D31" i="80"/>
  <c r="B79" i="73"/>
  <c r="B81" i="73" s="1"/>
  <c r="I114" i="15"/>
  <c r="M13" i="13"/>
  <c r="D37" i="74"/>
  <c r="D46" i="74" s="1"/>
  <c r="D47" i="74" s="1"/>
  <c r="D12" i="80" s="1"/>
  <c r="P37" i="88"/>
  <c r="D47" i="88" s="1"/>
  <c r="D48" i="88" s="1"/>
  <c r="D45" i="80" s="1"/>
  <c r="E45" i="11"/>
  <c r="F45" i="11" s="1"/>
  <c r="H39" i="11"/>
  <c r="C38" i="63" s="1"/>
  <c r="AL48" i="11"/>
  <c r="D12" i="78"/>
  <c r="D23" i="78" s="1"/>
  <c r="D24" i="78" s="1"/>
  <c r="D16" i="80" s="1"/>
  <c r="D38" i="74"/>
  <c r="D18" i="8"/>
  <c r="D30" i="8" s="1"/>
  <c r="D31" i="8" s="1"/>
  <c r="D50" i="80" s="1"/>
  <c r="D37" i="85"/>
  <c r="D47" i="85" s="1"/>
  <c r="D48" i="85" s="1"/>
  <c r="D40" i="80" s="1"/>
  <c r="J17" i="74"/>
  <c r="J24" i="74" s="1"/>
  <c r="F40" i="18"/>
  <c r="F41" i="18" s="1"/>
  <c r="F43" i="18" s="1"/>
  <c r="U10" i="67"/>
  <c r="U16" i="67" s="1"/>
  <c r="AC37" i="11"/>
  <c r="D40" i="68" l="1"/>
  <c r="D46" i="68"/>
  <c r="D47" i="68" s="1"/>
  <c r="D68" i="80" s="1"/>
  <c r="C82" i="80"/>
  <c r="C79" i="73"/>
  <c r="B8" i="63"/>
  <c r="M51" i="73"/>
  <c r="M53" i="73" s="1"/>
  <c r="I62" i="20"/>
  <c r="D49" i="83"/>
  <c r="D50" i="83" s="1"/>
  <c r="D41" i="80" s="1"/>
  <c r="J39" i="83"/>
  <c r="J43" i="83" s="1"/>
  <c r="AR51" i="15"/>
  <c r="AR48" i="15"/>
  <c r="B33" i="80"/>
  <c r="C33" i="80" s="1"/>
  <c r="E33" i="80" s="1"/>
  <c r="B13" i="63"/>
  <c r="C13" i="63" s="1"/>
  <c r="D39" i="74"/>
  <c r="D41" i="74" s="1"/>
  <c r="K19" i="74"/>
  <c r="L19" i="74" s="1"/>
  <c r="L24" i="74" s="1"/>
  <c r="L26" i="74" s="1"/>
  <c r="B26" i="80"/>
  <c r="B34" i="63"/>
  <c r="C34" i="63" s="1"/>
  <c r="D40" i="12"/>
  <c r="D46" i="12"/>
  <c r="D47" i="12" s="1"/>
  <c r="D76" i="80" s="1"/>
  <c r="AN45" i="15"/>
  <c r="B102" i="15"/>
  <c r="B69" i="80"/>
  <c r="C69" i="80" s="1"/>
  <c r="E69" i="80" s="1"/>
  <c r="C17" i="63"/>
  <c r="B17" i="63" s="1"/>
  <c r="O24" i="15"/>
  <c r="B70" i="80"/>
  <c r="C70" i="80" s="1"/>
  <c r="B38" i="63"/>
  <c r="C57" i="20"/>
  <c r="F51" i="73" s="1"/>
  <c r="B9" i="63"/>
  <c r="C77" i="73"/>
  <c r="B49" i="80"/>
  <c r="C49" i="80" s="1"/>
  <c r="E49" i="80" s="1"/>
  <c r="B22" i="63"/>
  <c r="C22" i="63" s="1"/>
  <c r="AI19" i="7"/>
  <c r="AH20" i="7"/>
  <c r="D44" i="67"/>
  <c r="D45" i="67" s="1"/>
  <c r="D82" i="80" s="1"/>
  <c r="B34" i="80"/>
  <c r="C34" i="80" s="1"/>
  <c r="E34" i="80" s="1"/>
  <c r="B50" i="63"/>
  <c r="C50" i="63" s="1"/>
  <c r="F39" i="87"/>
  <c r="F41" i="87" s="1"/>
  <c r="B13" i="80"/>
  <c r="C13" i="80" s="1"/>
  <c r="E13" i="80" s="1"/>
  <c r="B35" i="63"/>
  <c r="C35" i="63" s="1"/>
  <c r="C14" i="80"/>
  <c r="E14" i="80" s="1"/>
  <c r="N39" i="93"/>
  <c r="N43" i="93" s="1"/>
  <c r="B37" i="80"/>
  <c r="C37" i="80" s="1"/>
  <c r="E37" i="80" s="1"/>
  <c r="B54" i="63"/>
  <c r="C54" i="63" s="1"/>
  <c r="D39" i="86"/>
  <c r="D41" i="86" s="1"/>
  <c r="B40" i="80"/>
  <c r="C40" i="80" s="1"/>
  <c r="E40" i="80" s="1"/>
  <c r="B16" i="63"/>
  <c r="C16" i="63" s="1"/>
  <c r="B28" i="80"/>
  <c r="C28" i="80" s="1"/>
  <c r="E28" i="80" s="1"/>
  <c r="B18" i="63"/>
  <c r="C18" i="63" s="1"/>
  <c r="B45" i="80"/>
  <c r="C45" i="80" s="1"/>
  <c r="E45" i="80" s="1"/>
  <c r="B21" i="63"/>
  <c r="C21" i="63" s="1"/>
  <c r="J40" i="2"/>
  <c r="D47" i="2"/>
  <c r="D48" i="2" s="1"/>
  <c r="D19" i="64"/>
  <c r="D23" i="64" s="1"/>
  <c r="C75" i="80"/>
  <c r="B15" i="80"/>
  <c r="C15" i="80" s="1"/>
  <c r="E15" i="80" s="1"/>
  <c r="B44" i="63"/>
  <c r="C44" i="63" s="1"/>
  <c r="B39" i="80"/>
  <c r="C45" i="63"/>
  <c r="C39" i="80" s="1"/>
  <c r="E39" i="80" s="1"/>
  <c r="D17" i="80"/>
  <c r="B29" i="80"/>
  <c r="C29" i="80" s="1"/>
  <c r="E29" i="80" s="1"/>
  <c r="B14" i="63"/>
  <c r="C14" i="63" s="1"/>
  <c r="F43" i="22"/>
  <c r="D51" i="80"/>
  <c r="D46" i="81"/>
  <c r="D47" i="81" s="1"/>
  <c r="D83" i="80" s="1"/>
  <c r="D41" i="81"/>
  <c r="D40" i="28"/>
  <c r="D46" i="28"/>
  <c r="D47" i="28" s="1"/>
  <c r="D71" i="80" s="1"/>
  <c r="D39" i="76"/>
  <c r="D41" i="76" s="1"/>
  <c r="E37" i="73"/>
  <c r="C38" i="73"/>
  <c r="C40" i="73" s="1"/>
  <c r="B48" i="80"/>
  <c r="C48" i="80" s="1"/>
  <c r="E48" i="80" s="1"/>
  <c r="B23" i="63"/>
  <c r="C23" i="63" s="1"/>
  <c r="N39" i="91"/>
  <c r="N43" i="91" s="1"/>
  <c r="B46" i="80"/>
  <c r="C46" i="80" s="1"/>
  <c r="E46" i="80" s="1"/>
  <c r="B28" i="63"/>
  <c r="C28" i="63" s="1"/>
  <c r="B36" i="80"/>
  <c r="C36" i="80" s="1"/>
  <c r="E36" i="80" s="1"/>
  <c r="B27" i="63"/>
  <c r="C27" i="63" s="1"/>
  <c r="B20" i="80"/>
  <c r="B37" i="63"/>
  <c r="C37" i="63" s="1"/>
  <c r="B84" i="80"/>
  <c r="C84" i="80" s="1"/>
  <c r="E84" i="80" s="1"/>
  <c r="C31" i="63"/>
  <c r="B31" i="63" s="1"/>
  <c r="D14" i="78"/>
  <c r="D18" i="78" s="1"/>
  <c r="B27" i="80"/>
  <c r="C27" i="80" s="1"/>
  <c r="E27" i="80" s="1"/>
  <c r="B11" i="63"/>
  <c r="C11" i="63" s="1"/>
  <c r="AH6" i="7"/>
  <c r="AI5" i="7"/>
  <c r="D46" i="6"/>
  <c r="D47" i="6" s="1"/>
  <c r="D69" i="80" s="1"/>
  <c r="D70" i="80"/>
  <c r="F46" i="11"/>
  <c r="D77" i="80" s="1"/>
  <c r="E77" i="80" s="1"/>
  <c r="E48" i="7"/>
  <c r="E49" i="7" s="1"/>
  <c r="D78" i="80" s="1"/>
  <c r="F41" i="7"/>
  <c r="D20" i="8"/>
  <c r="D24" i="8" s="1"/>
  <c r="B85" i="80"/>
  <c r="C85" i="80" s="1"/>
  <c r="E85" i="80" s="1"/>
  <c r="C25" i="63"/>
  <c r="B25" i="63" s="1"/>
  <c r="B50" i="80" l="1"/>
  <c r="C50" i="80" s="1"/>
  <c r="E50" i="80" s="1"/>
  <c r="B46" i="63"/>
  <c r="C46" i="63" s="1"/>
  <c r="B16" i="80"/>
  <c r="C16" i="80" s="1"/>
  <c r="E16" i="80" s="1"/>
  <c r="B43" i="63"/>
  <c r="C43" i="63" s="1"/>
  <c r="B71" i="80"/>
  <c r="C71" i="80" s="1"/>
  <c r="E71" i="80" s="1"/>
  <c r="C26" i="63"/>
  <c r="B26" i="63" s="1"/>
  <c r="B44" i="80"/>
  <c r="C44" i="80" s="1"/>
  <c r="E44" i="80" s="1"/>
  <c r="B47" i="63"/>
  <c r="C47" i="63" s="1"/>
  <c r="B31" i="80"/>
  <c r="C31" i="80" s="1"/>
  <c r="E31" i="80" s="1"/>
  <c r="C8" i="63"/>
  <c r="C39" i="63" s="1"/>
  <c r="B42" i="80"/>
  <c r="C42" i="80" s="1"/>
  <c r="E42" i="80" s="1"/>
  <c r="B32" i="63"/>
  <c r="C32" i="63" s="1"/>
  <c r="B47" i="80"/>
  <c r="C47" i="80" s="1"/>
  <c r="E47" i="80" s="1"/>
  <c r="B20" i="63"/>
  <c r="C20" i="63" s="1"/>
  <c r="D86" i="80"/>
  <c r="B76" i="80"/>
  <c r="C36" i="63"/>
  <c r="B36" i="63" s="1"/>
  <c r="B38" i="80"/>
  <c r="C38" i="80" s="1"/>
  <c r="E38" i="80" s="1"/>
  <c r="B30" i="63"/>
  <c r="C30" i="63" s="1"/>
  <c r="B43" i="80"/>
  <c r="C43" i="80" s="1"/>
  <c r="E43" i="80" s="1"/>
  <c r="B19" i="63"/>
  <c r="C19" i="63" s="1"/>
  <c r="F102" i="15"/>
  <c r="F103" i="15" s="1"/>
  <c r="B103" i="15"/>
  <c r="B105" i="15" s="1"/>
  <c r="F105" i="15" s="1"/>
  <c r="B83" i="80"/>
  <c r="C49" i="63"/>
  <c r="B49" i="63" s="1"/>
  <c r="C21" i="80"/>
  <c r="C24" i="63"/>
  <c r="B24" i="63" s="1"/>
  <c r="B30" i="80"/>
  <c r="C30" i="80" s="1"/>
  <c r="E30" i="80" s="1"/>
  <c r="C9" i="63"/>
  <c r="D79" i="80"/>
  <c r="C20" i="80"/>
  <c r="AI20" i="7"/>
  <c r="AH21" i="7"/>
  <c r="AI21" i="7" s="1"/>
  <c r="E70" i="80"/>
  <c r="B41" i="80"/>
  <c r="C41" i="80" s="1"/>
  <c r="E41" i="80" s="1"/>
  <c r="B51" i="63"/>
  <c r="C51" i="63" s="1"/>
  <c r="D88" i="80"/>
  <c r="D72" i="80"/>
  <c r="B78" i="80"/>
  <c r="C78" i="80" s="1"/>
  <c r="E78" i="80" s="1"/>
  <c r="C48" i="63"/>
  <c r="B48" i="63" s="1"/>
  <c r="B35" i="80"/>
  <c r="C35" i="80" s="1"/>
  <c r="E35" i="80" s="1"/>
  <c r="B10" i="63"/>
  <c r="C10" i="63" s="1"/>
  <c r="B12" i="80"/>
  <c r="B33" i="63"/>
  <c r="C33" i="63" s="1"/>
  <c r="E82" i="80"/>
  <c r="C73" i="73"/>
  <c r="AH7" i="7"/>
  <c r="AI6" i="7"/>
  <c r="E38" i="73"/>
  <c r="F37" i="73"/>
  <c r="E75" i="80"/>
  <c r="C26" i="80"/>
  <c r="B68" i="80"/>
  <c r="C12" i="63"/>
  <c r="B12" i="63" s="1"/>
  <c r="B72" i="80" l="1"/>
  <c r="C68" i="80"/>
  <c r="F38" i="73"/>
  <c r="E40" i="73"/>
  <c r="C12" i="80"/>
  <c r="B17" i="80"/>
  <c r="AI7" i="7"/>
  <c r="AH8" i="7"/>
  <c r="C83" i="80"/>
  <c r="B86" i="80"/>
  <c r="C76" i="80"/>
  <c r="B79" i="80"/>
  <c r="B88" i="80" s="1"/>
  <c r="B39" i="63"/>
  <c r="E26" i="80"/>
  <c r="C23" i="80"/>
  <c r="E20" i="80"/>
  <c r="E21" i="80"/>
  <c r="B21" i="80"/>
  <c r="B23" i="80" s="1"/>
  <c r="D21" i="80"/>
  <c r="C103" i="15"/>
  <c r="E23" i="80" l="1"/>
  <c r="E76" i="80"/>
  <c r="E79" i="80" s="1"/>
  <c r="C79" i="80"/>
  <c r="E12" i="80"/>
  <c r="C17" i="80"/>
  <c r="C74" i="73"/>
  <c r="C81" i="73" s="1"/>
  <c r="C82" i="73" s="1"/>
  <c r="F40" i="73"/>
  <c r="F49" i="73" s="1"/>
  <c r="B42" i="63"/>
  <c r="E83" i="80"/>
  <c r="E86" i="80" s="1"/>
  <c r="C86" i="80"/>
  <c r="AH9" i="7"/>
  <c r="AI8" i="7"/>
  <c r="C72" i="80"/>
  <c r="C88" i="80" s="1"/>
  <c r="E68" i="80"/>
  <c r="D23" i="80"/>
  <c r="D53" i="80"/>
  <c r="AI9" i="7" l="1"/>
  <c r="AH10" i="7"/>
  <c r="E17" i="80"/>
  <c r="B32" i="80"/>
  <c r="C42" i="63"/>
  <c r="C55" i="63" s="1"/>
  <c r="C57" i="63" s="1"/>
  <c r="B55" i="63"/>
  <c r="B57" i="63" s="1"/>
  <c r="N15" i="63"/>
  <c r="E72" i="80"/>
  <c r="E88" i="80"/>
  <c r="C61" i="20"/>
  <c r="C62" i="20" s="1"/>
  <c r="F53" i="73"/>
  <c r="C32" i="80" l="1"/>
  <c r="B51" i="80"/>
  <c r="B53" i="80"/>
  <c r="B91" i="80" s="1"/>
  <c r="AH11" i="7"/>
  <c r="AI10" i="7"/>
  <c r="AI11" i="7" l="1"/>
  <c r="AH12" i="7"/>
  <c r="E32" i="80"/>
  <c r="C51" i="80"/>
  <c r="C53" i="80"/>
  <c r="B92" i="80" s="1"/>
  <c r="E51" i="80" l="1"/>
  <c r="E53" i="80"/>
  <c r="AI12" i="7"/>
  <c r="AH13" i="7"/>
  <c r="AI13" i="7" l="1"/>
  <c r="AH14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<sst xmlns="http://schemas.openxmlformats.org/spreadsheetml/2006/main" count="1038" uniqueCount="335">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</sst>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2.15</v>
          </cell>
          <cell r="K39">
            <v>2.1</v>
          </cell>
          <cell r="M39">
            <v>2.13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2.1</v>
      </c>
      <c r="H3" s="402">
        <f ca="1">NOW()</f>
        <v>41885.682589236108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2.13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2.15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7" t="s">
        <v>127</v>
      </c>
      <c r="B12" s="346">
        <f>+Calpine!D41</f>
        <v>32109.210000000021</v>
      </c>
      <c r="C12" s="369">
        <f>+B12/$G$4</f>
        <v>15074.74647887325</v>
      </c>
      <c r="D12" s="14">
        <f>+Calpine!D47</f>
        <v>104194</v>
      </c>
      <c r="E12" s="70">
        <f>+C12-D12</f>
        <v>-89119.253521126753</v>
      </c>
      <c r="F12" s="364">
        <f>+Calpine!A41</f>
        <v>37278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26247.990000000005</v>
      </c>
      <c r="C13" s="368">
        <f>+B13/$G$4</f>
        <v>12323.000000000004</v>
      </c>
      <c r="D13" s="14">
        <f>+'Citizens-Griffith'!D48</f>
        <v>16670</v>
      </c>
      <c r="E13" s="70">
        <f>+C13-D13</f>
        <v>-4346.9999999999964</v>
      </c>
      <c r="F13" s="364">
        <f>+'Citizens-Griffith'!A41</f>
        <v>37278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298</v>
      </c>
      <c r="B14" s="480">
        <f>+SWGasTrans!D41</f>
        <v>-24737.43</v>
      </c>
      <c r="C14" s="368">
        <f>+B14/G4</f>
        <v>-11613.816901408451</v>
      </c>
      <c r="D14" s="14">
        <f>+SWGasTrans!$D$48</f>
        <v>1266</v>
      </c>
      <c r="E14" s="70">
        <f>+C14-D14</f>
        <v>-12879.816901408451</v>
      </c>
      <c r="F14" s="364">
        <f>+SWGasTrans!A41</f>
        <v>37276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-300246.08</v>
      </c>
      <c r="C15" s="368">
        <f>+B15/$G$4</f>
        <v>-140960.60093896714</v>
      </c>
      <c r="D15" s="14">
        <f>+'NS Steel'!D50</f>
        <v>-18537</v>
      </c>
      <c r="E15" s="70">
        <f>+C15-D15</f>
        <v>-122423.60093896714</v>
      </c>
      <c r="F15" s="365">
        <f>+'NS Steel'!A41</f>
        <v>37277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7" t="s">
        <v>135</v>
      </c>
      <c r="B16" s="349">
        <f>+Citizens!D18</f>
        <v>-549840.18000000005</v>
      </c>
      <c r="C16" s="370">
        <f>+B16/$G$4</f>
        <v>-258140.92957746482</v>
      </c>
      <c r="D16" s="350">
        <f>+Citizens!D24</f>
        <v>-42526</v>
      </c>
      <c r="E16" s="72">
        <f>+C16-D16</f>
        <v>-215614.92957746482</v>
      </c>
      <c r="F16" s="364">
        <f>+Citizens!A18</f>
        <v>37276</v>
      </c>
      <c r="G16" s="203" t="s">
        <v>328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-816466.49</v>
      </c>
      <c r="C17" s="393">
        <f>SUBTOTAL(9,C12:C16)</f>
        <v>-383317.60093896714</v>
      </c>
      <c r="D17" s="394">
        <f>SUBTOTAL(9,D12:D16)</f>
        <v>61067</v>
      </c>
      <c r="E17" s="395">
        <f>SUBTOTAL(9,E12:E16)</f>
        <v>-444384.6009389672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15230.029999999999</v>
      </c>
      <c r="C20" s="368">
        <f>+B20/$G$4</f>
        <v>7150.2488262910792</v>
      </c>
      <c r="D20" s="14">
        <f>+transcol!D50</f>
        <v>-48651</v>
      </c>
      <c r="E20" s="70">
        <f>+C20-D20</f>
        <v>55801.248826291077</v>
      </c>
      <c r="F20" s="365">
        <f>+transcol!A43</f>
        <v>37277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7" t="s">
        <v>316</v>
      </c>
      <c r="B21" s="481">
        <f>+C21*G3</f>
        <v>65837.100000000006</v>
      </c>
      <c r="C21" s="368">
        <f>+williams!J40</f>
        <v>31351</v>
      </c>
      <c r="D21" s="14">
        <f>+C21</f>
        <v>31351</v>
      </c>
      <c r="E21" s="70">
        <f>+C21-D21</f>
        <v>0</v>
      </c>
      <c r="F21" s="365">
        <f>+williams!A40</f>
        <v>37278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">
      <c r="A22" s="507" t="s">
        <v>95</v>
      </c>
      <c r="B22" s="498">
        <f>+burlington!D42</f>
        <v>-12507.059999999998</v>
      </c>
      <c r="C22" s="372">
        <f>+B22/$G$3</f>
        <v>-5955.7428571428554</v>
      </c>
      <c r="D22" s="350">
        <f>+burlington!D49</f>
        <v>-8209</v>
      </c>
      <c r="E22" s="72">
        <f>+C22-D22</f>
        <v>2253.2571428571446</v>
      </c>
      <c r="F22" s="364">
        <f>+burlington!A42</f>
        <v>37277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68560.070000000007</v>
      </c>
      <c r="C23" s="389">
        <f>SUBTOTAL(9,C20:C22)</f>
        <v>32545.505969148224</v>
      </c>
      <c r="D23" s="394">
        <f>SUBTOTAL(9,D20:D22)</f>
        <v>-25509</v>
      </c>
      <c r="E23" s="395">
        <f>SUBTOTAL(9,E20:E22)</f>
        <v>58054.505969148224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7" t="s">
        <v>87</v>
      </c>
      <c r="B26" s="480">
        <f>+NNG!$D$24</f>
        <v>27446.82</v>
      </c>
      <c r="C26" s="368">
        <f>+B26/$G$4</f>
        <v>12885.830985915494</v>
      </c>
      <c r="D26" s="14">
        <f>+NNG!D34</f>
        <v>11754</v>
      </c>
      <c r="E26" s="70">
        <f t="shared" ref="E26:E50" si="0">+C26-D26</f>
        <v>1131.8309859154942</v>
      </c>
      <c r="F26" s="364">
        <f>+NNG!A24</f>
        <v>37277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456200.77</v>
      </c>
      <c r="C27" s="368">
        <f>+B27/$G$4</f>
        <v>214178.76525821598</v>
      </c>
      <c r="D27" s="14">
        <f>+Conoco!D48</f>
        <v>15983</v>
      </c>
      <c r="E27" s="70">
        <f t="shared" si="0"/>
        <v>198195.76525821598</v>
      </c>
      <c r="F27" s="364">
        <f>+Conoco!A41</f>
        <v>37278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169772</v>
      </c>
      <c r="C28" s="368">
        <f>+B28/$G$4</f>
        <v>79705.164319248826</v>
      </c>
      <c r="D28" s="14">
        <f>+'Amoco Abo'!D49</f>
        <v>-359810</v>
      </c>
      <c r="E28" s="70">
        <f t="shared" si="0"/>
        <v>439515.16431924881</v>
      </c>
      <c r="F28" s="365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302284.83</v>
      </c>
      <c r="C29" s="368">
        <f>+B29/$G$4</f>
        <v>141917.76056338029</v>
      </c>
      <c r="D29" s="14">
        <f>+KN_Westar!D48</f>
        <v>-49188</v>
      </c>
      <c r="E29" s="70">
        <f t="shared" si="0"/>
        <v>191105.76056338029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7" t="s">
        <v>257</v>
      </c>
      <c r="B30" s="480">
        <f>+summary!B9</f>
        <v>1222165.44</v>
      </c>
      <c r="C30" s="369">
        <f>+B30/$G$5</f>
        <v>568449.04186046508</v>
      </c>
      <c r="D30" s="14">
        <f>+Duke!$G$40+Duke!$H$40+Duke!$I$53+Duke!$I$54</f>
        <v>363616</v>
      </c>
      <c r="E30" s="70">
        <f t="shared" si="0"/>
        <v>204833.04186046508</v>
      </c>
      <c r="F30" s="365">
        <f>+Duke!A42</f>
        <v>37276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7" t="s">
        <v>250</v>
      </c>
      <c r="B31" s="480">
        <f>+summary!B8</f>
        <v>1528147.76</v>
      </c>
      <c r="C31" s="369">
        <f>+B31/$G$5</f>
        <v>710766.4</v>
      </c>
      <c r="D31" s="14">
        <f>+Duke!$F$40</f>
        <v>377110</v>
      </c>
      <c r="E31" s="70">
        <f t="shared" si="0"/>
        <v>333656.40000000002</v>
      </c>
      <c r="F31" s="365">
        <f>+Duke!A7</f>
        <v>37276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7" t="s">
        <v>249</v>
      </c>
      <c r="B32" s="480">
        <f>+summary!B42</f>
        <v>-2797825.4800000004</v>
      </c>
      <c r="C32" s="369">
        <f>+B32/$G$5</f>
        <v>-1301314.1767441863</v>
      </c>
      <c r="D32" s="14">
        <f>+DEFS!$I$36+DEFS!$J$36+DEFS!$K$45+DEFS!$K$46+DEFS!$K$47+DEFS!$K$48</f>
        <v>-434373</v>
      </c>
      <c r="E32" s="70">
        <f t="shared" si="0"/>
        <v>-866941.17674418632</v>
      </c>
      <c r="F32" s="365">
        <f>+DEFS!A40</f>
        <v>37276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379224.82999999996</v>
      </c>
      <c r="C33" s="368">
        <f>+B33/$G$4</f>
        <v>178039.82629107981</v>
      </c>
      <c r="D33" s="14">
        <f>+mewborne!D49</f>
        <v>153975</v>
      </c>
      <c r="E33" s="70">
        <f t="shared" si="0"/>
        <v>24064.826291079808</v>
      </c>
      <c r="F33" s="365">
        <f>+mewborne!A43</f>
        <v>37277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-39969.47</v>
      </c>
      <c r="C34" s="368">
        <f>+B34/$G$4</f>
        <v>-18765.009389671362</v>
      </c>
      <c r="D34" s="14">
        <f>+PGETX!E48</f>
        <v>8197</v>
      </c>
      <c r="E34" s="70">
        <f t="shared" si="0"/>
        <v>-26962.009389671362</v>
      </c>
      <c r="F34" s="365">
        <f>+PGETX!E39</f>
        <v>37277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748862.57</v>
      </c>
      <c r="C35" s="368">
        <f>+B35/$G$4</f>
        <v>351578.67136150232</v>
      </c>
      <c r="D35" s="14">
        <f>+PNM!D30</f>
        <v>298847</v>
      </c>
      <c r="E35" s="70">
        <f t="shared" si="0"/>
        <v>52731.671361502318</v>
      </c>
      <c r="F35" s="365">
        <f>+PNM!A23</f>
        <v>37278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47344.95</v>
      </c>
      <c r="C36" s="368">
        <f>+B36/$G$4</f>
        <v>22227.676056338027</v>
      </c>
      <c r="D36" s="14">
        <f>+EOG!D48</f>
        <v>-105440</v>
      </c>
      <c r="E36" s="70">
        <f t="shared" si="0"/>
        <v>127667.67605633802</v>
      </c>
      <c r="F36" s="364">
        <f>+EOG!A41</f>
        <v>37276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-3945.5100000000057</v>
      </c>
      <c r="C37" s="368">
        <f>+B37/G5</f>
        <v>-1835.1209302325608</v>
      </c>
      <c r="D37" s="14">
        <f>+Oasis!D47</f>
        <v>-4453</v>
      </c>
      <c r="E37" s="70">
        <f>+C37-D37</f>
        <v>2617.8790697674394</v>
      </c>
      <c r="F37" s="364">
        <f>+Oasis!A40</f>
        <v>37277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40213.100000000006</v>
      </c>
      <c r="C38" s="368">
        <f>+B38/$G$5</f>
        <v>18703.767441860469</v>
      </c>
      <c r="D38" s="14">
        <f>+SidR!D48</f>
        <v>19013</v>
      </c>
      <c r="E38" s="70">
        <f t="shared" si="0"/>
        <v>-309.23255813953074</v>
      </c>
      <c r="F38" s="365">
        <f>+SidR!A41</f>
        <v>37277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7" t="s">
        <v>261</v>
      </c>
      <c r="B39" s="346">
        <f>+summary!$B$45</f>
        <v>-203736.06</v>
      </c>
      <c r="C39" s="368">
        <f>+summary!$C$45</f>
        <v>-94760.95813953488</v>
      </c>
      <c r="D39" s="14">
        <f>+MiVida_Rich!D48</f>
        <v>-51454</v>
      </c>
      <c r="E39" s="70">
        <f>+C39-D39</f>
        <v>-43306.95813953488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175985.48</v>
      </c>
      <c r="C40" s="368">
        <f>+B40/$G$5</f>
        <v>81853.711627906989</v>
      </c>
      <c r="D40" s="14">
        <f>+Dominion!D48</f>
        <v>77123</v>
      </c>
      <c r="E40" s="70">
        <f t="shared" si="0"/>
        <v>4730.7116279069887</v>
      </c>
      <c r="F40" s="365">
        <f>+Dominion!A41</f>
        <v>37278</v>
      </c>
      <c r="G40" s="203" t="s">
        <v>327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-34377.35</v>
      </c>
      <c r="C41" s="368">
        <f>+B41/$G$4</f>
        <v>-16139.600938967136</v>
      </c>
      <c r="D41" s="14">
        <f>+WTGmktg!D50</f>
        <v>-2888</v>
      </c>
      <c r="E41" s="70">
        <f t="shared" si="0"/>
        <v>-13251.600938967136</v>
      </c>
      <c r="F41" s="365">
        <f>+WTGmktg!A43</f>
        <v>37276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303</v>
      </c>
      <c r="B42" s="346">
        <f>+'WTG inc'!N43</f>
        <v>36864.39</v>
      </c>
      <c r="C42" s="368">
        <f>+B42/G4</f>
        <v>17307.225352112677</v>
      </c>
      <c r="D42" s="14">
        <f>+'WTG inc'!D50</f>
        <v>14111</v>
      </c>
      <c r="E42" s="70">
        <f>+C42-D42</f>
        <v>3196.2253521126768</v>
      </c>
      <c r="F42" s="365">
        <f>+'WTG inc'!A43</f>
        <v>37276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153182.69</v>
      </c>
      <c r="C43" s="368">
        <f>+B43/$G$5</f>
        <v>71247.762790697685</v>
      </c>
      <c r="D43" s="14">
        <f>+Devon!D48</f>
        <v>30199</v>
      </c>
      <c r="E43" s="70">
        <f t="shared" si="0"/>
        <v>41048.762790697685</v>
      </c>
      <c r="F43" s="365">
        <f>+Devon!A41</f>
        <v>37278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-103775.45999999999</v>
      </c>
      <c r="C44" s="368">
        <f>+B44/$G$4</f>
        <v>-48720.873239436616</v>
      </c>
      <c r="D44" s="14">
        <f>+crosstex!D48</f>
        <v>-29506</v>
      </c>
      <c r="E44" s="70">
        <f t="shared" si="0"/>
        <v>-19214.873239436616</v>
      </c>
      <c r="F44" s="365">
        <f>+crosstex!A41</f>
        <v>37276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92679.45</v>
      </c>
      <c r="C45" s="368">
        <f>+B45/$G$4</f>
        <v>43511.478873239437</v>
      </c>
      <c r="D45" s="14">
        <f>+Amarillo!D48</f>
        <v>38455</v>
      </c>
      <c r="E45" s="70">
        <f t="shared" si="0"/>
        <v>5056.4788732394372</v>
      </c>
      <c r="F45" s="365">
        <f>+Amarillo!A41</f>
        <v>37276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322</v>
      </c>
      <c r="B46" s="346">
        <f>+Stratland!$D$41</f>
        <v>42582.37</v>
      </c>
      <c r="C46" s="369">
        <f>+B46/$G$4</f>
        <v>19991.723004694839</v>
      </c>
      <c r="D46" s="14">
        <f>+Stratland!D48</f>
        <v>14572</v>
      </c>
      <c r="E46" s="70">
        <f>+C46-D46</f>
        <v>5419.7230046948389</v>
      </c>
      <c r="F46" s="364">
        <f>+Stratland!A41</f>
        <v>37257</v>
      </c>
      <c r="G46" s="203" t="s">
        <v>327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334</v>
      </c>
      <c r="B47" s="346">
        <f>+Plains!$N$43</f>
        <v>107948.28</v>
      </c>
      <c r="C47" s="369">
        <f>+B47/$G$4</f>
        <v>50679.943661971833</v>
      </c>
      <c r="D47" s="14">
        <f>+Plains!D50</f>
        <v>36315</v>
      </c>
      <c r="E47" s="70">
        <f>+C47-D47</f>
        <v>14364.943661971833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73028</v>
      </c>
      <c r="C48" s="369">
        <f>+B48/$G$4</f>
        <v>34285.446009389671</v>
      </c>
      <c r="D48" s="14">
        <f>+Continental!D50</f>
        <v>18948</v>
      </c>
      <c r="E48" s="70">
        <f t="shared" si="0"/>
        <v>15337.446009389671</v>
      </c>
      <c r="F48" s="365">
        <f>+Continental!A43</f>
        <v>37278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75922.48</v>
      </c>
      <c r="C49" s="369">
        <f>+B49/$G$5</f>
        <v>35312.781395348837</v>
      </c>
      <c r="D49" s="14">
        <f>+EPFS!D47</f>
        <v>50358</v>
      </c>
      <c r="E49" s="70">
        <f t="shared" si="0"/>
        <v>-15045.218604651163</v>
      </c>
      <c r="F49" s="364">
        <f>+EPFS!A41</f>
        <v>37278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7" t="s">
        <v>79</v>
      </c>
      <c r="B50" s="498">
        <f>+Agave!$D$24</f>
        <v>-163247.28999999998</v>
      </c>
      <c r="C50" s="370">
        <f>+B50/$G$4</f>
        <v>-76641.920187793425</v>
      </c>
      <c r="D50" s="350">
        <f>+Agave!D31</f>
        <v>-63111</v>
      </c>
      <c r="E50" s="72">
        <f t="shared" si="0"/>
        <v>-13530.920187793425</v>
      </c>
      <c r="F50" s="364">
        <f>+Agave!A24</f>
        <v>37277</v>
      </c>
      <c r="G50" s="203" t="s">
        <v>328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2332979.59</v>
      </c>
      <c r="C51" s="393">
        <f>SUBTOTAL(9,C26:C50)</f>
        <v>1094465.3172835459</v>
      </c>
      <c r="D51" s="394">
        <f>SUBTOTAL(9,D26:D50)</f>
        <v>428353</v>
      </c>
      <c r="E51" s="395">
        <f>SUBTOTAL(9,E26:E50)</f>
        <v>666112.31728354609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1585073.1699999995</v>
      </c>
      <c r="C53" s="393">
        <f>SUBTOTAL(9,C12:C50)</f>
        <v>743693.22231372702</v>
      </c>
      <c r="D53" s="394">
        <f>SUBTOTAL(9,D12:D50)</f>
        <v>463911</v>
      </c>
      <c r="E53" s="395">
        <f>SUBTOTAL(9,E12:E50)</f>
        <v>279782.2223137269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2.1</v>
      </c>
      <c r="H59" s="402">
        <f ca="1">NOW()</f>
        <v>41885.682589236108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2.13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2.15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9">
        <f>+Mojave!D40</f>
        <v>196295</v>
      </c>
      <c r="C68" s="346">
        <f>+B68*$G$4</f>
        <v>418108.35</v>
      </c>
      <c r="D68" s="47">
        <f>+Mojave!D47</f>
        <v>219988.36</v>
      </c>
      <c r="E68" s="47">
        <f>+C68-D68</f>
        <v>198119.99</v>
      </c>
      <c r="F68" s="365">
        <f>+Mojave!A40</f>
        <v>37276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81852</v>
      </c>
      <c r="C69" s="346">
        <f>+B69*$G$4</f>
        <v>174344.75999999998</v>
      </c>
      <c r="D69" s="47">
        <f>+SoCal!D47</f>
        <v>283847.16000000003</v>
      </c>
      <c r="E69" s="47">
        <f>+C69-D69</f>
        <v>-109502.40000000005</v>
      </c>
      <c r="F69" s="365">
        <f>+SoCal!A40</f>
        <v>37278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136892.97</v>
      </c>
      <c r="D70" s="47">
        <f>+'El Paso'!C46</f>
        <v>-1582961.01</v>
      </c>
      <c r="E70" s="47">
        <f>+C70-D70</f>
        <v>1719853.98</v>
      </c>
      <c r="F70" s="365">
        <f>+'El Paso'!A39</f>
        <v>37277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23357</v>
      </c>
      <c r="C71" s="349">
        <f>+B71*$G$4</f>
        <v>49750.409999999996</v>
      </c>
      <c r="D71" s="349">
        <f>+'PG&amp;E'!D47</f>
        <v>-156613.96999999997</v>
      </c>
      <c r="E71" s="349">
        <f>+C71-D71</f>
        <v>206364.37999999998</v>
      </c>
      <c r="F71" s="365">
        <f>+'PG&amp;E'!A40</f>
        <v>37277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365773</v>
      </c>
      <c r="C72" s="388">
        <f>SUBTOTAL(9,C68:C71)</f>
        <v>779096.49</v>
      </c>
      <c r="D72" s="388">
        <f>SUBTOTAL(9,D68:D71)</f>
        <v>-1235739.46</v>
      </c>
      <c r="E72" s="388">
        <f>SUBTOTAL(9,E68:E71)</f>
        <v>2014835.9499999997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19796</v>
      </c>
      <c r="C75" s="347">
        <f>+B75*G59</f>
        <v>41571.599999999999</v>
      </c>
      <c r="D75" s="200">
        <f>+'Red C'!D52</f>
        <v>412657.28</v>
      </c>
      <c r="E75" s="47">
        <f>+C75-D75</f>
        <v>-371085.68000000005</v>
      </c>
      <c r="F75" s="364">
        <f>+'Red C'!A45</f>
        <v>37278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315</v>
      </c>
      <c r="B76" s="368">
        <f>+Amoco!D40</f>
        <v>11886</v>
      </c>
      <c r="C76" s="346">
        <f>+B76*$G$3</f>
        <v>24960.600000000002</v>
      </c>
      <c r="D76" s="47">
        <f>+Amoco!D47</f>
        <v>360983.6</v>
      </c>
      <c r="E76" s="47">
        <f>+C76-D76</f>
        <v>-336023</v>
      </c>
      <c r="F76" s="365">
        <f>+Amoco!A40</f>
        <v>37277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-58854</v>
      </c>
      <c r="C77" s="346">
        <f>+B77*$G$3</f>
        <v>-123593.40000000001</v>
      </c>
      <c r="D77" s="47">
        <f>+'El Paso'!F46</f>
        <v>-657254.01</v>
      </c>
      <c r="E77" s="47">
        <f>+C77-D77</f>
        <v>533660.61</v>
      </c>
      <c r="F77" s="365">
        <f>+'El Paso'!A39</f>
        <v>37277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-25353</v>
      </c>
      <c r="C78" s="349">
        <f>+B78*$G$3</f>
        <v>-53241.3</v>
      </c>
      <c r="D78" s="349">
        <f>+NW!E49</f>
        <v>-513832.4</v>
      </c>
      <c r="E78" s="349">
        <f>+C78-D78</f>
        <v>460591.10000000003</v>
      </c>
      <c r="F78" s="364">
        <f>+NW!B41</f>
        <v>37277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-52525</v>
      </c>
      <c r="C79" s="388">
        <f>SUBTOTAL(9,C75:C78)</f>
        <v>-110302.50000000001</v>
      </c>
      <c r="D79" s="388">
        <f>SUBTOTAL(9,D75:D78)</f>
        <v>-397445.53</v>
      </c>
      <c r="E79" s="388">
        <f>SUBTOTAL(9,E75:E78)</f>
        <v>287143.02999999997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135297</v>
      </c>
      <c r="C82" s="480">
        <f>+B82*$G$5</f>
        <v>290888.55</v>
      </c>
      <c r="D82" s="47">
        <f>+NGPL!D45</f>
        <v>339095.28</v>
      </c>
      <c r="E82" s="47">
        <f>+C82-D82</f>
        <v>-48206.73000000004</v>
      </c>
      <c r="F82" s="365">
        <f>+NGPL!A38</f>
        <v>37278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-23827</v>
      </c>
      <c r="C83" s="481">
        <f>+B83*$G$4</f>
        <v>-50751.509999999995</v>
      </c>
      <c r="D83" s="47">
        <f>+PEPL!D47</f>
        <v>142974.44</v>
      </c>
      <c r="E83" s="47">
        <f>+C83-D83</f>
        <v>-193725.95</v>
      </c>
      <c r="F83" s="365">
        <f>+PEPL!A41</f>
        <v>37277</v>
      </c>
      <c r="G83" s="32" t="s">
        <v>328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37460.31</v>
      </c>
      <c r="D84" s="200">
        <f>+CIG!D49</f>
        <v>385959.67</v>
      </c>
      <c r="E84" s="70">
        <f>+C84-D84</f>
        <v>-348499.36</v>
      </c>
      <c r="F84" s="365">
        <f>+CIG!A42</f>
        <v>37276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30335.35</v>
      </c>
      <c r="C85" s="498">
        <f>+B85*G61</f>
        <v>65221.002499999995</v>
      </c>
      <c r="D85" s="349">
        <f>+Lonestar!D50</f>
        <v>29552.240000000002</v>
      </c>
      <c r="E85" s="349">
        <f>+C85-D85</f>
        <v>35668.762499999997</v>
      </c>
      <c r="F85" s="364">
        <f>+Lonestar!A43</f>
        <v>37277</v>
      </c>
      <c r="G85" s="32" t="s">
        <v>328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159392.35</v>
      </c>
      <c r="C86" s="388">
        <f>SUBTOTAL(9,C82:C85)</f>
        <v>342818.35249999998</v>
      </c>
      <c r="D86" s="388">
        <f>SUBTOTAL(9,D82:D85)</f>
        <v>897581.63</v>
      </c>
      <c r="E86" s="388">
        <f>SUBTOTAL(9,E82:E85)</f>
        <v>-554763.27750000008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472640.35</v>
      </c>
      <c r="C88" s="388">
        <f>SUBTOTAL(9,C68:C85)</f>
        <v>1011612.3424999998</v>
      </c>
      <c r="D88" s="388">
        <f>SUBTOTAL(9,D68:D85)</f>
        <v>-735603.35999999987</v>
      </c>
      <c r="E88" s="388">
        <f>SUBTOTAL(9,E68:E85)</f>
        <v>1747215.7024999994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2596685.5124999993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1216333.5723137269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C46" sqref="C46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/>
      <c r="C27" s="437"/>
      <c r="D27" s="484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3197832</v>
      </c>
      <c r="C37" s="411">
        <f>SUM(C6:C36)</f>
        <v>3239928</v>
      </c>
      <c r="D37" s="411">
        <f>SUM(D6:D36)</f>
        <v>42096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37277</v>
      </c>
      <c r="B40" s="285"/>
      <c r="C40" s="436"/>
      <c r="D40" s="307">
        <f>+D39+D37</f>
        <v>11886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2">
        <v>272582</v>
      </c>
      <c r="H45">
        <v>12</v>
      </c>
    </row>
    <row r="46" spans="1:16" x14ac:dyDescent="0.2">
      <c r="A46" s="49">
        <f>+A40</f>
        <v>37277</v>
      </c>
      <c r="B46" s="32"/>
      <c r="C46" s="32"/>
      <c r="D46" s="375">
        <f>+D37*'by type_area'!G3</f>
        <v>88401.600000000006</v>
      </c>
      <c r="H46">
        <v>500</v>
      </c>
    </row>
    <row r="47" spans="1:16" x14ac:dyDescent="0.2">
      <c r="A47" s="32"/>
      <c r="B47" s="32"/>
      <c r="C47" s="32"/>
      <c r="D47" s="200">
        <f>+D46+D45</f>
        <v>360983.6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48" sqref="C4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-891888</v>
      </c>
      <c r="C36" s="24">
        <f>SUM(C5:C35)</f>
        <v>-878262</v>
      </c>
      <c r="D36" s="24">
        <f t="shared" si="0"/>
        <v>13626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2.15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29295.899999999998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37277</v>
      </c>
      <c r="B40"/>
      <c r="C40" s="48"/>
      <c r="D40" s="138">
        <f>+D39+D38</f>
        <v>-3945.5100000000057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37256</v>
      </c>
      <c r="B45" s="32"/>
      <c r="C45" s="32"/>
      <c r="D45" s="524">
        <v>-18079</v>
      </c>
    </row>
    <row r="46" spans="1:65" x14ac:dyDescent="0.2">
      <c r="A46" s="49">
        <f>+A40</f>
        <v>37277</v>
      </c>
      <c r="B46" s="32"/>
      <c r="C46" s="32"/>
      <c r="D46" s="350">
        <f>+D36</f>
        <v>13626</v>
      </c>
    </row>
    <row r="47" spans="1:65" x14ac:dyDescent="0.2">
      <c r="A47" s="32"/>
      <c r="B47" s="32"/>
      <c r="C47" s="32"/>
      <c r="D47" s="14">
        <f>+D46+D45</f>
        <v>-4453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C21" sqref="C21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665672</v>
      </c>
      <c r="C5" s="90">
        <v>658331</v>
      </c>
      <c r="D5" s="90">
        <f>+C5-B5</f>
        <v>-7341</v>
      </c>
      <c r="E5" s="275"/>
      <c r="F5" s="273"/>
    </row>
    <row r="6" spans="1:13" x14ac:dyDescent="0.2">
      <c r="A6" s="87">
        <v>78311</v>
      </c>
      <c r="B6" s="90">
        <v>251333</v>
      </c>
      <c r="C6" s="90">
        <v>237052</v>
      </c>
      <c r="D6" s="90">
        <f t="shared" ref="D6:D17" si="0">+C6-B6</f>
        <v>-14281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571524</v>
      </c>
      <c r="C7" s="90">
        <v>587795</v>
      </c>
      <c r="D7" s="90">
        <f t="shared" si="0"/>
        <v>16271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651744</v>
      </c>
      <c r="C8" s="90">
        <v>540286</v>
      </c>
      <c r="D8" s="90">
        <f t="shared" si="0"/>
        <v>-111458</v>
      </c>
      <c r="E8" s="456"/>
      <c r="F8" s="273"/>
    </row>
    <row r="9" spans="1:13" x14ac:dyDescent="0.2">
      <c r="A9" s="87">
        <v>500293</v>
      </c>
      <c r="B9" s="90">
        <v>381956</v>
      </c>
      <c r="C9" s="90">
        <v>418666</v>
      </c>
      <c r="D9" s="90">
        <f t="shared" si="0"/>
        <v>36710</v>
      </c>
      <c r="E9" s="275"/>
      <c r="F9" s="273"/>
    </row>
    <row r="10" spans="1:13" x14ac:dyDescent="0.2">
      <c r="A10" s="87">
        <v>500302</v>
      </c>
      <c r="B10" s="90"/>
      <c r="C10" s="90">
        <v>6105</v>
      </c>
      <c r="D10" s="90">
        <f t="shared" si="0"/>
        <v>6105</v>
      </c>
      <c r="E10" s="275"/>
      <c r="F10" s="273"/>
    </row>
    <row r="11" spans="1:13" x14ac:dyDescent="0.2">
      <c r="A11" s="87">
        <v>500303</v>
      </c>
      <c r="B11" s="90"/>
      <c r="C11" s="90">
        <v>212317</v>
      </c>
      <c r="D11" s="90">
        <f t="shared" si="0"/>
        <v>212317</v>
      </c>
      <c r="E11" s="275"/>
      <c r="F11" s="273"/>
    </row>
    <row r="12" spans="1:13" x14ac:dyDescent="0.2">
      <c r="A12" s="91">
        <v>500305</v>
      </c>
      <c r="B12" s="90">
        <v>1079719</v>
      </c>
      <c r="C12" s="90">
        <v>1008860</v>
      </c>
      <c r="D12" s="90">
        <f t="shared" si="0"/>
        <v>-70859</v>
      </c>
      <c r="E12" s="276"/>
      <c r="F12" s="273"/>
    </row>
    <row r="13" spans="1:13" x14ac:dyDescent="0.2">
      <c r="A13" s="87">
        <v>500307</v>
      </c>
      <c r="B13" s="90">
        <v>62700</v>
      </c>
      <c r="C13" s="90">
        <v>27664</v>
      </c>
      <c r="D13" s="90">
        <f t="shared" si="0"/>
        <v>-35036</v>
      </c>
      <c r="E13" s="275"/>
      <c r="F13" s="273"/>
    </row>
    <row r="14" spans="1:13" x14ac:dyDescent="0.2">
      <c r="A14" s="87">
        <v>500313</v>
      </c>
      <c r="B14" s="90"/>
      <c r="C14" s="90">
        <v>1313</v>
      </c>
      <c r="D14" s="90">
        <f t="shared" si="0"/>
        <v>1313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159117</v>
      </c>
      <c r="C16" s="90"/>
      <c r="D16" s="90">
        <f t="shared" si="0"/>
        <v>-159117</v>
      </c>
      <c r="E16" s="275"/>
      <c r="F16" s="273"/>
    </row>
    <row r="17" spans="1:6" x14ac:dyDescent="0.2">
      <c r="A17" s="87">
        <v>500657</v>
      </c>
      <c r="B17" s="88">
        <v>116429</v>
      </c>
      <c r="C17" s="88">
        <v>146988</v>
      </c>
      <c r="D17" s="94">
        <f t="shared" si="0"/>
        <v>30559</v>
      </c>
      <c r="E17" s="275"/>
      <c r="F17" s="273"/>
    </row>
    <row r="18" spans="1:6" x14ac:dyDescent="0.2">
      <c r="A18" s="87"/>
      <c r="B18" s="88"/>
      <c r="C18" s="88"/>
      <c r="D18" s="88">
        <f>SUM(D5:D17)</f>
        <v>-94817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+summary!G5</f>
        <v>2.15</v>
      </c>
      <c r="E19" s="277"/>
      <c r="F19" s="273"/>
    </row>
    <row r="20" spans="1:6" x14ac:dyDescent="0.2">
      <c r="A20" s="87"/>
      <c r="B20" s="88"/>
      <c r="C20" s="88"/>
      <c r="D20" s="96">
        <f>+D19*D18</f>
        <v>-203856.55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30">
        <v>40609.26</v>
      </c>
      <c r="E22" s="207"/>
      <c r="F22" s="66"/>
    </row>
    <row r="23" spans="1:6" x14ac:dyDescent="0.2">
      <c r="A23" s="87"/>
      <c r="B23" s="88"/>
      <c r="C23" s="88"/>
      <c r="D23" s="308"/>
      <c r="E23" s="207"/>
      <c r="F23" s="66"/>
    </row>
    <row r="24" spans="1:6" ht="13.5" thickBot="1" x14ac:dyDescent="0.25">
      <c r="A24" s="99">
        <v>37277</v>
      </c>
      <c r="B24" s="88"/>
      <c r="C24" s="88"/>
      <c r="D24" s="318">
        <f>+D22+D20</f>
        <v>-163247.28999999998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5"/>
    </row>
    <row r="29" spans="1:6" x14ac:dyDescent="0.2">
      <c r="A29" s="49">
        <f>+A22</f>
        <v>37256</v>
      </c>
      <c r="B29" s="32"/>
      <c r="C29" s="32"/>
      <c r="D29" s="524">
        <v>31706</v>
      </c>
    </row>
    <row r="30" spans="1:6" x14ac:dyDescent="0.2">
      <c r="A30" s="49">
        <f>+A24</f>
        <v>37277</v>
      </c>
      <c r="B30" s="32"/>
      <c r="C30" s="32"/>
      <c r="D30" s="350">
        <f>+D18</f>
        <v>-94817</v>
      </c>
    </row>
    <row r="31" spans="1:6" x14ac:dyDescent="0.2">
      <c r="A31" s="32"/>
      <c r="B31" s="32"/>
      <c r="C31" s="32"/>
      <c r="D31" s="14">
        <f>+D30+D29</f>
        <v>-63111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E26" sqref="E2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697570</v>
      </c>
      <c r="C35" s="11">
        <f>SUM(C4:C34)</f>
        <v>713328</v>
      </c>
      <c r="D35" s="11">
        <f>SUM(D4:D34)</f>
        <v>715864</v>
      </c>
      <c r="E35" s="11">
        <f>SUM(E4:E34)</f>
        <v>698122</v>
      </c>
      <c r="F35" s="11">
        <f>+E35-D35+C35-B35</f>
        <v>-1984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2.13</v>
      </c>
    </row>
    <row r="38" spans="1:7" x14ac:dyDescent="0.2">
      <c r="C38" s="48"/>
      <c r="D38" s="47"/>
      <c r="E38" s="48"/>
      <c r="F38" s="46">
        <f>+F37*F35</f>
        <v>-4225.92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37278</v>
      </c>
      <c r="C41" s="106"/>
      <c r="D41" s="106"/>
      <c r="E41" s="106"/>
      <c r="F41" s="106">
        <f>+F38+F40</f>
        <v>456200.77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37278</v>
      </c>
      <c r="D47" s="350">
        <f>+F35</f>
        <v>-1984</v>
      </c>
      <c r="E47" s="11"/>
      <c r="F47" s="11"/>
      <c r="G47" s="25"/>
    </row>
    <row r="48" spans="1:7" x14ac:dyDescent="0.2">
      <c r="D48" s="14">
        <f>+D47+D46</f>
        <v>15983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B40" sqref="B40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3669230</v>
      </c>
      <c r="C36" s="11">
        <f>SUM(C5:C35)</f>
        <v>3683644</v>
      </c>
      <c r="D36" s="11">
        <f>SUM(D5:D35)</f>
        <v>0</v>
      </c>
      <c r="E36" s="11">
        <f>SUM(E5:E35)</f>
        <v>-17378</v>
      </c>
      <c r="F36" s="11">
        <f>SUM(F5:F35)</f>
        <v>-2964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37277</v>
      </c>
      <c r="F41" s="333">
        <f>+F39+F36</f>
        <v>-25353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37277</v>
      </c>
      <c r="C48" s="32"/>
      <c r="D48" s="32"/>
      <c r="E48" s="375">
        <f>+F36*'by type_area'!G3</f>
        <v>-6224.4000000000005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-513832.4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C29" sqref="C29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1991813</v>
      </c>
      <c r="C39" s="11">
        <f>SUM(C8:C38)</f>
        <v>1992944</v>
      </c>
      <c r="D39" s="11">
        <f>SUM(D8:D38)</f>
        <v>1131</v>
      </c>
      <c r="E39" s="10"/>
      <c r="F39" s="11"/>
      <c r="G39" s="11"/>
      <c r="H39" s="11"/>
    </row>
    <row r="40" spans="1:8" x14ac:dyDescent="0.2">
      <c r="A40" s="26"/>
      <c r="D40" s="75">
        <f>+summary!G4</f>
        <v>2.13</v>
      </c>
      <c r="E40" s="26"/>
      <c r="H40" s="75"/>
    </row>
    <row r="41" spans="1:8" x14ac:dyDescent="0.2">
      <c r="D41" s="195">
        <f>+D40*D39</f>
        <v>2409.0299999999997</v>
      </c>
      <c r="F41" s="247"/>
      <c r="H41" s="195"/>
    </row>
    <row r="42" spans="1:8" x14ac:dyDescent="0.2">
      <c r="A42" s="57">
        <v>37256</v>
      </c>
      <c r="D42" s="553">
        <v>12821</v>
      </c>
      <c r="E42" s="57"/>
      <c r="H42" s="195"/>
    </row>
    <row r="43" spans="1:8" x14ac:dyDescent="0.2">
      <c r="A43" s="57">
        <v>37277</v>
      </c>
      <c r="D43" s="196">
        <f>+D42+D41</f>
        <v>15230.029999999999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24">
        <v>-49782</v>
      </c>
    </row>
    <row r="49" spans="1:4" x14ac:dyDescent="0.2">
      <c r="A49" s="49">
        <f>+A43</f>
        <v>37277</v>
      </c>
      <c r="B49" s="32"/>
      <c r="C49" s="32"/>
      <c r="D49" s="350">
        <f>+D39</f>
        <v>1131</v>
      </c>
    </row>
    <row r="50" spans="1:4" x14ac:dyDescent="0.2">
      <c r="A50" s="32"/>
      <c r="B50" s="32"/>
      <c r="C50" s="32"/>
      <c r="D50" s="14">
        <f>+D49+D48</f>
        <v>-48651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49" workbookViewId="0">
      <selection activeCell="B56" sqref="B5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252</v>
      </c>
      <c r="J6" s="15"/>
    </row>
    <row r="7" spans="1:14" x14ac:dyDescent="0.2">
      <c r="A7" s="57">
        <v>37276</v>
      </c>
      <c r="I7" s="3" t="s">
        <v>259</v>
      </c>
      <c r="J7" s="15"/>
    </row>
    <row r="8" spans="1:14" x14ac:dyDescent="0.2">
      <c r="A8" s="248">
        <v>50895</v>
      </c>
      <c r="B8" s="340">
        <f>4600-4355</f>
        <v>245</v>
      </c>
      <c r="J8" s="15"/>
    </row>
    <row r="9" spans="1:14" x14ac:dyDescent="0.2">
      <c r="A9" s="248">
        <v>60874</v>
      </c>
      <c r="B9" s="340">
        <v>2435</v>
      </c>
      <c r="J9" s="15"/>
    </row>
    <row r="10" spans="1:14" x14ac:dyDescent="0.2">
      <c r="A10" s="248">
        <v>78169</v>
      </c>
      <c r="B10" s="340">
        <f>301793-305090</f>
        <v>-3297</v>
      </c>
      <c r="I10" s="87" t="s">
        <v>253</v>
      </c>
      <c r="J10" s="483" t="s">
        <v>27</v>
      </c>
      <c r="K10" s="87" t="s">
        <v>254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8000-10202</f>
        <v>-2202</v>
      </c>
      <c r="I13" s="87">
        <v>21665</v>
      </c>
      <c r="J13" s="446">
        <v>73449.16</v>
      </c>
      <c r="K13" s="87" t="s">
        <v>258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3600-2200</f>
        <v>1400</v>
      </c>
      <c r="I14" s="87">
        <v>22664</v>
      </c>
      <c r="J14" s="449">
        <v>23612.35</v>
      </c>
      <c r="K14" s="87" t="s">
        <v>260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800-1901</f>
        <v>-1101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-127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1121335-1120140</f>
        <v>1195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-1452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2.15</v>
      </c>
      <c r="C19" s="199">
        <f>+B19*B18</f>
        <v>-3121.7999999999997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1528147.76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2.13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">
      <c r="E39" s="49">
        <f>+A7</f>
        <v>37276</v>
      </c>
      <c r="F39" s="350">
        <f>+B18</f>
        <v>-1452</v>
      </c>
      <c r="G39" s="350">
        <f>+B31</f>
        <v>0</v>
      </c>
      <c r="H39" s="350">
        <f>+B46</f>
        <v>3450</v>
      </c>
      <c r="I39" s="14"/>
    </row>
    <row r="40" spans="1:9" x14ac:dyDescent="0.2">
      <c r="A40" s="49">
        <v>37256</v>
      </c>
      <c r="C40" s="546">
        <v>842376.79</v>
      </c>
      <c r="F40" s="14">
        <f>+F39+F38</f>
        <v>377110</v>
      </c>
      <c r="G40" s="14">
        <f>+G39+G38</f>
        <v>117857</v>
      </c>
      <c r="H40" s="14">
        <f>+H39+H38</f>
        <v>190426</v>
      </c>
      <c r="I40" s="14">
        <f>+H40+G40+F40</f>
        <v>685393</v>
      </c>
    </row>
    <row r="41" spans="1:9" x14ac:dyDescent="0.2">
      <c r="G41" s="32"/>
      <c r="H41" s="15"/>
      <c r="I41" s="32"/>
    </row>
    <row r="42" spans="1:9" x14ac:dyDescent="0.2">
      <c r="A42" s="245">
        <v>37276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1993</v>
      </c>
      <c r="G44" s="32"/>
      <c r="H44" s="381"/>
      <c r="I44" s="14"/>
    </row>
    <row r="45" spans="1:9" x14ac:dyDescent="0.2">
      <c r="A45" s="32">
        <v>500392</v>
      </c>
      <c r="B45" s="250">
        <v>1457</v>
      </c>
      <c r="G45" s="32"/>
      <c r="H45" s="381"/>
      <c r="I45" s="14"/>
    </row>
    <row r="46" spans="1:9" x14ac:dyDescent="0.2">
      <c r="B46" s="14">
        <f>SUM(B43:B45)</f>
        <v>3450</v>
      </c>
      <c r="G46" s="32"/>
      <c r="H46" s="381"/>
      <c r="I46" s="14"/>
    </row>
    <row r="47" spans="1:9" x14ac:dyDescent="0.2">
      <c r="B47" s="199">
        <f>+summary!G5</f>
        <v>2.15</v>
      </c>
      <c r="C47" s="199">
        <f>+B47*B46</f>
        <v>7417.5</v>
      </c>
      <c r="H47" s="381"/>
      <c r="I47" s="14"/>
    </row>
    <row r="48" spans="1:9" x14ac:dyDescent="0.2">
      <c r="C48" s="321">
        <f>+C47+C40</f>
        <v>849794.29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2750313.2</v>
      </c>
      <c r="I57" s="14">
        <f>SUM(I40:I54)</f>
        <v>740726</v>
      </c>
    </row>
    <row r="61" spans="1:9" x14ac:dyDescent="0.2">
      <c r="C61" s="15">
        <f>+DEFS!F49</f>
        <v>-2797825.4800000004</v>
      </c>
    </row>
    <row r="62" spans="1:9" x14ac:dyDescent="0.2">
      <c r="C62" s="15">
        <f>+C61+C57</f>
        <v>-47512.280000000261</v>
      </c>
      <c r="I62" s="31">
        <f>+I57+DEFS!K49</f>
        <v>306353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1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490844</v>
      </c>
      <c r="E35" s="11">
        <f>SUM(E4:E34)</f>
        <v>479812</v>
      </c>
      <c r="F35" s="11">
        <f>SUM(F4:F34)</f>
        <v>-11032</v>
      </c>
      <c r="G35" s="11"/>
      <c r="H35" s="49">
        <f>+A40</f>
        <v>37276</v>
      </c>
      <c r="I35" s="350">
        <f>+C36</f>
        <v>0</v>
      </c>
      <c r="J35" s="350">
        <f>+E36</f>
        <v>-11032</v>
      </c>
      <c r="K35" s="206"/>
      <c r="L35" s="14"/>
    </row>
    <row r="36" spans="1:13" x14ac:dyDescent="0.2">
      <c r="C36" s="25">
        <f>+C35-B35</f>
        <v>0</v>
      </c>
      <c r="E36" s="25">
        <f>+E35-D35</f>
        <v>-11032</v>
      </c>
      <c r="F36" s="25">
        <f>+E36+C36</f>
        <v>-11032</v>
      </c>
      <c r="H36" s="32"/>
      <c r="I36" s="14">
        <f>+I35+I34</f>
        <v>-183022</v>
      </c>
      <c r="J36" s="14">
        <f>+J35+J34</f>
        <v>-139629</v>
      </c>
      <c r="K36" s="14">
        <f>+J36+I36</f>
        <v>-322651</v>
      </c>
      <c r="L36" s="14"/>
    </row>
    <row r="37" spans="1:13" x14ac:dyDescent="0.2">
      <c r="C37" s="313">
        <f>+summary!G5</f>
        <v>2.15</v>
      </c>
      <c r="E37" s="104">
        <f>+C37</f>
        <v>2.15</v>
      </c>
      <c r="F37" s="138">
        <f>+F36*E37</f>
        <v>-23718.799999999999</v>
      </c>
    </row>
    <row r="38" spans="1:13" x14ac:dyDescent="0.2">
      <c r="C38" s="138">
        <f>+C37*C36</f>
        <v>0</v>
      </c>
      <c r="E38" s="136">
        <f>+E37*E36</f>
        <v>-23718.799999999999</v>
      </c>
      <c r="F38" s="138">
        <f>+E38+C38</f>
        <v>-23718.799999999999</v>
      </c>
    </row>
    <row r="39" spans="1:13" x14ac:dyDescent="0.2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">
      <c r="A40" s="57">
        <v>37276</v>
      </c>
      <c r="B40" s="2" t="s">
        <v>45</v>
      </c>
      <c r="C40" s="314">
        <f>+C39+C38</f>
        <v>-1033420.01</v>
      </c>
      <c r="D40" s="252"/>
      <c r="E40" s="314">
        <f>+E39+E38</f>
        <v>-595569.14</v>
      </c>
      <c r="F40" s="314">
        <f>+E40+C40</f>
        <v>-1628989.15</v>
      </c>
      <c r="H40" s="131"/>
    </row>
    <row r="41" spans="1:13" x14ac:dyDescent="0.2">
      <c r="C41" s="329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">
      <c r="C49" s="246"/>
      <c r="D49" s="246"/>
      <c r="F49" s="330">
        <f>SUM(F40:F48)</f>
        <v>-2797825.4800000004</v>
      </c>
      <c r="G49" s="246"/>
      <c r="K49" s="14">
        <f>SUM(K36:K48)</f>
        <v>-434373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2750313.2</v>
      </c>
      <c r="M51" s="14">
        <f>+Duke!I57</f>
        <v>740726</v>
      </c>
    </row>
    <row r="53" spans="3:13" x14ac:dyDescent="0.2">
      <c r="F53" s="104">
        <f>+F51+F49</f>
        <v>-47512.280000000261</v>
      </c>
      <c r="M53" s="16">
        <f>+M51+K49</f>
        <v>306353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-139629</v>
      </c>
      <c r="C74" s="247">
        <f>+E40</f>
        <v>-595569.14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190426</v>
      </c>
      <c r="C77" s="259">
        <f>+Duke!C48</f>
        <v>849794.29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377110</v>
      </c>
      <c r="C79" s="259">
        <f>+Duke!C20</f>
        <v>1528147.76</v>
      </c>
    </row>
    <row r="81" spans="2:3" x14ac:dyDescent="0.2">
      <c r="B81" s="31">
        <f>SUM(B68:B80)</f>
        <v>306353</v>
      </c>
      <c r="C81" s="259">
        <f>SUM(C68:C80)</f>
        <v>-47512.280000000261</v>
      </c>
    </row>
    <row r="82" spans="2:3" x14ac:dyDescent="0.2">
      <c r="C82">
        <f>+C81/B81</f>
        <v>-0.15508997790131077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I28" sqref="I28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115296</v>
      </c>
      <c r="C39" s="11">
        <f t="shared" si="1"/>
        <v>113061</v>
      </c>
      <c r="D39" s="11">
        <f t="shared" si="1"/>
        <v>13731</v>
      </c>
      <c r="E39" s="11">
        <f t="shared" si="1"/>
        <v>12594</v>
      </c>
      <c r="F39" s="129">
        <f t="shared" si="1"/>
        <v>20039</v>
      </c>
      <c r="G39" s="11">
        <f t="shared" si="1"/>
        <v>18102</v>
      </c>
      <c r="H39" s="11">
        <f t="shared" si="1"/>
        <v>31267</v>
      </c>
      <c r="I39" s="11">
        <f t="shared" si="1"/>
        <v>23583</v>
      </c>
      <c r="J39" s="25">
        <f t="shared" si="1"/>
        <v>-12993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2.13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-27675.09</v>
      </c>
      <c r="L41"/>
      <c r="R41" s="138"/>
      <c r="X41" s="138"/>
    </row>
    <row r="42" spans="1:24" x14ac:dyDescent="0.2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37277</v>
      </c>
      <c r="C43" s="48"/>
      <c r="J43" s="138">
        <f>+J42+J41</f>
        <v>379224.82999999996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24">
        <v>166968</v>
      </c>
      <c r="L47"/>
    </row>
    <row r="48" spans="1:24" x14ac:dyDescent="0.2">
      <c r="A48" s="49">
        <f>+A43</f>
        <v>37277</v>
      </c>
      <c r="B48" s="32"/>
      <c r="C48" s="32"/>
      <c r="D48" s="350">
        <f>+J39</f>
        <v>-12993</v>
      </c>
      <c r="L48"/>
    </row>
    <row r="49" spans="1:12" x14ac:dyDescent="0.2">
      <c r="A49" s="32"/>
      <c r="B49" s="32"/>
      <c r="C49" s="32"/>
      <c r="D49" s="14">
        <f>+D48+D47</f>
        <v>153975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17211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2.13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-10417.83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37276</v>
      </c>
      <c r="B43" s="285"/>
      <c r="C43" s="436"/>
      <c r="D43" s="436"/>
      <c r="E43" s="436"/>
      <c r="F43" s="417">
        <f>+F42+F41</f>
        <v>169772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24">
        <v>-354919</v>
      </c>
      <c r="E47" s="11"/>
    </row>
    <row r="48" spans="1:26" x14ac:dyDescent="0.2">
      <c r="A48" s="49">
        <f>+A43</f>
        <v>37276</v>
      </c>
      <c r="B48" s="32"/>
      <c r="C48" s="32"/>
      <c r="D48" s="350">
        <f>+F39</f>
        <v>-4891</v>
      </c>
      <c r="E48" s="11"/>
    </row>
    <row r="49" spans="1:5" x14ac:dyDescent="0.2">
      <c r="A49" s="32"/>
      <c r="B49" s="32"/>
      <c r="C49" s="32"/>
      <c r="D49" s="14">
        <f>+D48+D47</f>
        <v>-359810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topLeftCell="A39" workbookViewId="0">
      <selection activeCell="D52" sqref="D52"/>
    </sheetView>
  </sheetViews>
  <sheetFormatPr defaultRowHeight="12.75" x14ac:dyDescent="0.2"/>
  <cols>
    <col min="1" max="1" width="25.85546875" style="285" customWidth="1"/>
    <col min="2" max="2" width="11.140625" style="582" bestFit="1" customWidth="1"/>
    <col min="3" max="3" width="9.7109375" style="583" customWidth="1"/>
    <col min="4" max="4" width="5.140625" style="584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6" bestFit="1" customWidth="1"/>
    <col min="15" max="15" width="9" style="587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5"/>
    </row>
    <row r="3" spans="1:33" ht="15" customHeight="1" x14ac:dyDescent="0.2">
      <c r="F3" s="588" t="s">
        <v>29</v>
      </c>
      <c r="G3" s="589">
        <f>+'[3]1001'!$K$39</f>
        <v>2.1</v>
      </c>
      <c r="J3" s="374">
        <f ca="1">NOW()</f>
        <v>41885.682589236108</v>
      </c>
    </row>
    <row r="4" spans="1:33" ht="15" customHeight="1" x14ac:dyDescent="0.2">
      <c r="A4" s="34" t="s">
        <v>145</v>
      </c>
      <c r="C4" s="34" t="s">
        <v>5</v>
      </c>
      <c r="F4" s="590" t="s">
        <v>30</v>
      </c>
      <c r="G4" s="591">
        <f>+'[3]1001'!$M$39</f>
        <v>2.13</v>
      </c>
    </row>
    <row r="5" spans="1:33" ht="15" customHeight="1" x14ac:dyDescent="0.2">
      <c r="B5" s="592"/>
      <c r="F5" s="588" t="s">
        <v>117</v>
      </c>
      <c r="G5" s="589">
        <f>+'[3]1001'!$E$39</f>
        <v>2.15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326</v>
      </c>
      <c r="G7" s="338" t="s">
        <v>101</v>
      </c>
      <c r="H7" s="335" t="s">
        <v>98</v>
      </c>
    </row>
    <row r="8" spans="1:33" ht="15" customHeight="1" x14ac:dyDescent="0.2">
      <c r="A8" s="204" t="s">
        <v>250</v>
      </c>
      <c r="B8" s="346">
        <f>+Duke!$C$20</f>
        <v>1528147.76</v>
      </c>
      <c r="C8" s="206">
        <f>+B8/$G$5</f>
        <v>710766.4</v>
      </c>
      <c r="D8" s="364">
        <f>+Duke!A7</f>
        <v>37276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257</v>
      </c>
      <c r="B9" s="346">
        <f>+Duke!$C$54+Duke!$C$53+Duke!$C$48+Duke!$C$33</f>
        <v>1222165.44</v>
      </c>
      <c r="C9" s="206">
        <f>+B9/$G$5</f>
        <v>568449.04186046508</v>
      </c>
      <c r="D9" s="364">
        <f>+DEFS!A40</f>
        <v>37276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748862.57</v>
      </c>
      <c r="C10" s="275">
        <f>+B10/$G$4</f>
        <v>351578.67136150232</v>
      </c>
      <c r="D10" s="365">
        <f>+PNM!A23</f>
        <v>37278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456200.77</v>
      </c>
      <c r="C11" s="275">
        <f>+B11/$G$4</f>
        <v>214178.76525821598</v>
      </c>
      <c r="D11" s="364">
        <f>+Conoco!A41</f>
        <v>37278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418108.35</v>
      </c>
      <c r="C12" s="275">
        <f>+Mojave!D40</f>
        <v>196295</v>
      </c>
      <c r="D12" s="365">
        <f>+Mojave!A40</f>
        <v>37276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379224.82999999996</v>
      </c>
      <c r="C13" s="275">
        <f>+B13/$G$4</f>
        <v>178039.82629107981</v>
      </c>
      <c r="D13" s="365">
        <f>+mewborne!A43</f>
        <v>37277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302284.83</v>
      </c>
      <c r="C14" s="275">
        <f>+B14/$G$4</f>
        <v>141917.76056338029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290888.55</v>
      </c>
      <c r="C15" s="275">
        <f>+NGPL!F38</f>
        <v>135297</v>
      </c>
      <c r="D15" s="365">
        <f>+NGPL!A38</f>
        <v>37278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+B8+B9+B42</f>
        <v>-47512.280000000261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207</v>
      </c>
      <c r="B16" s="346">
        <f>+Dominion!D41</f>
        <v>175985.48</v>
      </c>
      <c r="C16" s="275">
        <f>+B16/$G$5</f>
        <v>81853.711627906989</v>
      </c>
      <c r="D16" s="365">
        <f>+Dominion!A41</f>
        <v>37278</v>
      </c>
      <c r="E16" s="32" t="s">
        <v>85</v>
      </c>
      <c r="F16" s="32" t="s">
        <v>327</v>
      </c>
      <c r="G16" s="32" t="s">
        <v>99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04" t="s">
        <v>32</v>
      </c>
      <c r="B17" s="346">
        <f>+C17*$G$4</f>
        <v>174344.75999999998</v>
      </c>
      <c r="C17" s="206">
        <f>+SoCal!F40</f>
        <v>81852</v>
      </c>
      <c r="D17" s="364">
        <f>+SoCal!A40</f>
        <v>37278</v>
      </c>
      <c r="E17" s="204" t="s">
        <v>84</v>
      </c>
      <c r="F17" s="204" t="s">
        <v>153</v>
      </c>
      <c r="G17" s="204" t="s">
        <v>102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3</v>
      </c>
      <c r="B18" s="346">
        <f>+'Amoco Abo'!$F$43</f>
        <v>169772</v>
      </c>
      <c r="C18" s="275">
        <f>+B18/$G$4</f>
        <v>79705.164319248826</v>
      </c>
      <c r="D18" s="365">
        <f>+'Amoco Abo'!A43</f>
        <v>37276</v>
      </c>
      <c r="E18" s="32" t="s">
        <v>85</v>
      </c>
      <c r="F18" s="32" t="s">
        <v>153</v>
      </c>
      <c r="G18" s="32" t="s">
        <v>115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210</v>
      </c>
      <c r="B19" s="346">
        <f>+Devon!D41</f>
        <v>153182.69</v>
      </c>
      <c r="C19" s="275">
        <f>+B19/$G$5</f>
        <v>71247.762790697685</v>
      </c>
      <c r="D19" s="365">
        <f>+Devon!A41</f>
        <v>37278</v>
      </c>
      <c r="E19" s="32" t="s">
        <v>85</v>
      </c>
      <c r="F19" s="32" t="s">
        <v>328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04" t="s">
        <v>334</v>
      </c>
      <c r="B20" s="346">
        <f>+Plains!$N$43</f>
        <v>107948.28</v>
      </c>
      <c r="C20" s="206">
        <f>+B20/$G$4</f>
        <v>50679.943661971833</v>
      </c>
      <c r="D20" s="364">
        <f>+Plains!A43</f>
        <v>37256</v>
      </c>
      <c r="E20" s="204" t="s">
        <v>85</v>
      </c>
      <c r="F20" s="204"/>
      <c r="G20" s="204" t="s">
        <v>100</v>
      </c>
      <c r="H20" s="204"/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32" t="s">
        <v>218</v>
      </c>
      <c r="B21" s="346">
        <f>+Amarillo!P41</f>
        <v>92679.45</v>
      </c>
      <c r="C21" s="275">
        <f>+B21/$G$4</f>
        <v>43511.478873239437</v>
      </c>
      <c r="D21" s="365">
        <f>+Amarillo!A41</f>
        <v>37276</v>
      </c>
      <c r="E21" s="32" t="s">
        <v>85</v>
      </c>
      <c r="F21" s="32" t="s">
        <v>328</v>
      </c>
      <c r="G21" s="32" t="s">
        <v>113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129</v>
      </c>
      <c r="B22" s="346">
        <f>+EPFS!D41</f>
        <v>75922.48</v>
      </c>
      <c r="C22" s="206">
        <f>+B22/$G$5</f>
        <v>35312.781395348837</v>
      </c>
      <c r="D22" s="364">
        <f>+EPFS!A41</f>
        <v>37278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109</v>
      </c>
      <c r="B23" s="346">
        <f>+Continental!F43</f>
        <v>73028</v>
      </c>
      <c r="C23" s="206">
        <f>+B23/$G$4</f>
        <v>34285.446009389671</v>
      </c>
      <c r="D23" s="364">
        <f>+Continental!A43</f>
        <v>37278</v>
      </c>
      <c r="E23" s="204" t="s">
        <v>85</v>
      </c>
      <c r="F23" s="204" t="s">
        <v>154</v>
      </c>
      <c r="G23" s="204" t="s">
        <v>115</v>
      </c>
      <c r="H23" s="204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204" t="s">
        <v>28</v>
      </c>
      <c r="B24" s="346">
        <f>+C24*$G$3</f>
        <v>65837.100000000006</v>
      </c>
      <c r="C24" s="275">
        <f>+williams!J40</f>
        <v>31351</v>
      </c>
      <c r="D24" s="364">
        <f>+williams!A40</f>
        <v>37278</v>
      </c>
      <c r="E24" s="204" t="s">
        <v>85</v>
      </c>
      <c r="F24" s="204" t="s">
        <v>154</v>
      </c>
      <c r="G24" s="204" t="s">
        <v>317</v>
      </c>
      <c r="H24" s="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32" t="s">
        <v>31</v>
      </c>
      <c r="B25" s="346">
        <f>+C25*$G$5</f>
        <v>65221.002499999995</v>
      </c>
      <c r="C25" s="275">
        <f>+Lonestar!F43</f>
        <v>30335.35</v>
      </c>
      <c r="D25" s="364">
        <f>+Lonestar!A43</f>
        <v>37277</v>
      </c>
      <c r="E25" s="32" t="s">
        <v>84</v>
      </c>
      <c r="F25" s="32" t="s">
        <v>328</v>
      </c>
      <c r="G25" s="32" t="s">
        <v>102</v>
      </c>
      <c r="H25" s="32" t="s">
        <v>310</v>
      </c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114</v>
      </c>
      <c r="B26" s="346">
        <f>+C26*$G$4</f>
        <v>49750.409999999996</v>
      </c>
      <c r="C26" s="206">
        <f>+'PG&amp;E'!D40</f>
        <v>23357</v>
      </c>
      <c r="D26" s="365">
        <f>+'PG&amp;E'!A40</f>
        <v>37277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2.95" customHeight="1" x14ac:dyDescent="0.2">
      <c r="A27" s="32" t="s">
        <v>103</v>
      </c>
      <c r="B27" s="346">
        <f>+EOG!$J$41</f>
        <v>47344.95</v>
      </c>
      <c r="C27" s="275">
        <f>+B27/$G$4</f>
        <v>22227.676056338027</v>
      </c>
      <c r="D27" s="364">
        <f>+EOG!A41</f>
        <v>37276</v>
      </c>
      <c r="E27" s="32" t="s">
        <v>85</v>
      </c>
      <c r="F27" s="32" t="s">
        <v>327</v>
      </c>
      <c r="G27" s="32" t="s">
        <v>102</v>
      </c>
      <c r="H27" s="32"/>
      <c r="I27" s="32"/>
      <c r="J27" s="204"/>
      <c r="K27" s="204"/>
      <c r="L27" s="204"/>
      <c r="M27" s="32" t="s">
        <v>244</v>
      </c>
      <c r="N27" s="471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">
      <c r="A28" s="32" t="s">
        <v>324</v>
      </c>
      <c r="B28" s="346">
        <f>+Stratland!$D$41</f>
        <v>42582.37</v>
      </c>
      <c r="C28" s="275">
        <f>+B28/$G$4</f>
        <v>19991.723004694839</v>
      </c>
      <c r="D28" s="364">
        <f>+EOG!A47</f>
        <v>37276</v>
      </c>
      <c r="E28" s="32" t="s">
        <v>85</v>
      </c>
      <c r="F28" s="32" t="s">
        <v>327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1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">
      <c r="A29" s="32" t="s">
        <v>23</v>
      </c>
      <c r="B29" s="346">
        <f>+C29*$G$3</f>
        <v>41571.599999999999</v>
      </c>
      <c r="C29" s="348">
        <f>+'Red C'!$F$45</f>
        <v>19796</v>
      </c>
      <c r="D29" s="364">
        <f>+'Red C'!A45</f>
        <v>37278</v>
      </c>
      <c r="E29" s="204" t="s">
        <v>84</v>
      </c>
      <c r="F29" s="32" t="s">
        <v>153</v>
      </c>
      <c r="G29" s="32" t="s">
        <v>115</v>
      </c>
      <c r="H29" s="32"/>
      <c r="I29" s="204"/>
      <c r="J29" s="204"/>
      <c r="K29" s="204"/>
      <c r="L29" s="204"/>
      <c r="M29" s="204"/>
      <c r="N29" s="471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">
      <c r="A30" s="32" t="s">
        <v>131</v>
      </c>
      <c r="B30" s="346">
        <f>+SidR!D41</f>
        <v>40213.100000000006</v>
      </c>
      <c r="C30" s="275">
        <f>+B30/$G$5</f>
        <v>18703.767441860469</v>
      </c>
      <c r="D30" s="365">
        <f>+SidR!A41</f>
        <v>37277</v>
      </c>
      <c r="E30" s="32" t="s">
        <v>85</v>
      </c>
      <c r="F30" s="32" t="s">
        <v>152</v>
      </c>
      <c r="G30" s="32" t="s">
        <v>102</v>
      </c>
      <c r="H30" s="32"/>
      <c r="I30" s="204"/>
      <c r="J30" s="204"/>
      <c r="K30" s="204"/>
      <c r="L30" s="204"/>
      <c r="M30" s="204" t="s">
        <v>245</v>
      </c>
      <c r="N30" s="471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593" customFormat="1" ht="13.5" customHeight="1" x14ac:dyDescent="0.2">
      <c r="A31" s="32" t="s">
        <v>110</v>
      </c>
      <c r="B31" s="346">
        <f>+C31*$G$4</f>
        <v>37460.31</v>
      </c>
      <c r="C31" s="275">
        <f>+CIG!D42</f>
        <v>17587</v>
      </c>
      <c r="D31" s="365">
        <f>+CIG!A42</f>
        <v>37276</v>
      </c>
      <c r="E31" s="204" t="s">
        <v>84</v>
      </c>
      <c r="F31" s="32" t="s">
        <v>154</v>
      </c>
      <c r="G31" s="32" t="s">
        <v>113</v>
      </c>
      <c r="H31" s="32"/>
      <c r="I31" s="204"/>
      <c r="J31" s="204"/>
      <c r="K31" s="204"/>
      <c r="L31" s="204"/>
      <c r="M31" s="204"/>
      <c r="N31" s="471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303</v>
      </c>
      <c r="B32" s="346">
        <f>+'WTG inc'!N43</f>
        <v>36864.39</v>
      </c>
      <c r="C32" s="275">
        <f>+B32/$G$4</f>
        <v>17307.225352112677</v>
      </c>
      <c r="D32" s="365">
        <f>+'WTG inc'!A43</f>
        <v>37276</v>
      </c>
      <c r="E32" s="32" t="s">
        <v>85</v>
      </c>
      <c r="F32" s="32" t="s">
        <v>153</v>
      </c>
      <c r="G32" s="32" t="s">
        <v>115</v>
      </c>
      <c r="H32" s="204"/>
      <c r="I32" s="204"/>
      <c r="J32" s="32"/>
      <c r="K32" s="32"/>
      <c r="L32" s="32"/>
      <c r="M32" s="32" t="s">
        <v>244</v>
      </c>
      <c r="N32" s="380">
        <v>26357</v>
      </c>
      <c r="O32" s="70">
        <v>44144.84</v>
      </c>
      <c r="P32" s="32" t="s">
        <v>248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">
      <c r="A33" s="204" t="s">
        <v>127</v>
      </c>
      <c r="B33" s="346">
        <f>+Calpine!D41</f>
        <v>32109.210000000021</v>
      </c>
      <c r="C33" s="206">
        <f>+B33/$G$4</f>
        <v>15074.74647887325</v>
      </c>
      <c r="D33" s="364">
        <f>+Calpine!A41</f>
        <v>37278</v>
      </c>
      <c r="E33" s="204" t="s">
        <v>85</v>
      </c>
      <c r="F33" s="204" t="s">
        <v>153</v>
      </c>
      <c r="G33" s="204" t="s">
        <v>99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593" customFormat="1" ht="13.5" customHeight="1" x14ac:dyDescent="0.2">
      <c r="A34" s="204" t="s">
        <v>87</v>
      </c>
      <c r="B34" s="346">
        <f>+NNG!$D$24</f>
        <v>27446.82</v>
      </c>
      <c r="C34" s="275">
        <f>+B34/$G$4</f>
        <v>12885.830985915494</v>
      </c>
      <c r="D34" s="364">
        <f>+NNG!A24</f>
        <v>37277</v>
      </c>
      <c r="E34" s="204" t="s">
        <v>85</v>
      </c>
      <c r="F34" s="204" t="s">
        <v>327</v>
      </c>
      <c r="G34" s="204" t="s">
        <v>100</v>
      </c>
      <c r="H34" s="204"/>
      <c r="I34" s="204"/>
      <c r="J34" s="204"/>
      <c r="K34" s="204"/>
      <c r="L34" s="204"/>
      <c r="M34" s="204"/>
      <c r="N34" s="471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593" customFormat="1" ht="13.5" customHeight="1" x14ac:dyDescent="0.2">
      <c r="A35" s="204" t="s">
        <v>139</v>
      </c>
      <c r="B35" s="346">
        <f>+'Citizens-Griffith'!D41</f>
        <v>26247.990000000005</v>
      </c>
      <c r="C35" s="275">
        <f>+B35/$G$4</f>
        <v>12323.000000000004</v>
      </c>
      <c r="D35" s="364">
        <f>+'Citizens-Griffith'!A41</f>
        <v>37278</v>
      </c>
      <c r="E35" s="204" t="s">
        <v>85</v>
      </c>
      <c r="F35" s="204" t="s">
        <v>328</v>
      </c>
      <c r="G35" s="204" t="s">
        <v>99</v>
      </c>
      <c r="H35" s="204"/>
      <c r="I35" s="204"/>
      <c r="J35" s="204"/>
      <c r="K35" s="204"/>
      <c r="L35" s="204"/>
      <c r="M35" s="32" t="s">
        <v>245</v>
      </c>
      <c r="N35" s="380">
        <v>21665</v>
      </c>
      <c r="O35" s="70">
        <v>73449</v>
      </c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s="593" customFormat="1" ht="12.95" customHeight="1" x14ac:dyDescent="0.2">
      <c r="A36" s="32" t="s">
        <v>315</v>
      </c>
      <c r="B36" s="346">
        <f>+C36*$G$3</f>
        <v>24960.600000000002</v>
      </c>
      <c r="C36" s="275">
        <f>+Amoco!D40</f>
        <v>11886</v>
      </c>
      <c r="D36" s="365">
        <f>+Amoco!A40</f>
        <v>37277</v>
      </c>
      <c r="E36" s="32" t="s">
        <v>84</v>
      </c>
      <c r="F36" s="32" t="s">
        <v>153</v>
      </c>
      <c r="G36" s="32" t="s">
        <v>115</v>
      </c>
      <c r="H36" s="32"/>
      <c r="I36" s="204"/>
      <c r="J36" s="204"/>
      <c r="K36" s="204"/>
      <c r="L36" s="204"/>
      <c r="M36" s="204"/>
      <c r="N36" s="471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">
      <c r="A37" s="204" t="s">
        <v>71</v>
      </c>
      <c r="B37" s="347">
        <f>+transcol!$D$43</f>
        <v>15230.029999999999</v>
      </c>
      <c r="C37" s="348">
        <f>+B37/$G$4</f>
        <v>7150.2488262910792</v>
      </c>
      <c r="D37" s="364">
        <f>+transcol!A43</f>
        <v>37277</v>
      </c>
      <c r="E37" s="204" t="s">
        <v>85</v>
      </c>
      <c r="F37" s="204" t="s">
        <v>153</v>
      </c>
      <c r="G37" s="204" t="s">
        <v>115</v>
      </c>
      <c r="H37" s="32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s="593" customFormat="1" ht="13.5" customHeight="1" x14ac:dyDescent="0.2">
      <c r="A38" s="204" t="s">
        <v>33</v>
      </c>
      <c r="B38" s="349">
        <f>+'El Paso'!C39*summary!G4+'El Paso'!E39*summary!G3</f>
        <v>13299.569999999992</v>
      </c>
      <c r="C38" s="71">
        <f>+'El Paso'!H39</f>
        <v>5415</v>
      </c>
      <c r="D38" s="364">
        <f>+'El Paso'!A39</f>
        <v>37277</v>
      </c>
      <c r="E38" s="204" t="s">
        <v>84</v>
      </c>
      <c r="F38" s="204" t="s">
        <v>154</v>
      </c>
      <c r="G38" s="204" t="s">
        <v>100</v>
      </c>
      <c r="H38" s="204"/>
      <c r="I38" s="204"/>
      <c r="J38" s="204"/>
      <c r="K38" s="204"/>
      <c r="L38" s="204"/>
      <c r="M38" s="204"/>
      <c r="N38" s="471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8" customHeight="1" x14ac:dyDescent="0.2">
      <c r="A39" s="32" t="s">
        <v>96</v>
      </c>
      <c r="B39" s="47">
        <f>SUM(B8:B38)</f>
        <v>6934885.6925000008</v>
      </c>
      <c r="C39" s="69">
        <f>SUM(C8:C38)</f>
        <v>3240362.3221585322</v>
      </c>
      <c r="D39" s="203"/>
      <c r="E39" s="32"/>
      <c r="F39" s="32"/>
      <c r="G39" s="32"/>
      <c r="H39" s="32"/>
      <c r="I39" s="32"/>
      <c r="J39" s="32"/>
      <c r="K39" s="32"/>
      <c r="L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2"/>
      <c r="B40" s="47"/>
      <c r="C40" s="69"/>
      <c r="D40" s="203"/>
      <c r="E40" s="32"/>
      <c r="F40" s="351"/>
      <c r="G40" s="351"/>
      <c r="H40" s="32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35" t="s">
        <v>89</v>
      </c>
      <c r="B41" s="336" t="s">
        <v>16</v>
      </c>
      <c r="C41" s="337" t="s">
        <v>0</v>
      </c>
      <c r="D41" s="344" t="s">
        <v>146</v>
      </c>
      <c r="E41" s="335" t="s">
        <v>90</v>
      </c>
      <c r="F41" s="338" t="s">
        <v>101</v>
      </c>
      <c r="G41" s="338" t="s">
        <v>101</v>
      </c>
      <c r="H41" s="335" t="s">
        <v>98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204" t="s">
        <v>249</v>
      </c>
      <c r="B42" s="347">
        <f>+DEFS!$C$40+DEFS!$E$40+DEFS!$F$44+DEFS!$F$45+DEFS!$F$46+DEFS!$F$47+DEFS!$F$48</f>
        <v>-2797825.4800000004</v>
      </c>
      <c r="C42" s="348">
        <f>+B42/$G$5</f>
        <v>-1301314.1767441863</v>
      </c>
      <c r="D42" s="364">
        <f>+DEFS!A40</f>
        <v>37276</v>
      </c>
      <c r="E42" s="204" t="s">
        <v>85</v>
      </c>
      <c r="F42" s="32" t="s">
        <v>153</v>
      </c>
      <c r="G42" s="32" t="s">
        <v>100</v>
      </c>
      <c r="H42" s="32" t="s">
        <v>313</v>
      </c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135</v>
      </c>
      <c r="B43" s="346">
        <f>+Citizens!D18</f>
        <v>-549840.18000000005</v>
      </c>
      <c r="C43" s="206">
        <f>+B43/$G$4</f>
        <v>-258140.92957746482</v>
      </c>
      <c r="D43" s="364">
        <f>+Citizens!A18</f>
        <v>37276</v>
      </c>
      <c r="E43" s="204" t="s">
        <v>85</v>
      </c>
      <c r="F43" s="204" t="s">
        <v>328</v>
      </c>
      <c r="G43" s="204" t="s">
        <v>99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133</v>
      </c>
      <c r="B44" s="346">
        <f>+'NS Steel'!D41</f>
        <v>-300246.08</v>
      </c>
      <c r="C44" s="206">
        <f>+B44/$G$4</f>
        <v>-140960.60093896714</v>
      </c>
      <c r="D44" s="365">
        <f>+'NS Steel'!A41</f>
        <v>37277</v>
      </c>
      <c r="E44" s="32" t="s">
        <v>85</v>
      </c>
      <c r="F44" s="32" t="s">
        <v>154</v>
      </c>
      <c r="G44" s="32" t="s">
        <v>100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204" t="s">
        <v>261</v>
      </c>
      <c r="B45" s="346">
        <f>+MiVida_Rich!D41</f>
        <v>-203736.06</v>
      </c>
      <c r="C45" s="206">
        <f>+B45/$G$5</f>
        <v>-94760.95813953488</v>
      </c>
      <c r="D45" s="364">
        <f>+MiVida_Rich!A41</f>
        <v>37256</v>
      </c>
      <c r="E45" s="204" t="s">
        <v>85</v>
      </c>
      <c r="F45" s="204" t="s">
        <v>152</v>
      </c>
      <c r="G45" s="204" t="s">
        <v>102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443" t="s">
        <v>79</v>
      </c>
      <c r="B46" s="510">
        <f>+Agave!$D$24</f>
        <v>-163247.28999999998</v>
      </c>
      <c r="C46" s="464">
        <f>+B46/$G$4</f>
        <v>-76641.920187793425</v>
      </c>
      <c r="D46" s="463">
        <f>+Agave!A24</f>
        <v>37277</v>
      </c>
      <c r="E46" s="443" t="s">
        <v>85</v>
      </c>
      <c r="F46" s="443" t="s">
        <v>328</v>
      </c>
      <c r="G46" s="443" t="s">
        <v>102</v>
      </c>
      <c r="H46" s="443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94" customFormat="1" ht="13.5" customHeight="1" x14ac:dyDescent="0.2">
      <c r="A47" s="32" t="s">
        <v>216</v>
      </c>
      <c r="B47" s="346">
        <f>+crosstex!F41</f>
        <v>-103775.45999999999</v>
      </c>
      <c r="C47" s="206">
        <f>+B47/$G$4</f>
        <v>-48720.873239436616</v>
      </c>
      <c r="D47" s="365">
        <f>+crosstex!A41</f>
        <v>37276</v>
      </c>
      <c r="E47" s="32" t="s">
        <v>85</v>
      </c>
      <c r="F47" s="32" t="s">
        <v>152</v>
      </c>
      <c r="G47" s="32" t="s">
        <v>100</v>
      </c>
      <c r="H47" s="352"/>
      <c r="I47" s="249"/>
      <c r="J47" s="249"/>
      <c r="K47" s="249"/>
      <c r="L47" s="249"/>
      <c r="M47" s="32"/>
      <c r="N47" s="471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93" customFormat="1" ht="13.5" customHeight="1" x14ac:dyDescent="0.2">
      <c r="A48" s="32" t="s">
        <v>1</v>
      </c>
      <c r="B48" s="346">
        <f>+C48*$G$3</f>
        <v>-53241.3</v>
      </c>
      <c r="C48" s="206">
        <f>+NW!$F$41</f>
        <v>-25353</v>
      </c>
      <c r="D48" s="364">
        <f>+NW!B41</f>
        <v>37277</v>
      </c>
      <c r="E48" s="32" t="s">
        <v>84</v>
      </c>
      <c r="F48" s="32" t="s">
        <v>153</v>
      </c>
      <c r="G48" s="32" t="s">
        <v>115</v>
      </c>
      <c r="H48" s="352"/>
      <c r="I48" s="204"/>
      <c r="J48" s="204"/>
      <c r="K48" s="204">
        <f>135710*1.98</f>
        <v>268705.8</v>
      </c>
      <c r="L48" s="204"/>
      <c r="M48" s="204"/>
      <c r="N48" s="471"/>
      <c r="O48" s="273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</row>
    <row r="49" spans="1:33" ht="13.5" customHeight="1" x14ac:dyDescent="0.2">
      <c r="A49" s="204" t="s">
        <v>142</v>
      </c>
      <c r="B49" s="347">
        <f>+C49*$G$4</f>
        <v>-50751.509999999995</v>
      </c>
      <c r="C49" s="348">
        <f>+PEPL!D41</f>
        <v>-23827</v>
      </c>
      <c r="D49" s="364">
        <f>+PEPL!A41</f>
        <v>37277</v>
      </c>
      <c r="E49" s="204" t="s">
        <v>84</v>
      </c>
      <c r="F49" s="204" t="s">
        <v>328</v>
      </c>
      <c r="G49" s="204" t="s">
        <v>100</v>
      </c>
      <c r="H49" s="3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">
      <c r="A50" s="32" t="s">
        <v>147</v>
      </c>
      <c r="B50" s="346">
        <f>+PGETX!$H$39</f>
        <v>-39969.47</v>
      </c>
      <c r="C50" s="275">
        <f>+B50/$G$4</f>
        <v>-18765.009389671362</v>
      </c>
      <c r="D50" s="365">
        <f>+PGETX!E39</f>
        <v>37277</v>
      </c>
      <c r="E50" s="32" t="s">
        <v>85</v>
      </c>
      <c r="F50" s="32" t="s">
        <v>154</v>
      </c>
      <c r="G50" s="32" t="s">
        <v>102</v>
      </c>
      <c r="H50" s="32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3" customFormat="1" ht="13.5" customHeight="1" x14ac:dyDescent="0.2">
      <c r="A51" s="204" t="s">
        <v>204</v>
      </c>
      <c r="B51" s="347">
        <f>+WTGmktg!J43</f>
        <v>-34377.35</v>
      </c>
      <c r="C51" s="206">
        <f>+B51/$G$4</f>
        <v>-16139.600938967136</v>
      </c>
      <c r="D51" s="364">
        <f>+WTGmktg!A43</f>
        <v>37276</v>
      </c>
      <c r="E51" s="32" t="s">
        <v>85</v>
      </c>
      <c r="F51" s="204" t="s">
        <v>153</v>
      </c>
      <c r="G51" s="204" t="s">
        <v>115</v>
      </c>
      <c r="H51" s="204"/>
      <c r="I51" s="204"/>
      <c r="J51" s="204"/>
      <c r="K51" s="204"/>
      <c r="L51" s="204"/>
      <c r="M51" s="204"/>
      <c r="N51" s="471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">
      <c r="A52" s="32" t="s">
        <v>298</v>
      </c>
      <c r="B52" s="346">
        <f>+SWGasTrans!$D$41</f>
        <v>-24737.43</v>
      </c>
      <c r="C52" s="275">
        <f>+B52/$G$4</f>
        <v>-11613.816901408451</v>
      </c>
      <c r="D52" s="364">
        <f>+SWGasTrans!A41</f>
        <v>37276</v>
      </c>
      <c r="E52" s="32" t="s">
        <v>85</v>
      </c>
      <c r="F52" s="32" t="s">
        <v>153</v>
      </c>
      <c r="G52" s="32" t="s">
        <v>99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3.5" customHeight="1" x14ac:dyDescent="0.2">
      <c r="A53" s="204" t="s">
        <v>95</v>
      </c>
      <c r="B53" s="346">
        <f>+burlington!D42</f>
        <v>-12507.059999999998</v>
      </c>
      <c r="C53" s="275">
        <f>+B53/$G$3</f>
        <v>-5955.7428571428554</v>
      </c>
      <c r="D53" s="364">
        <f>+burlington!A42</f>
        <v>37277</v>
      </c>
      <c r="E53" s="204" t="s">
        <v>85</v>
      </c>
      <c r="F53" s="32" t="s">
        <v>154</v>
      </c>
      <c r="G53" s="32" t="s">
        <v>113</v>
      </c>
      <c r="H53" s="32"/>
      <c r="I53" s="32"/>
      <c r="J53" s="32"/>
      <c r="K53" s="32"/>
      <c r="L53" s="32"/>
      <c r="M53" s="32" t="s">
        <v>244</v>
      </c>
      <c r="N53" s="380">
        <v>22051</v>
      </c>
      <c r="O53" s="70">
        <v>-527215</v>
      </c>
      <c r="P53" s="32" t="s">
        <v>247</v>
      </c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s="593" customFormat="1" ht="13.5" customHeight="1" x14ac:dyDescent="0.2">
      <c r="A54" s="32" t="s">
        <v>6</v>
      </c>
      <c r="B54" s="349">
        <f>+Oasis!$D$40</f>
        <v>-3945.5100000000057</v>
      </c>
      <c r="C54" s="350">
        <f>+B54/$G$5</f>
        <v>-1835.1209302325608</v>
      </c>
      <c r="D54" s="365">
        <f>+Oasis!A40</f>
        <v>37277</v>
      </c>
      <c r="E54" s="32" t="s">
        <v>85</v>
      </c>
      <c r="F54" s="32" t="s">
        <v>154</v>
      </c>
      <c r="G54" s="32" t="s">
        <v>102</v>
      </c>
      <c r="H54" s="32"/>
      <c r="I54" s="204"/>
      <c r="J54" s="204"/>
      <c r="K54" s="204"/>
      <c r="L54" s="204"/>
      <c r="M54" s="32"/>
      <c r="N54" s="380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46">
        <f>SUM(B42:B54)</f>
        <v>-4338200.1799999988</v>
      </c>
      <c r="C55" s="206">
        <f>SUM(C42:C54)</f>
        <v>-2024028.7498448053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+B55+B39</f>
        <v>2596685.512500002</v>
      </c>
      <c r="C57" s="355">
        <f>+C55+C39</f>
        <v>1216333.5723137269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262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263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265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266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268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269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276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274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277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281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284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288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292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293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295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299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291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291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291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319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300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301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287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286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280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267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275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278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279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282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283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285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289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290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320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321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270</v>
      </c>
      <c r="B145" s="497" t="s">
        <v>272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271</v>
      </c>
      <c r="B146" s="497" t="s">
        <v>273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325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294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4" workbookViewId="0">
      <selection activeCell="B6" sqref="B6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-666801</v>
      </c>
      <c r="C7" s="80">
        <v>-245628</v>
      </c>
      <c r="D7" s="80">
        <f t="shared" si="0"/>
        <v>421173</v>
      </c>
    </row>
    <row r="8" spans="1:4" x14ac:dyDescent="0.2">
      <c r="A8" s="32">
        <v>60667</v>
      </c>
      <c r="B8" s="309">
        <v>-126047</v>
      </c>
      <c r="C8" s="80">
        <v>-841190</v>
      </c>
      <c r="D8" s="80">
        <f t="shared" si="0"/>
        <v>-715143</v>
      </c>
    </row>
    <row r="9" spans="1:4" x14ac:dyDescent="0.2">
      <c r="A9" s="32">
        <v>60749</v>
      </c>
      <c r="B9" s="309">
        <v>85714</v>
      </c>
      <c r="C9" s="80">
        <v>-135313</v>
      </c>
      <c r="D9" s="80">
        <f t="shared" si="0"/>
        <v>-221027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-217446</v>
      </c>
      <c r="C11" s="80"/>
      <c r="D11" s="80">
        <f t="shared" si="0"/>
        <v>217446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-8336</v>
      </c>
    </row>
    <row r="19" spans="1:5" x14ac:dyDescent="0.2">
      <c r="A19" s="32" t="s">
        <v>81</v>
      </c>
      <c r="B19" s="69"/>
      <c r="C19" s="69"/>
      <c r="D19" s="73">
        <f>+summary!G4</f>
        <v>2.13</v>
      </c>
    </row>
    <row r="20" spans="1:5" x14ac:dyDescent="0.2">
      <c r="B20" s="69"/>
      <c r="C20" s="69"/>
      <c r="D20" s="75">
        <f>+D19*D18</f>
        <v>-17755.68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37277</v>
      </c>
      <c r="B24" s="69"/>
      <c r="C24" s="69"/>
      <c r="D24" s="332">
        <f>+D22+D20</f>
        <v>27446.82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37277</v>
      </c>
      <c r="D33" s="350">
        <f>+D18</f>
        <v>-8336</v>
      </c>
    </row>
    <row r="34" spans="1:4" x14ac:dyDescent="0.2">
      <c r="D34" s="14">
        <f>+D33+D32</f>
        <v>11754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f>-75003-2581</f>
        <v>-77584</v>
      </c>
      <c r="C5" s="90">
        <v>-46940</v>
      </c>
      <c r="D5" s="90">
        <f t="shared" ref="D5:D13" si="0">+C5-B5</f>
        <v>30644</v>
      </c>
      <c r="E5" s="69"/>
      <c r="F5" s="201"/>
    </row>
    <row r="6" spans="1:13" x14ac:dyDescent="0.2">
      <c r="A6" s="87">
        <v>9238</v>
      </c>
      <c r="B6" s="90">
        <v>-9933</v>
      </c>
      <c r="C6" s="90">
        <v>-22000</v>
      </c>
      <c r="D6" s="90">
        <f t="shared" si="0"/>
        <v>-12067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-2098816-90504</f>
        <v>-2189320</v>
      </c>
      <c r="C7" s="90">
        <v>-2156562</v>
      </c>
      <c r="D7" s="90">
        <f t="shared" si="0"/>
        <v>32758</v>
      </c>
      <c r="E7" s="275"/>
      <c r="F7" s="201"/>
    </row>
    <row r="8" spans="1:13" x14ac:dyDescent="0.2">
      <c r="A8" s="87">
        <v>58710</v>
      </c>
      <c r="B8" s="90">
        <v>-143515</v>
      </c>
      <c r="C8" s="90">
        <v>-141004</v>
      </c>
      <c r="D8" s="90">
        <f t="shared" si="0"/>
        <v>2511</v>
      </c>
      <c r="E8" s="275"/>
      <c r="F8" s="201"/>
    </row>
    <row r="9" spans="1:13" x14ac:dyDescent="0.2">
      <c r="A9" s="87">
        <v>60921</v>
      </c>
      <c r="B9" s="90">
        <f>-905201-62944</f>
        <v>-968145</v>
      </c>
      <c r="C9" s="90">
        <v>-1006754</v>
      </c>
      <c r="D9" s="90">
        <f t="shared" si="0"/>
        <v>-38609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">
      <c r="A11" s="87">
        <v>500084</v>
      </c>
      <c r="B11" s="90">
        <f>-49031-2310</f>
        <v>-51341</v>
      </c>
      <c r="C11" s="90">
        <v>-66000</v>
      </c>
      <c r="D11" s="90">
        <f t="shared" si="0"/>
        <v>-14659</v>
      </c>
      <c r="E11" s="276"/>
      <c r="F11" s="467"/>
    </row>
    <row r="12" spans="1:13" x14ac:dyDescent="0.2">
      <c r="A12" s="317">
        <v>500085</v>
      </c>
      <c r="B12" s="90">
        <v>-3408</v>
      </c>
      <c r="C12" s="90"/>
      <c r="D12" s="90">
        <f t="shared" si="0"/>
        <v>3408</v>
      </c>
      <c r="E12" s="275"/>
      <c r="F12" s="467"/>
    </row>
    <row r="13" spans="1:13" x14ac:dyDescent="0.2">
      <c r="A13" s="87">
        <v>500097</v>
      </c>
      <c r="B13" s="90">
        <v>-75539</v>
      </c>
      <c r="C13" s="90">
        <v>-88000</v>
      </c>
      <c r="D13" s="90">
        <f t="shared" si="0"/>
        <v>-12461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-8475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2.13</v>
      </c>
      <c r="E18" s="277"/>
      <c r="F18" s="467"/>
    </row>
    <row r="19" spans="1:7" x14ac:dyDescent="0.2">
      <c r="A19" s="87"/>
      <c r="B19" s="88"/>
      <c r="C19" s="88"/>
      <c r="D19" s="96">
        <f>+D18*D17</f>
        <v>-18051.75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37278</v>
      </c>
      <c r="B23" s="88"/>
      <c r="C23" s="88"/>
      <c r="D23" s="318">
        <f>+D21+D19</f>
        <v>748862.57</v>
      </c>
      <c r="E23" s="207"/>
      <c r="F23" s="468"/>
    </row>
    <row r="24" spans="1:7" ht="13.5" thickTop="1" x14ac:dyDescent="0.2">
      <c r="E24" s="278"/>
    </row>
    <row r="25" spans="1:7" x14ac:dyDescent="0.2">
      <c r="E25" s="50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24">
        <v>307322</v>
      </c>
    </row>
    <row r="29" spans="1:7" x14ac:dyDescent="0.2">
      <c r="A29" s="49">
        <f>+A23</f>
        <v>37278</v>
      </c>
      <c r="B29" s="32"/>
      <c r="C29" s="32"/>
      <c r="D29" s="350">
        <f>+D17</f>
        <v>-8475</v>
      </c>
    </row>
    <row r="30" spans="1:7" x14ac:dyDescent="0.2">
      <c r="A30" s="32"/>
      <c r="B30" s="32"/>
      <c r="C30" s="32"/>
      <c r="D30" s="14">
        <f>+D29+D28</f>
        <v>298847</v>
      </c>
      <c r="E30" s="345"/>
    </row>
    <row r="31" spans="1:7" x14ac:dyDescent="0.2">
      <c r="A31" s="139"/>
      <c r="B31" s="119"/>
      <c r="C31" s="140"/>
      <c r="D31" s="55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6" workbookViewId="0">
      <selection activeCell="C48" sqref="C4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>
        <v>53299</v>
      </c>
      <c r="C24" s="327">
        <v>53338</v>
      </c>
      <c r="D24" s="327">
        <v>-5082</v>
      </c>
      <c r="E24" s="327">
        <v>-5000</v>
      </c>
      <c r="F24" s="90">
        <f t="shared" si="2"/>
        <v>121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327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1055327</v>
      </c>
      <c r="C34" s="287">
        <f>SUM(C3:C33)</f>
        <v>1065998</v>
      </c>
      <c r="D34" s="14">
        <f>SUM(D3:D33)</f>
        <v>-199285</v>
      </c>
      <c r="E34" s="14">
        <f>SUM(E3:E33)</f>
        <v>-189900</v>
      </c>
      <c r="F34" s="14">
        <f>SUM(F3:F33)</f>
        <v>20056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1">
        <v>37278</v>
      </c>
      <c r="B38" s="14"/>
      <c r="C38" s="14"/>
      <c r="D38" s="14"/>
      <c r="E38" s="14"/>
      <c r="F38" s="150">
        <f>+F37+F34</f>
        <v>135297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37278</v>
      </c>
      <c r="B44" s="32"/>
      <c r="C44" s="32"/>
      <c r="D44" s="375">
        <f>+F34*'by type_area'!G4</f>
        <v>42719.28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339095.28</v>
      </c>
      <c r="F45" s="290"/>
      <c r="I45" s="504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9" workbookViewId="0">
      <selection activeCell="B23" sqref="B23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4" x14ac:dyDescent="0.2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4" x14ac:dyDescent="0.2">
      <c r="A23" s="10">
        <v>20</v>
      </c>
      <c r="B23" s="129">
        <v>-19798</v>
      </c>
      <c r="C23" s="11">
        <v>-19652</v>
      </c>
      <c r="D23" s="25">
        <f t="shared" si="0"/>
        <v>146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-377984</v>
      </c>
      <c r="C35" s="11">
        <f>SUM(C4:C34)</f>
        <v>-368512</v>
      </c>
      <c r="D35" s="11">
        <f>SUM(D4:D34)</f>
        <v>9472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3">
        <v>186823</v>
      </c>
    </row>
    <row r="39" spans="1:4" x14ac:dyDescent="0.2">
      <c r="A39" s="2"/>
      <c r="D39" s="24"/>
    </row>
    <row r="40" spans="1:4" x14ac:dyDescent="0.2">
      <c r="A40" s="57">
        <v>37276</v>
      </c>
      <c r="D40" s="51">
        <f>+D38+D35</f>
        <v>196295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2">
        <v>199813</v>
      </c>
    </row>
    <row r="46" spans="1:4" x14ac:dyDescent="0.2">
      <c r="A46" s="49">
        <f>+A40</f>
        <v>37276</v>
      </c>
      <c r="B46" s="32"/>
      <c r="C46" s="32"/>
      <c r="D46" s="375">
        <f>+D35*'by type_area'!G4</f>
        <v>20175.36</v>
      </c>
    </row>
    <row r="47" spans="1:4" x14ac:dyDescent="0.2">
      <c r="A47" s="32"/>
      <c r="B47" s="32"/>
      <c r="C47" s="32"/>
      <c r="D47" s="200">
        <f>+D46+D45</f>
        <v>219988.36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G40" sqref="G4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204548</v>
      </c>
      <c r="C35" s="11">
        <f t="shared" ref="C35:I35" si="1">SUM(C4:C34)</f>
        <v>208164</v>
      </c>
      <c r="D35" s="11">
        <f t="shared" si="1"/>
        <v>161236</v>
      </c>
      <c r="E35" s="11">
        <f t="shared" si="1"/>
        <v>160317</v>
      </c>
      <c r="F35" s="11">
        <f t="shared" si="1"/>
        <v>134366</v>
      </c>
      <c r="G35" s="11">
        <f t="shared" si="1"/>
        <v>151767</v>
      </c>
      <c r="H35" s="11">
        <f t="shared" si="1"/>
        <v>0</v>
      </c>
      <c r="I35" s="11">
        <f t="shared" si="1"/>
        <v>0</v>
      </c>
      <c r="J35" s="11">
        <f>SUM(J4:J34)</f>
        <v>20098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2.13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42808.74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37276</v>
      </c>
      <c r="J41" s="319">
        <f>+J39+J37</f>
        <v>47344.95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37276</v>
      </c>
      <c r="B47" s="32"/>
      <c r="C47" s="32"/>
      <c r="D47" s="350">
        <f>+J35</f>
        <v>20098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-105440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0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2.13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-115684.56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302284.83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150390.46268656719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6" workbookViewId="0">
      <selection activeCell="E30" sqref="E30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18200</v>
      </c>
      <c r="F39" s="25">
        <f>SUM(F8:F38)</f>
        <v>18200</v>
      </c>
    </row>
    <row r="40" spans="1:6" x14ac:dyDescent="0.2">
      <c r="A40" s="26"/>
      <c r="C40" s="14"/>
      <c r="F40" s="253">
        <f>+summary!G4</f>
        <v>2.13</v>
      </c>
    </row>
    <row r="41" spans="1:6" x14ac:dyDescent="0.2">
      <c r="F41" s="138">
        <f>+F40*F39</f>
        <v>38766</v>
      </c>
    </row>
    <row r="42" spans="1:6" x14ac:dyDescent="0.2">
      <c r="A42" s="57">
        <v>37256</v>
      </c>
      <c r="C42" s="15"/>
      <c r="F42" s="495">
        <v>34262</v>
      </c>
    </row>
    <row r="43" spans="1:6" x14ac:dyDescent="0.2">
      <c r="A43" s="57">
        <v>37278</v>
      </c>
      <c r="C43" s="48"/>
      <c r="F43" s="138">
        <f>+F42+F41</f>
        <v>73028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0">
        <v>748</v>
      </c>
    </row>
    <row r="49" spans="1:4" x14ac:dyDescent="0.2">
      <c r="A49" s="49">
        <f>+A43</f>
        <v>37278</v>
      </c>
      <c r="B49" s="32"/>
      <c r="C49" s="32"/>
      <c r="D49" s="350">
        <f>+F39</f>
        <v>18200</v>
      </c>
    </row>
    <row r="50" spans="1:4" x14ac:dyDescent="0.2">
      <c r="A50" s="32"/>
      <c r="B50" s="32"/>
      <c r="C50" s="32"/>
      <c r="D50" s="14">
        <f>+D49+D48</f>
        <v>18948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0"/>
    </row>
    <row r="41" spans="1:4" x14ac:dyDescent="0.2">
      <c r="A41" s="57">
        <v>37256</v>
      </c>
      <c r="C41" s="15"/>
      <c r="D41" s="457">
        <v>16328</v>
      </c>
    </row>
    <row r="42" spans="1:4" x14ac:dyDescent="0.2">
      <c r="A42" s="57">
        <v>37276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1">
        <v>383278</v>
      </c>
    </row>
    <row r="48" spans="1:4" x14ac:dyDescent="0.2">
      <c r="A48" s="49">
        <f>+A42</f>
        <v>37276</v>
      </c>
      <c r="B48" s="32"/>
      <c r="C48" s="32"/>
      <c r="D48" s="375">
        <f>+D39*summary!G4</f>
        <v>2681.67</v>
      </c>
    </row>
    <row r="49" spans="1:4" x14ac:dyDescent="0.2">
      <c r="A49" s="32"/>
      <c r="B49" s="32"/>
      <c r="C49" s="32"/>
      <c r="D49" s="200">
        <f>+D48+D47</f>
        <v>385959.67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19" workbookViewId="0">
      <selection activeCell="C28" sqref="C28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-1664532</v>
      </c>
      <c r="I19" s="119">
        <f>+C37</f>
        <v>-1733484</v>
      </c>
      <c r="J19" s="119">
        <f>+I19-H19</f>
        <v>-68952</v>
      </c>
      <c r="K19" s="412">
        <f>+D38</f>
        <v>2.13</v>
      </c>
      <c r="L19" s="417">
        <f>+K19*J19</f>
        <v>-146867.75999999998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61540</v>
      </c>
      <c r="K24" s="408"/>
      <c r="L24" s="110">
        <f>+L19+L17</f>
        <v>-65182.660000000149</v>
      </c>
      <c r="M24" s="2"/>
      <c r="N24" s="34"/>
    </row>
    <row r="25" spans="1:14" x14ac:dyDescent="0.2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-30602.1877934273</v>
      </c>
    </row>
    <row r="27" spans="1:14" x14ac:dyDescent="0.2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-1664532</v>
      </c>
      <c r="C37" s="11">
        <f>SUM(C6:C36)</f>
        <v>-1733484</v>
      </c>
      <c r="D37" s="25">
        <f>SUM(D6:D36)</f>
        <v>-68952</v>
      </c>
    </row>
    <row r="38" spans="1:4" x14ac:dyDescent="0.2">
      <c r="A38" s="26"/>
      <c r="C38" s="14"/>
      <c r="D38" s="326">
        <f>+summary!G4</f>
        <v>2.13</v>
      </c>
    </row>
    <row r="39" spans="1:4" x14ac:dyDescent="0.2">
      <c r="D39" s="138">
        <f>+D38*D37</f>
        <v>-146867.75999999998</v>
      </c>
    </row>
    <row r="40" spans="1:4" x14ac:dyDescent="0.2">
      <c r="A40" s="57">
        <v>37256</v>
      </c>
      <c r="C40" s="15"/>
      <c r="D40" s="529">
        <v>178976.97</v>
      </c>
    </row>
    <row r="41" spans="1:4" x14ac:dyDescent="0.2">
      <c r="A41" s="57">
        <v>37278</v>
      </c>
      <c r="C41" s="48"/>
      <c r="D41" s="138">
        <f>+D40+D39</f>
        <v>32109.210000000021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173146</v>
      </c>
    </row>
    <row r="46" spans="1:4" x14ac:dyDescent="0.2">
      <c r="A46" s="49">
        <f>+A41</f>
        <v>37278</v>
      </c>
      <c r="B46" s="32"/>
      <c r="C46" s="32"/>
      <c r="D46" s="350">
        <f>+D37</f>
        <v>-68952</v>
      </c>
    </row>
    <row r="47" spans="1:4" x14ac:dyDescent="0.2">
      <c r="A47" s="32"/>
      <c r="B47" s="32"/>
      <c r="C47" s="32"/>
      <c r="D47" s="14">
        <f>+D46+D45</f>
        <v>104194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28" sqref="C28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">
      <c r="A27" s="10">
        <v>22</v>
      </c>
      <c r="B27" s="11">
        <v>27457</v>
      </c>
      <c r="C27" s="11">
        <v>28727</v>
      </c>
      <c r="D27" s="25">
        <f t="shared" si="0"/>
        <v>1270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684645</v>
      </c>
      <c r="C37" s="11">
        <f>SUM(C6:C36)</f>
        <v>680422</v>
      </c>
      <c r="D37" s="25">
        <f>SUM(D6:D36)</f>
        <v>-4223</v>
      </c>
    </row>
    <row r="38" spans="1:4" x14ac:dyDescent="0.2">
      <c r="A38" s="26"/>
      <c r="B38" s="31"/>
      <c r="C38" s="14"/>
      <c r="D38" s="326">
        <f>+summary!G5</f>
        <v>2.15</v>
      </c>
    </row>
    <row r="39" spans="1:4" x14ac:dyDescent="0.2">
      <c r="D39" s="138">
        <f>+D38*D37</f>
        <v>-9079.4499999999989</v>
      </c>
    </row>
    <row r="40" spans="1:4" x14ac:dyDescent="0.2">
      <c r="A40" s="57">
        <v>37256</v>
      </c>
      <c r="C40" s="15"/>
      <c r="D40" s="529">
        <v>85001.93</v>
      </c>
    </row>
    <row r="41" spans="1:4" x14ac:dyDescent="0.2">
      <c r="A41" s="57">
        <v>37278</v>
      </c>
      <c r="C41" s="48"/>
      <c r="D41" s="138">
        <f>+D40+D39</f>
        <v>75922.48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54581</v>
      </c>
    </row>
    <row r="46" spans="1:4" x14ac:dyDescent="0.2">
      <c r="A46" s="49">
        <f>+A41</f>
        <v>37278</v>
      </c>
      <c r="B46" s="32"/>
      <c r="C46" s="32"/>
      <c r="D46" s="350">
        <f>+D37</f>
        <v>-4223</v>
      </c>
    </row>
    <row r="47" spans="1:4" x14ac:dyDescent="0.2">
      <c r="A47" s="32"/>
      <c r="B47" s="32"/>
      <c r="C47" s="32"/>
      <c r="D47" s="14">
        <f>+D46+D45</f>
        <v>50358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C26" sqref="C26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47395</v>
      </c>
      <c r="G25" s="11">
        <v>46090</v>
      </c>
      <c r="H25" s="11">
        <v>144567</v>
      </c>
      <c r="I25" s="11">
        <v>142187</v>
      </c>
      <c r="J25" s="11">
        <f t="shared" si="0"/>
        <v>-477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6538968</v>
      </c>
      <c r="C35" s="11">
        <f t="shared" ref="C35:I35" si="3">SUM(C4:C34)</f>
        <v>6520034</v>
      </c>
      <c r="D35" s="11">
        <f t="shared" si="3"/>
        <v>847060</v>
      </c>
      <c r="E35" s="11">
        <f t="shared" si="3"/>
        <v>865044</v>
      </c>
      <c r="F35" s="11">
        <f t="shared" si="3"/>
        <v>915576</v>
      </c>
      <c r="G35" s="11">
        <f t="shared" si="3"/>
        <v>1017096</v>
      </c>
      <c r="H35" s="11">
        <f t="shared" si="3"/>
        <v>2826107</v>
      </c>
      <c r="I35" s="11">
        <f t="shared" si="3"/>
        <v>2756888</v>
      </c>
      <c r="J35" s="11">
        <f>SUM(J4:J34)</f>
        <v>31351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37278</v>
      </c>
      <c r="J40" s="51">
        <f>+J38+J35</f>
        <v>31351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37278</v>
      </c>
      <c r="B47" s="32"/>
      <c r="C47" s="32"/>
      <c r="D47" s="375">
        <f>+J35*'by type_area'!G3</f>
        <v>65837.100000000006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65837.100000000006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0" workbookViewId="0">
      <selection activeCell="C27" sqref="C27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997946</v>
      </c>
      <c r="C37" s="11">
        <f>SUM(C6:C36)</f>
        <v>997703</v>
      </c>
      <c r="D37" s="25">
        <f>SUM(D6:D36)</f>
        <v>-243</v>
      </c>
    </row>
    <row r="38" spans="1:4" x14ac:dyDescent="0.2">
      <c r="A38" s="26"/>
      <c r="C38" s="14"/>
      <c r="D38" s="326">
        <f>+summary!G5</f>
        <v>2.15</v>
      </c>
    </row>
    <row r="39" spans="1:4" x14ac:dyDescent="0.2">
      <c r="D39" s="138">
        <f>+D38*D37</f>
        <v>-522.44999999999993</v>
      </c>
    </row>
    <row r="40" spans="1:4" x14ac:dyDescent="0.2">
      <c r="A40" s="57">
        <v>37256</v>
      </c>
      <c r="C40" s="15"/>
      <c r="D40" s="532">
        <v>40735.550000000003</v>
      </c>
    </row>
    <row r="41" spans="1:4" x14ac:dyDescent="0.2">
      <c r="A41" s="57">
        <v>37277</v>
      </c>
      <c r="C41" s="48"/>
      <c r="D41" s="138">
        <f>+D40+D39</f>
        <v>40213.100000000006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19256</v>
      </c>
    </row>
    <row r="47" spans="1:4" x14ac:dyDescent="0.2">
      <c r="A47" s="49">
        <f>+A41</f>
        <v>37277</v>
      </c>
      <c r="B47" s="32"/>
      <c r="C47" s="32"/>
      <c r="D47" s="350">
        <f>+D37</f>
        <v>-243</v>
      </c>
    </row>
    <row r="48" spans="1:4" x14ac:dyDescent="0.2">
      <c r="A48" s="32"/>
      <c r="B48" s="32"/>
      <c r="C48" s="32"/>
      <c r="D48" s="14">
        <f>+D47+D46</f>
        <v>19013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4" workbookViewId="0">
      <selection activeCell="C52" sqref="C5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-25176</v>
      </c>
      <c r="C37" s="11">
        <f>SUM(C6:C36)</f>
        <v>908</v>
      </c>
      <c r="D37" s="25">
        <f>SUM(D6:D36)</f>
        <v>26084</v>
      </c>
    </row>
    <row r="38" spans="1:4" x14ac:dyDescent="0.2">
      <c r="A38" s="26"/>
      <c r="C38" s="14"/>
      <c r="D38" s="326">
        <f>+summary!G4</f>
        <v>2.13</v>
      </c>
    </row>
    <row r="39" spans="1:4" x14ac:dyDescent="0.2">
      <c r="D39" s="138">
        <f>+D38*D37</f>
        <v>55558.92</v>
      </c>
    </row>
    <row r="40" spans="1:4" x14ac:dyDescent="0.2">
      <c r="A40" s="57">
        <v>37256</v>
      </c>
      <c r="C40" s="15"/>
      <c r="D40" s="529">
        <v>-355805</v>
      </c>
    </row>
    <row r="41" spans="1:4" x14ac:dyDescent="0.2">
      <c r="A41" s="57">
        <v>37277</v>
      </c>
      <c r="C41" s="48"/>
      <c r="D41" s="138">
        <f>+D40+D39</f>
        <v>-300246.08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24">
        <v>-44621</v>
      </c>
    </row>
    <row r="49" spans="1:4" x14ac:dyDescent="0.2">
      <c r="A49" s="49">
        <f>+A41</f>
        <v>37277</v>
      </c>
      <c r="B49" s="32"/>
      <c r="C49" s="32"/>
      <c r="D49" s="350">
        <f>+D37</f>
        <v>26084</v>
      </c>
    </row>
    <row r="50" spans="1:4" x14ac:dyDescent="0.2">
      <c r="A50" s="32"/>
      <c r="B50" s="32"/>
      <c r="C50" s="32"/>
      <c r="D50" s="14">
        <f>+D49+D48</f>
        <v>-18537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28" sqref="C2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">
      <c r="A27" s="10">
        <v>22</v>
      </c>
      <c r="B27" s="11">
        <v>-63289</v>
      </c>
      <c r="C27" s="11">
        <v>-58000</v>
      </c>
      <c r="D27" s="25">
        <f t="shared" si="0"/>
        <v>5289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-247730</v>
      </c>
      <c r="C37" s="11">
        <f>SUM(C6:C36)</f>
        <v>-267211</v>
      </c>
      <c r="D37" s="25">
        <f>SUM(D6:D36)</f>
        <v>-19481</v>
      </c>
    </row>
    <row r="38" spans="1:4" x14ac:dyDescent="0.2">
      <c r="A38" s="26"/>
      <c r="C38" s="14"/>
      <c r="D38" s="326">
        <f>+summary!G4</f>
        <v>2.13</v>
      </c>
    </row>
    <row r="39" spans="1:4" x14ac:dyDescent="0.2">
      <c r="D39" s="138">
        <f>+D38*D37</f>
        <v>-41494.53</v>
      </c>
    </row>
    <row r="40" spans="1:4" x14ac:dyDescent="0.2">
      <c r="A40" s="57">
        <v>37256</v>
      </c>
      <c r="C40" s="15"/>
      <c r="D40" s="529">
        <v>67742.52</v>
      </c>
    </row>
    <row r="41" spans="1:4" x14ac:dyDescent="0.2">
      <c r="A41" s="57">
        <v>37278</v>
      </c>
      <c r="C41" s="48"/>
      <c r="D41" s="138">
        <f>+D40+D39</f>
        <v>26247.990000000005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36151</v>
      </c>
    </row>
    <row r="47" spans="1:4" x14ac:dyDescent="0.2">
      <c r="A47" s="49">
        <f>+A41</f>
        <v>37278</v>
      </c>
      <c r="B47" s="32"/>
      <c r="C47" s="32"/>
      <c r="D47" s="350">
        <f>+D37</f>
        <v>-19481</v>
      </c>
    </row>
    <row r="48" spans="1:4" x14ac:dyDescent="0.2">
      <c r="A48" s="32"/>
      <c r="B48" s="32"/>
      <c r="C48" s="32"/>
      <c r="D48" s="14">
        <f>+D47+D46</f>
        <v>16670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10" workbookViewId="0">
      <selection activeCell="A25" sqref="A25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-1</v>
      </c>
      <c r="C5" s="90">
        <v>-2394</v>
      </c>
      <c r="D5" s="90">
        <f>+C5-B5</f>
        <v>-2393</v>
      </c>
      <c r="E5" s="275"/>
      <c r="F5" s="273"/>
    </row>
    <row r="6" spans="1:13" x14ac:dyDescent="0.2">
      <c r="A6" s="87">
        <v>500046</v>
      </c>
      <c r="B6" s="90">
        <v>-11990</v>
      </c>
      <c r="C6" s="90"/>
      <c r="D6" s="90">
        <f t="shared" ref="D6:D11" si="0">+C6-B6</f>
        <v>11990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-18115</v>
      </c>
      <c r="C8" s="90">
        <v>-33415</v>
      </c>
      <c r="D8" s="90">
        <f t="shared" si="0"/>
        <v>-15300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-5703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2.13</v>
      </c>
      <c r="E13" s="277"/>
      <c r="F13" s="273"/>
    </row>
    <row r="14" spans="1:13" x14ac:dyDescent="0.2">
      <c r="A14" s="87"/>
      <c r="B14" s="88"/>
      <c r="C14" s="88"/>
      <c r="D14" s="96">
        <f>+D13*D12</f>
        <v>-12147.39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37276</v>
      </c>
      <c r="B18" s="88"/>
      <c r="C18" s="88"/>
      <c r="D18" s="318">
        <f>+D16+D14</f>
        <v>-549840.18000000005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24">
        <v>-36823</v>
      </c>
    </row>
    <row r="23" spans="1:7" x14ac:dyDescent="0.2">
      <c r="A23" s="49"/>
      <c r="B23" s="32"/>
      <c r="C23" s="32"/>
      <c r="D23" s="350">
        <f>+D12</f>
        <v>-5703</v>
      </c>
    </row>
    <row r="24" spans="1:7" x14ac:dyDescent="0.2">
      <c r="A24" s="49">
        <f>+A18</f>
        <v>37276</v>
      </c>
      <c r="B24" s="32"/>
      <c r="C24" s="32"/>
      <c r="D24" s="14">
        <f>+D23+D22</f>
        <v>-42526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A41" sqref="A41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-596614</v>
      </c>
      <c r="C37" s="11">
        <f>SUM(C6:C36)</f>
        <v>-606126</v>
      </c>
      <c r="D37" s="25">
        <f>SUM(D6:D36)</f>
        <v>-9512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37256</v>
      </c>
      <c r="C40" s="15"/>
      <c r="D40" s="488">
        <v>-14315</v>
      </c>
    </row>
    <row r="41" spans="1:4" x14ac:dyDescent="0.2">
      <c r="A41" s="57">
        <v>37277</v>
      </c>
      <c r="C41" s="48"/>
      <c r="D41" s="25">
        <f>+D40+D37</f>
        <v>-23827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87">
        <v>163235</v>
      </c>
    </row>
    <row r="46" spans="1:4" x14ac:dyDescent="0.2">
      <c r="A46" s="49">
        <f>+A41</f>
        <v>37277</v>
      </c>
      <c r="B46" s="32"/>
      <c r="C46" s="32"/>
      <c r="D46" s="375">
        <f>+D37*'by type_area'!G4</f>
        <v>-20260.559999999998</v>
      </c>
    </row>
    <row r="47" spans="1:4" x14ac:dyDescent="0.2">
      <c r="A47" s="32"/>
      <c r="B47" s="32"/>
      <c r="C47" s="32"/>
      <c r="D47" s="200">
        <f>+D46+D45</f>
        <v>142974.44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2.15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9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-3091</v>
      </c>
      <c r="C37" s="11">
        <f t="shared" ref="C37:I37" si="1">SUM(C6:C36)</f>
        <v>-3400</v>
      </c>
      <c r="D37" s="11">
        <f t="shared" si="1"/>
        <v>0</v>
      </c>
      <c r="E37" s="11">
        <f t="shared" si="1"/>
        <v>0</v>
      </c>
      <c r="F37" s="11">
        <f t="shared" si="1"/>
        <v>-21855</v>
      </c>
      <c r="G37" s="11">
        <f t="shared" si="1"/>
        <v>-21000</v>
      </c>
      <c r="H37" s="11">
        <f t="shared" si="1"/>
        <v>0</v>
      </c>
      <c r="I37" s="11">
        <f t="shared" si="1"/>
        <v>0</v>
      </c>
      <c r="J37" s="11">
        <f>SUM(J6:J36)</f>
        <v>546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2.13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1162.98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37276</v>
      </c>
      <c r="J43" s="319">
        <f>+J41+J39</f>
        <v>-34377.35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37276</v>
      </c>
      <c r="B49" s="32"/>
      <c r="C49" s="32"/>
      <c r="D49" s="350">
        <f>+J37</f>
        <v>546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-2888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7" workbookViewId="0">
      <selection activeCell="A49" sqref="A4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-15626</v>
      </c>
      <c r="M37" s="11">
        <f>SUM(M6:M36)</f>
        <v>-13196</v>
      </c>
      <c r="N37" s="11">
        <f t="shared" si="1"/>
        <v>2430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2.13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5175.8999999999996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37276</v>
      </c>
      <c r="N43" s="319">
        <f>+N41+N39</f>
        <v>36864.39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37276</v>
      </c>
      <c r="B49" s="32"/>
      <c r="C49" s="32"/>
      <c r="D49" s="350">
        <f>+N37</f>
        <v>2430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14111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5190</v>
      </c>
      <c r="C37" s="11">
        <f>SUM(C6:C36)</f>
        <v>3300</v>
      </c>
      <c r="D37" s="25">
        <f>SUM(D6:D36)</f>
        <v>-1890</v>
      </c>
    </row>
    <row r="38" spans="1:4" x14ac:dyDescent="0.2">
      <c r="A38" s="26"/>
      <c r="C38" s="14"/>
      <c r="D38" s="326">
        <f>+summary!G5</f>
        <v>2.15</v>
      </c>
    </row>
    <row r="39" spans="1:4" x14ac:dyDescent="0.2">
      <c r="D39" s="138">
        <f>+D38*D37</f>
        <v>-4063.5</v>
      </c>
    </row>
    <row r="40" spans="1:4" x14ac:dyDescent="0.2">
      <c r="A40" s="57">
        <v>37256</v>
      </c>
      <c r="C40" s="15"/>
      <c r="D40" s="529">
        <v>180048.98</v>
      </c>
    </row>
    <row r="41" spans="1:4" x14ac:dyDescent="0.2">
      <c r="A41" s="57">
        <v>37278</v>
      </c>
      <c r="C41" s="48"/>
      <c r="D41" s="138">
        <f>+D40+D39</f>
        <v>175985.48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79013</v>
      </c>
    </row>
    <row r="47" spans="1:4" x14ac:dyDescent="0.2">
      <c r="A47" s="49">
        <f>+A41</f>
        <v>37278</v>
      </c>
      <c r="B47" s="32"/>
      <c r="C47" s="32"/>
      <c r="D47" s="350">
        <f>+D37</f>
        <v>-1890</v>
      </c>
    </row>
    <row r="48" spans="1:4" x14ac:dyDescent="0.2">
      <c r="A48" s="32"/>
      <c r="B48" s="32"/>
      <c r="C48" s="32"/>
      <c r="D48" s="14">
        <f>+D47+D46</f>
        <v>77123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">
      <c r="A27" s="10">
        <v>22</v>
      </c>
      <c r="B27" s="11">
        <v>657</v>
      </c>
      <c r="C27" s="11">
        <v>88</v>
      </c>
      <c r="D27" s="25">
        <f t="shared" si="0"/>
        <v>-569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9238</v>
      </c>
      <c r="C37" s="11">
        <f>SUM(C6:C36)</f>
        <v>5466</v>
      </c>
      <c r="D37" s="25">
        <f>SUM(D6:D36)</f>
        <v>-3772</v>
      </c>
    </row>
    <row r="38" spans="1:4" x14ac:dyDescent="0.2">
      <c r="A38" s="26"/>
      <c r="C38" s="14"/>
      <c r="D38" s="326">
        <f>+summary!G5</f>
        <v>2.15</v>
      </c>
    </row>
    <row r="39" spans="1:4" x14ac:dyDescent="0.2">
      <c r="D39" s="138">
        <f>+D38*D37</f>
        <v>-8109.7999999999993</v>
      </c>
    </row>
    <row r="40" spans="1:4" x14ac:dyDescent="0.2">
      <c r="A40" s="57">
        <v>37256</v>
      </c>
      <c r="C40" s="15"/>
      <c r="D40" s="529">
        <v>161292.49</v>
      </c>
    </row>
    <row r="41" spans="1:4" x14ac:dyDescent="0.2">
      <c r="A41" s="57">
        <v>37278</v>
      </c>
      <c r="C41" s="48"/>
      <c r="D41" s="138">
        <f>+D40+D39</f>
        <v>153182.69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33971</v>
      </c>
    </row>
    <row r="47" spans="1:4" x14ac:dyDescent="0.2">
      <c r="A47" s="49">
        <f>+A41</f>
        <v>37278</v>
      </c>
      <c r="B47" s="32"/>
      <c r="C47" s="32"/>
      <c r="D47" s="350">
        <f>+D37</f>
        <v>-3772</v>
      </c>
    </row>
    <row r="48" spans="1:4" x14ac:dyDescent="0.2">
      <c r="A48" s="32"/>
      <c r="B48" s="32"/>
      <c r="C48" s="32"/>
      <c r="D48" s="14">
        <f>+D47+D46</f>
        <v>30199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2" workbookViewId="0">
      <selection activeCell="E26" sqref="E26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">
      <c r="A25" s="41">
        <v>21</v>
      </c>
      <c r="B25" s="11"/>
      <c r="C25" s="11"/>
      <c r="D25" s="11">
        <v>-61292</v>
      </c>
      <c r="E25" s="11">
        <v>-62649</v>
      </c>
      <c r="F25" s="11">
        <f t="shared" si="0"/>
        <v>-1357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">
      <c r="A36" s="41"/>
      <c r="B36" s="11">
        <f>SUM(B5:B35)</f>
        <v>-204636</v>
      </c>
      <c r="C36" s="44">
        <f>SUM(C5:C35)</f>
        <v>-201068</v>
      </c>
      <c r="D36" s="43">
        <f>SUM(D5:D35)</f>
        <v>-1453381</v>
      </c>
      <c r="E36" s="43">
        <f>SUM(E5:E35)</f>
        <v>-1447340</v>
      </c>
      <c r="F36" s="11">
        <f>SUM(F5:F35)</f>
        <v>9609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">
      <c r="A39" s="32"/>
      <c r="B39" s="32"/>
      <c r="C39" s="15"/>
      <c r="D39" s="15"/>
      <c r="E39" s="15"/>
      <c r="F39" s="494">
        <f>+summary!G5</f>
        <v>2.15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">
      <c r="A40" s="32"/>
      <c r="B40" s="32"/>
      <c r="C40" s="48"/>
      <c r="D40" s="47"/>
      <c r="E40" s="48"/>
      <c r="F40" s="46">
        <f>+F39*F36</f>
        <v>20659.349999999999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">
      <c r="A43" s="57">
        <v>37277</v>
      </c>
      <c r="B43" s="32"/>
      <c r="C43" s="106"/>
      <c r="D43" s="106"/>
      <c r="E43" s="106"/>
      <c r="F43" s="24">
        <f>+F40+F42</f>
        <v>30335.35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">
      <c r="A47" s="32" t="s">
        <v>318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">
      <c r="A49" s="49">
        <f>+A43</f>
        <v>37277</v>
      </c>
      <c r="B49" s="32"/>
      <c r="C49" s="32"/>
      <c r="D49" s="76">
        <f>+F36</f>
        <v>9609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">
      <c r="A50" s="32"/>
      <c r="B50" s="32"/>
      <c r="C50" s="32"/>
      <c r="D50" s="75">
        <f>+D49+D48</f>
        <v>29552.240000000002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C42" sqref="C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-43289</v>
      </c>
      <c r="C37" s="24">
        <f>SUM(C6:C36)</f>
        <v>-32260</v>
      </c>
      <c r="D37" s="24">
        <f>SUM(D6:D36)</f>
        <v>-40877</v>
      </c>
      <c r="E37" s="24">
        <f>SUM(E6:E36)</f>
        <v>-38000</v>
      </c>
      <c r="F37" s="24">
        <f>SUM(F6:F36)</f>
        <v>13906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2.13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29619.78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37276</v>
      </c>
      <c r="C41" s="319"/>
      <c r="D41" s="262"/>
      <c r="E41" s="262"/>
      <c r="F41" s="104">
        <f>+F40+F39</f>
        <v>-103775.45999999999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37276</v>
      </c>
      <c r="B47" s="32"/>
      <c r="C47" s="32"/>
      <c r="D47" s="350">
        <f>+F37</f>
        <v>13906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-29506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7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-42577</v>
      </c>
      <c r="C37" s="24">
        <f t="shared" si="1"/>
        <v>-42700</v>
      </c>
      <c r="D37" s="24">
        <f t="shared" si="1"/>
        <v>-8</v>
      </c>
      <c r="E37" s="24">
        <f t="shared" si="1"/>
        <v>-500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-615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2.13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-1309.95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37276</v>
      </c>
      <c r="E41" s="14"/>
      <c r="O41" s="442"/>
      <c r="P41" s="104">
        <f>+P40+P39</f>
        <v>92679.45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37276</v>
      </c>
      <c r="B47" s="32"/>
      <c r="C47" s="32"/>
      <c r="D47" s="350">
        <f>+P37</f>
        <v>-615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38455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5" sqref="C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297</v>
      </c>
      <c r="C3" s="87"/>
      <c r="D3" s="87"/>
    </row>
    <row r="4" spans="1:4" x14ac:dyDescent="0.2">
      <c r="A4" s="3"/>
      <c r="B4" s="328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-287598</v>
      </c>
      <c r="C37" s="11">
        <f>SUM(C6:C36)</f>
        <v>-291928</v>
      </c>
      <c r="D37" s="25">
        <f>SUM(D6:D36)</f>
        <v>-4330</v>
      </c>
    </row>
    <row r="38" spans="1:4" x14ac:dyDescent="0.2">
      <c r="A38" s="26"/>
      <c r="C38" s="14"/>
      <c r="D38" s="326">
        <f>+summary!G4</f>
        <v>2.13</v>
      </c>
    </row>
    <row r="39" spans="1:4" x14ac:dyDescent="0.2">
      <c r="D39" s="138">
        <f>+D38*D37</f>
        <v>-9222.9</v>
      </c>
    </row>
    <row r="40" spans="1:4" x14ac:dyDescent="0.2">
      <c r="A40" s="57">
        <v>37256</v>
      </c>
      <c r="C40" s="15"/>
      <c r="D40" s="529">
        <v>-15514.53</v>
      </c>
    </row>
    <row r="41" spans="1:4" x14ac:dyDescent="0.2">
      <c r="A41" s="57">
        <v>37276</v>
      </c>
      <c r="C41" s="48"/>
      <c r="D41" s="138">
        <f>+D40+D39</f>
        <v>-24737.43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5596</v>
      </c>
    </row>
    <row r="47" spans="1:4" x14ac:dyDescent="0.2">
      <c r="A47" s="49">
        <f>+A41</f>
        <v>37276</v>
      </c>
      <c r="B47" s="32"/>
      <c r="C47" s="32"/>
      <c r="D47" s="350">
        <f>+D37</f>
        <v>-4330</v>
      </c>
    </row>
    <row r="48" spans="1:4" x14ac:dyDescent="0.2">
      <c r="A48" s="32"/>
      <c r="B48" s="32"/>
      <c r="C48" s="32"/>
      <c r="D48" s="14">
        <f>+D47+D46</f>
        <v>1266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322</v>
      </c>
      <c r="C3" s="87"/>
      <c r="D3" s="87"/>
    </row>
    <row r="4" spans="1:4" x14ac:dyDescent="0.2">
      <c r="A4" s="3"/>
      <c r="B4" s="328" t="s">
        <v>323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6">
        <f>+summary!G5</f>
        <v>2.15</v>
      </c>
    </row>
    <row r="39" spans="1:4" x14ac:dyDescent="0.2">
      <c r="D39" s="138">
        <f>+D38*D37</f>
        <v>-597.69999999999993</v>
      </c>
    </row>
    <row r="40" spans="1:4" x14ac:dyDescent="0.2">
      <c r="A40" s="57">
        <v>37256</v>
      </c>
      <c r="C40" s="15"/>
      <c r="D40" s="529">
        <v>43180.07</v>
      </c>
    </row>
    <row r="41" spans="1:4" x14ac:dyDescent="0.2">
      <c r="A41" s="57">
        <v>37257</v>
      </c>
      <c r="C41" s="48"/>
      <c r="D41" s="138">
        <f>+D40+D39</f>
        <v>42582.37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14850</v>
      </c>
    </row>
    <row r="47" spans="1:4" x14ac:dyDescent="0.2">
      <c r="A47" s="49">
        <f>+A41</f>
        <v>37257</v>
      </c>
      <c r="B47" s="32"/>
      <c r="C47" s="32"/>
      <c r="D47" s="350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6" t="s">
        <v>302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7" t="s">
        <v>304</v>
      </c>
      <c r="C4" s="558"/>
      <c r="D4" s="559" t="s">
        <v>305</v>
      </c>
      <c r="E4" s="558"/>
      <c r="F4" s="559" t="s">
        <v>306</v>
      </c>
      <c r="G4" s="558"/>
      <c r="H4" s="559" t="s">
        <v>307</v>
      </c>
      <c r="I4" s="558"/>
      <c r="J4" s="559" t="s">
        <v>308</v>
      </c>
      <c r="K4" s="558"/>
      <c r="L4" s="559" t="s">
        <v>309</v>
      </c>
      <c r="M4" s="558"/>
      <c r="N4" s="558"/>
    </row>
    <row r="5" spans="1:37" x14ac:dyDescent="0.2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">
      <c r="N38" s="264">
        <f>+summary!G4</f>
        <v>2.13</v>
      </c>
      <c r="P38" s="51"/>
      <c r="T38" s="567"/>
      <c r="U38" s="19"/>
      <c r="V38" s="568"/>
      <c r="W38" s="252"/>
      <c r="X38" s="264"/>
      <c r="Y38" s="565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">
      <c r="N40" s="329"/>
      <c r="P40" s="567"/>
      <c r="T40" s="567"/>
      <c r="U40" s="19"/>
      <c r="V40" s="568"/>
      <c r="W40" s="252"/>
      <c r="X40" s="264"/>
      <c r="Y40" s="565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">
      <c r="N42" s="319"/>
      <c r="P42" s="567"/>
      <c r="T42" s="567"/>
      <c r="U42" s="19"/>
      <c r="V42" s="568"/>
      <c r="W42" s="252"/>
      <c r="X42" s="264"/>
      <c r="Y42" s="565"/>
    </row>
    <row r="43" spans="1:25" x14ac:dyDescent="0.2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">
      <c r="N44" s="329"/>
      <c r="P44" s="567"/>
      <c r="T44" s="567"/>
      <c r="U44" s="19"/>
      <c r="V44" s="568"/>
      <c r="W44" s="252"/>
      <c r="X44" s="264"/>
      <c r="Y44" s="565"/>
    </row>
    <row r="45" spans="1:25" x14ac:dyDescent="0.2">
      <c r="P45" s="567"/>
      <c r="T45" s="567"/>
      <c r="U45" s="19"/>
      <c r="V45" s="568"/>
      <c r="W45" s="252"/>
      <c r="X45" s="264"/>
      <c r="Y45" s="565"/>
    </row>
    <row r="46" spans="1:25" x14ac:dyDescent="0.2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">
      <c r="A84" s="261"/>
      <c r="O84" s="566"/>
      <c r="P84" s="567"/>
      <c r="Q84" s="567"/>
      <c r="R84" s="567"/>
      <c r="S84" s="567"/>
      <c r="T84" s="567"/>
      <c r="V84" s="575"/>
    </row>
    <row r="85" spans="1:22" x14ac:dyDescent="0.2">
      <c r="A85" s="261"/>
      <c r="O85" s="566"/>
      <c r="P85" s="567"/>
      <c r="Q85" s="567"/>
      <c r="R85" s="567"/>
      <c r="S85" s="567"/>
      <c r="T85" s="567"/>
      <c r="V85" s="575"/>
    </row>
    <row r="86" spans="1:22" x14ac:dyDescent="0.2">
      <c r="A86" s="261"/>
      <c r="O86" s="566"/>
      <c r="P86" s="567"/>
      <c r="Q86" s="567"/>
      <c r="R86" s="567"/>
      <c r="S86" s="567"/>
      <c r="T86" s="567"/>
      <c r="V86" s="575"/>
    </row>
    <row r="87" spans="1:22" x14ac:dyDescent="0.2">
      <c r="A87" s="261"/>
      <c r="O87" s="566"/>
      <c r="P87" s="567"/>
      <c r="Q87" s="567"/>
      <c r="R87" s="567"/>
      <c r="S87" s="567"/>
      <c r="T87" s="567"/>
      <c r="V87" s="575"/>
    </row>
    <row r="88" spans="1:22" x14ac:dyDescent="0.2">
      <c r="A88" s="261"/>
      <c r="O88" s="566"/>
      <c r="P88" s="567"/>
      <c r="Q88" s="567"/>
      <c r="R88" s="567"/>
      <c r="S88" s="567"/>
      <c r="T88" s="567"/>
      <c r="V88" s="575"/>
    </row>
    <row r="89" spans="1:22" x14ac:dyDescent="0.2">
      <c r="A89" s="261"/>
      <c r="O89" s="566"/>
      <c r="P89" s="567"/>
      <c r="Q89" s="567"/>
      <c r="R89" s="567"/>
      <c r="S89" s="567"/>
      <c r="T89" s="567"/>
      <c r="V89" s="575"/>
    </row>
    <row r="90" spans="1:22" x14ac:dyDescent="0.2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8"/>
      <c r="K166" s="578"/>
      <c r="M166" s="578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8"/>
      <c r="K208" s="578"/>
      <c r="M208" s="578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8"/>
      <c r="K251" s="578"/>
      <c r="M251" s="578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8"/>
      <c r="K293" s="578"/>
      <c r="M293" s="578"/>
      <c r="V293" s="578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9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9"/>
      <c r="W378" s="580"/>
    </row>
    <row r="381" spans="14:23" x14ac:dyDescent="0.2">
      <c r="O381" s="465"/>
      <c r="Q381" s="465"/>
      <c r="S381" s="465"/>
      <c r="U381" s="465"/>
    </row>
    <row r="382" spans="14:23" x14ac:dyDescent="0.2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9"/>
      <c r="W420" s="580"/>
    </row>
    <row r="425" spans="14:23" x14ac:dyDescent="0.2">
      <c r="O425" s="465"/>
      <c r="Q425" s="465"/>
      <c r="S425" s="465"/>
      <c r="U425" s="465"/>
    </row>
    <row r="426" spans="14:23" x14ac:dyDescent="0.2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9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">
      <c r="A27" s="10">
        <v>21</v>
      </c>
      <c r="B27" s="129">
        <v>125667</v>
      </c>
      <c r="C27" s="11">
        <v>125294</v>
      </c>
      <c r="D27" s="25">
        <f t="shared" si="0"/>
        <v>-373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2935476</v>
      </c>
      <c r="C38" s="11">
        <f>SUM(C7:C37)</f>
        <v>2906856</v>
      </c>
      <c r="D38" s="11">
        <f>SUM(D7:D37)</f>
        <v>-28620</v>
      </c>
    </row>
    <row r="39" spans="1:8" x14ac:dyDescent="0.2">
      <c r="A39" s="26"/>
      <c r="C39" s="14"/>
      <c r="D39" s="106">
        <f>+summary!G3</f>
        <v>2.1</v>
      </c>
    </row>
    <row r="40" spans="1:8" x14ac:dyDescent="0.2">
      <c r="D40" s="138">
        <f>+D39*D38</f>
        <v>-60102</v>
      </c>
      <c r="H40">
        <v>20</v>
      </c>
    </row>
    <row r="41" spans="1:8" x14ac:dyDescent="0.2">
      <c r="A41" s="57">
        <v>37256</v>
      </c>
      <c r="C41" s="15"/>
      <c r="D41" s="542">
        <v>47594.94</v>
      </c>
      <c r="H41">
        <v>530</v>
      </c>
    </row>
    <row r="42" spans="1:8" x14ac:dyDescent="0.2">
      <c r="A42" s="57">
        <v>37277</v>
      </c>
      <c r="D42" s="319">
        <f>+D41+D40</f>
        <v>-12507.059999999998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24">
        <v>20411</v>
      </c>
    </row>
    <row r="48" spans="1:8" x14ac:dyDescent="0.2">
      <c r="A48" s="49">
        <f>+A42</f>
        <v>37277</v>
      </c>
      <c r="B48" s="32"/>
      <c r="C48" s="32"/>
      <c r="D48" s="350">
        <f>+D38</f>
        <v>-28620</v>
      </c>
    </row>
    <row r="49" spans="1:4" x14ac:dyDescent="0.2">
      <c r="A49" s="32"/>
      <c r="B49" s="32"/>
      <c r="C49" s="32"/>
      <c r="D49" s="14">
        <f>+D48+D47</f>
        <v>-8209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48" sqref="C48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-3536294</v>
      </c>
      <c r="C35" s="11">
        <f>SUM(C4:C34)</f>
        <v>-3572008</v>
      </c>
      <c r="D35" s="11">
        <f>SUM(D4:D34)</f>
        <v>-35714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1">
        <v>59071</v>
      </c>
    </row>
    <row r="39" spans="1:30" x14ac:dyDescent="0.2">
      <c r="A39" s="12"/>
      <c r="D39" s="51"/>
    </row>
    <row r="40" spans="1:30" x14ac:dyDescent="0.2">
      <c r="A40" s="245">
        <v>37277</v>
      </c>
      <c r="D40" s="51">
        <f>+D38+D35</f>
        <v>23357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37277</v>
      </c>
      <c r="B46" s="32"/>
      <c r="C46" s="32"/>
      <c r="D46" s="375">
        <f>+D35*'by type_area'!G4</f>
        <v>-76070.819999999992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-156613.96999999997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9" workbookViewId="0">
      <selection activeCell="C48" sqref="C4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-12096903</v>
      </c>
      <c r="C35" s="11">
        <f>SUM(C4:C34)</f>
        <v>-12119471</v>
      </c>
      <c r="D35" s="11">
        <f>SUM(D4:D34)</f>
        <v>0</v>
      </c>
      <c r="E35" s="11">
        <f>SUM(E4:E34)</f>
        <v>0</v>
      </c>
      <c r="F35" s="11">
        <f>SUM(F4:F34)</f>
        <v>-22568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33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37278</v>
      </c>
      <c r="D40" s="246"/>
      <c r="E40" s="246"/>
      <c r="F40" s="51">
        <f>+F38+F35</f>
        <v>81852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37278</v>
      </c>
      <c r="B46" s="32"/>
      <c r="C46" s="32"/>
      <c r="D46" s="474">
        <f>+F35*'by type_area'!G4</f>
        <v>-48069.84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283847.16000000003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30" workbookViewId="0">
      <selection activeCell="E45" sqref="E4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2.75" x14ac:dyDescent="0.2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-2071473</v>
      </c>
      <c r="C35" s="44">
        <f t="shared" si="3"/>
        <v>-658167</v>
      </c>
      <c r="D35" s="11">
        <f t="shared" si="3"/>
        <v>-25</v>
      </c>
      <c r="E35" s="44">
        <f t="shared" si="3"/>
        <v>-1400050</v>
      </c>
      <c r="F35" s="11">
        <f t="shared" si="3"/>
        <v>0</v>
      </c>
      <c r="G35" s="11">
        <f t="shared" si="3"/>
        <v>0</v>
      </c>
      <c r="H35" s="11">
        <f t="shared" si="3"/>
        <v>13281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2.13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28288.53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37277</v>
      </c>
      <c r="F39" s="473"/>
      <c r="G39" s="473"/>
      <c r="H39" s="319">
        <f>+H38+H37</f>
        <v>-39969.47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37277</v>
      </c>
      <c r="E47" s="459">
        <f>+H35</f>
        <v>13281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8197</v>
      </c>
      <c r="F48" s="129"/>
      <c r="G48" s="129"/>
      <c r="H48" s="129"/>
      <c r="I48" s="262"/>
      <c r="J48" s="102"/>
      <c r="K48" s="515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7" workbookViewId="0">
      <selection activeCell="D24" sqref="D24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-6114409</v>
      </c>
      <c r="E36" s="11">
        <f t="shared" si="15"/>
        <v>-6151104</v>
      </c>
      <c r="F36" s="11">
        <f t="shared" si="15"/>
        <v>0</v>
      </c>
      <c r="G36" s="11">
        <f t="shared" si="15"/>
        <v>0</v>
      </c>
      <c r="H36" s="11">
        <f t="shared" si="15"/>
        <v>-36695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-36695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37277</v>
      </c>
      <c r="B39" s="2" t="s">
        <v>45</v>
      </c>
      <c r="C39" s="131">
        <f>+C38+C37</f>
        <v>64269</v>
      </c>
      <c r="D39" s="252"/>
      <c r="E39" s="131">
        <f>+E38+E37</f>
        <v>-58854</v>
      </c>
      <c r="F39" s="252"/>
      <c r="G39" s="131"/>
      <c r="H39" s="131">
        <f>+H38+H36</f>
        <v>5415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37277</v>
      </c>
      <c r="B45" s="32"/>
      <c r="C45" s="47">
        <f>+C37*summary!G4</f>
        <v>0</v>
      </c>
      <c r="D45" s="205"/>
      <c r="E45" s="377">
        <f>+E37*summary!G3</f>
        <v>-77059.5</v>
      </c>
      <c r="F45" s="47">
        <f>+E45+C45</f>
        <v>-77059.5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E30" sqref="E30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54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37278</v>
      </c>
      <c r="I23" s="11">
        <f>+B39</f>
        <v>3216138</v>
      </c>
      <c r="J23" s="11">
        <f>+C39</f>
        <v>3200749</v>
      </c>
      <c r="K23" s="11">
        <f>+D39</f>
        <v>281672</v>
      </c>
      <c r="L23" s="11">
        <f>+E39</f>
        <v>286726</v>
      </c>
      <c r="M23" s="42">
        <f>+J23-I23+L23-K23</f>
        <v>-10335</v>
      </c>
      <c r="N23" s="102">
        <f>+summary!G3</f>
        <v>2.1</v>
      </c>
      <c r="O23" s="503">
        <f>+N23*M23</f>
        <v>-21703.5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79465</v>
      </c>
      <c r="N24" s="102"/>
      <c r="O24" s="102">
        <f>SUM(O9:O23)</f>
        <v>546412.84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147080</v>
      </c>
      <c r="C29" s="150">
        <v>145409</v>
      </c>
      <c r="D29" s="150">
        <v>13233</v>
      </c>
      <c r="E29" s="150">
        <v>13033</v>
      </c>
      <c r="F29" s="11">
        <f t="shared" si="5"/>
        <v>-1871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3216138</v>
      </c>
      <c r="C39" s="150">
        <f>SUM(C8:C38)</f>
        <v>3200749</v>
      </c>
      <c r="D39" s="150">
        <f>SUM(D8:D38)</f>
        <v>281672</v>
      </c>
      <c r="E39" s="150">
        <f>SUM(E8:E38)</f>
        <v>286726</v>
      </c>
      <c r="F39" s="11">
        <f t="shared" si="5"/>
        <v>-10335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37278</v>
      </c>
      <c r="B45" s="32"/>
      <c r="C45" s="106"/>
      <c r="D45" s="106"/>
      <c r="E45" s="106"/>
      <c r="F45" s="24">
        <f>+F44+F39</f>
        <v>19796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37278</v>
      </c>
      <c r="B51" s="32"/>
      <c r="C51" s="32"/>
      <c r="D51" s="350">
        <f>+F39*summary!G3</f>
        <v>-21703.5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412657.28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2002-01-23T14:00:49Z</cp:lastPrinted>
  <dcterms:created xsi:type="dcterms:W3CDTF">2000-03-28T16:52:23Z</dcterms:created>
  <dcterms:modified xsi:type="dcterms:W3CDTF">2014-09-03T14:22:56Z</dcterms:modified>
</cp:coreProperties>
</file>