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0" i="8" s="1"/>
  <c r="D31" i="8" s="1"/>
  <c r="D50" i="80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2" i="80" s="1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 s="1"/>
  <c r="D9" i="74"/>
  <c r="J9" i="74"/>
  <c r="D10" i="74"/>
  <c r="J10" i="74"/>
  <c r="L10" i="74" s="1"/>
  <c r="D11" i="74"/>
  <c r="H11" i="74"/>
  <c r="J11" i="74" s="1"/>
  <c r="L11" i="74" s="1"/>
  <c r="D12" i="74"/>
  <c r="H12" i="74"/>
  <c r="J12" i="74" s="1"/>
  <c r="L12" i="74"/>
  <c r="D13" i="74"/>
  <c r="J13" i="74"/>
  <c r="L13" i="74"/>
  <c r="D14" i="74"/>
  <c r="J14" i="74"/>
  <c r="L14" i="74"/>
  <c r="D15" i="74"/>
  <c r="D16" i="74"/>
  <c r="D17" i="74"/>
  <c r="D18" i="74"/>
  <c r="D19" i="74"/>
  <c r="H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N6" i="13"/>
  <c r="N10" i="13" s="1"/>
  <c r="F7" i="13"/>
  <c r="I7" i="13"/>
  <c r="J7" i="13"/>
  <c r="K7" i="13" s="1"/>
  <c r="M7" i="13" s="1"/>
  <c r="N7" i="13"/>
  <c r="F8" i="13"/>
  <c r="I8" i="13"/>
  <c r="J8" i="13"/>
  <c r="K8" i="13" s="1"/>
  <c r="M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H35" i="73"/>
  <c r="I35" i="73"/>
  <c r="I36" i="73" s="1"/>
  <c r="E36" i="73"/>
  <c r="J35" i="73" s="1"/>
  <c r="J36" i="73" s="1"/>
  <c r="K36" i="73" s="1"/>
  <c r="K49" i="73" s="1"/>
  <c r="F39" i="73"/>
  <c r="F46" i="73"/>
  <c r="K46" i="73"/>
  <c r="B71" i="73" s="1"/>
  <c r="B68" i="73"/>
  <c r="C68" i="73"/>
  <c r="B69" i="73"/>
  <c r="C69" i="73"/>
  <c r="B70" i="73"/>
  <c r="C70" i="73"/>
  <c r="B72" i="73"/>
  <c r="C72" i="73"/>
  <c r="B74" i="73"/>
  <c r="B75" i="73"/>
  <c r="C75" i="73"/>
  <c r="B76" i="73"/>
  <c r="C76" i="73"/>
  <c r="D6" i="86"/>
  <c r="D7" i="86"/>
  <c r="D8" i="86"/>
  <c r="D37" i="86" s="1"/>
  <c r="D47" i="86" s="1"/>
  <c r="D48" i="86" s="1"/>
  <c r="D43" i="80" s="1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47" i="85" s="1"/>
  <c r="D48" i="85" s="1"/>
  <c r="D40" i="80" s="1"/>
  <c r="A46" i="85"/>
  <c r="A47" i="85"/>
  <c r="B8" i="20"/>
  <c r="B9" i="20"/>
  <c r="B10" i="20"/>
  <c r="J11" i="20"/>
  <c r="J15" i="20" s="1"/>
  <c r="B13" i="20"/>
  <c r="B14" i="20"/>
  <c r="B15" i="20"/>
  <c r="B17" i="20"/>
  <c r="B31" i="20"/>
  <c r="E38" i="20"/>
  <c r="E39" i="20"/>
  <c r="G39" i="20"/>
  <c r="G40" i="20" s="1"/>
  <c r="B78" i="73" s="1"/>
  <c r="B44" i="20"/>
  <c r="B45" i="20"/>
  <c r="B46" i="20" s="1"/>
  <c r="H39" i="20" s="1"/>
  <c r="H40" i="20" s="1"/>
  <c r="H5" i="11"/>
  <c r="H6" i="11"/>
  <c r="H7" i="1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E39" i="11" s="1"/>
  <c r="B77" i="80" s="1"/>
  <c r="F36" i="11"/>
  <c r="G36" i="11"/>
  <c r="AC36" i="11"/>
  <c r="AE36" i="11"/>
  <c r="AF36" i="11" s="1"/>
  <c r="AI36" i="11"/>
  <c r="AL36" i="11"/>
  <c r="AM36" i="11"/>
  <c r="AN36" i="11"/>
  <c r="AO36" i="11"/>
  <c r="AP36" i="11"/>
  <c r="C37" i="11"/>
  <c r="C39" i="11" s="1"/>
  <c r="B70" i="80" s="1"/>
  <c r="AA37" i="1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 s="1"/>
  <c r="D7" i="22"/>
  <c r="D8" i="22"/>
  <c r="F8" i="22" s="1"/>
  <c r="D9" i="22"/>
  <c r="F9" i="22"/>
  <c r="D10" i="22"/>
  <c r="F10" i="22" s="1"/>
  <c r="D11" i="22"/>
  <c r="F11" i="22" s="1"/>
  <c r="D12" i="22"/>
  <c r="F12" i="22" s="1"/>
  <c r="D13" i="22"/>
  <c r="F13" i="22"/>
  <c r="D14" i="22"/>
  <c r="F14" i="22" s="1"/>
  <c r="D15" i="22"/>
  <c r="F15" i="22"/>
  <c r="D16" i="22"/>
  <c r="F16" i="22" s="1"/>
  <c r="D17" i="22"/>
  <c r="F17" i="22" s="1"/>
  <c r="D18" i="22"/>
  <c r="F18" i="22" s="1"/>
  <c r="D19" i="22"/>
  <c r="F19" i="22" s="1"/>
  <c r="D20" i="22"/>
  <c r="F20" i="22" s="1"/>
  <c r="D21" i="22"/>
  <c r="F21" i="22" s="1"/>
  <c r="D22" i="22"/>
  <c r="F22" i="22" s="1"/>
  <c r="D23" i="22"/>
  <c r="F23" i="22" s="1"/>
  <c r="D24" i="22"/>
  <c r="F24" i="22" s="1"/>
  <c r="D25" i="22"/>
  <c r="F25" i="22"/>
  <c r="D26" i="22"/>
  <c r="F26" i="22" s="1"/>
  <c r="D27" i="22"/>
  <c r="F27" i="22" s="1"/>
  <c r="D28" i="22"/>
  <c r="F28" i="22" s="1"/>
  <c r="D29" i="22"/>
  <c r="F29" i="22"/>
  <c r="D30" i="22"/>
  <c r="F30" i="22" s="1"/>
  <c r="D31" i="22"/>
  <c r="F31" i="22"/>
  <c r="D32" i="22"/>
  <c r="F32" i="22" s="1"/>
  <c r="D33" i="22"/>
  <c r="F33" i="22" s="1"/>
  <c r="D34" i="22"/>
  <c r="F34" i="22" s="1"/>
  <c r="D35" i="22"/>
  <c r="F35" i="22" s="1"/>
  <c r="D36" i="22"/>
  <c r="F36" i="22" s="1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35" i="68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34" i="67" s="1"/>
  <c r="F7" i="67"/>
  <c r="F8" i="67"/>
  <c r="F9" i="67"/>
  <c r="F10" i="67"/>
  <c r="L10" i="67"/>
  <c r="N10" i="67" s="1"/>
  <c r="S10" i="67"/>
  <c r="U10" i="67" s="1"/>
  <c r="F11" i="67"/>
  <c r="J11" i="67"/>
  <c r="L11" i="67"/>
  <c r="L16" i="67" s="1"/>
  <c r="N11" i="67"/>
  <c r="N16" i="67" s="1"/>
  <c r="S11" i="67"/>
  <c r="U11" i="67" s="1"/>
  <c r="F12" i="67"/>
  <c r="J12" i="67"/>
  <c r="L12" i="67" s="1"/>
  <c r="N12" i="67"/>
  <c r="S12" i="67"/>
  <c r="U12" i="67"/>
  <c r="U16" i="67" s="1"/>
  <c r="F13" i="67"/>
  <c r="J13" i="67"/>
  <c r="L13" i="67"/>
  <c r="N13" i="67" s="1"/>
  <c r="S13" i="67"/>
  <c r="U13" i="67"/>
  <c r="F14" i="67"/>
  <c r="L14" i="67"/>
  <c r="N14" i="67"/>
  <c r="S14" i="67"/>
  <c r="F15" i="67"/>
  <c r="S15" i="67"/>
  <c r="F16" i="67"/>
  <c r="S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 s="1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F6" i="7"/>
  <c r="Z6" i="7"/>
  <c r="AD6" i="7" s="1"/>
  <c r="AF6" i="7" s="1"/>
  <c r="F7" i="7"/>
  <c r="Z7" i="7"/>
  <c r="AD7" i="7" s="1"/>
  <c r="AF7" i="7" s="1"/>
  <c r="F8" i="7"/>
  <c r="Z8" i="7"/>
  <c r="AD8" i="7" s="1"/>
  <c r="AF8" i="7" s="1"/>
  <c r="F9" i="7"/>
  <c r="Z9" i="7"/>
  <c r="AD9" i="7" s="1"/>
  <c r="AF9" i="7" s="1"/>
  <c r="F10" i="7"/>
  <c r="Z10" i="7"/>
  <c r="AD10" i="7" s="1"/>
  <c r="AF10" i="7"/>
  <c r="F11" i="7"/>
  <c r="Z11" i="7"/>
  <c r="AD11" i="7" s="1"/>
  <c r="AF11" i="7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F36" i="7" s="1"/>
  <c r="Z15" i="7"/>
  <c r="AD15" i="7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 s="1"/>
  <c r="AG19" i="7" s="1"/>
  <c r="AF19" i="7"/>
  <c r="AH19" i="7" s="1"/>
  <c r="F20" i="7"/>
  <c r="Z20" i="7"/>
  <c r="AD20" i="7" s="1"/>
  <c r="AF20" i="7" s="1"/>
  <c r="AG20" i="7"/>
  <c r="AG21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A45" i="16"/>
  <c r="A46" i="16"/>
  <c r="D6" i="81"/>
  <c r="D37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R6" i="9" s="1"/>
  <c r="H7" i="9"/>
  <c r="N7" i="9"/>
  <c r="P7" i="9"/>
  <c r="R7" i="9" s="1"/>
  <c r="H8" i="9"/>
  <c r="P8" i="9"/>
  <c r="R8" i="9"/>
  <c r="H9" i="9"/>
  <c r="N9" i="9"/>
  <c r="P9" i="9" s="1"/>
  <c r="R9" i="9" s="1"/>
  <c r="H10" i="9"/>
  <c r="P10" i="9"/>
  <c r="R10" i="9" s="1"/>
  <c r="H11" i="9"/>
  <c r="P11" i="9"/>
  <c r="R11" i="9"/>
  <c r="H12" i="9"/>
  <c r="P12" i="9"/>
  <c r="R12" i="9" s="1"/>
  <c r="H13" i="9"/>
  <c r="P13" i="9"/>
  <c r="R13" i="9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6" i="64"/>
  <c r="D7" i="64"/>
  <c r="D17" i="64" s="1"/>
  <c r="D29" i="64" s="1"/>
  <c r="D30" i="64" s="1"/>
  <c r="D35" i="80" s="1"/>
  <c r="D8" i="64"/>
  <c r="D9" i="64"/>
  <c r="D10" i="64"/>
  <c r="D11" i="64"/>
  <c r="D12" i="64"/>
  <c r="D13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K23" i="15"/>
  <c r="N23" i="15"/>
  <c r="AF23" i="15"/>
  <c r="AJ23" i="15"/>
  <c r="AN23" i="15"/>
  <c r="AQ23" i="15"/>
  <c r="AR23" i="15" s="1"/>
  <c r="AV23" i="15"/>
  <c r="F24" i="15"/>
  <c r="AF24" i="15"/>
  <c r="AJ24" i="15"/>
  <c r="AN24" i="15"/>
  <c r="AN39" i="15" s="1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J23" i="15" s="1"/>
  <c r="D39" i="15"/>
  <c r="E39" i="15"/>
  <c r="AD39" i="15"/>
  <c r="AE39" i="15"/>
  <c r="AH39" i="15"/>
  <c r="AL39" i="15"/>
  <c r="AM39" i="15"/>
  <c r="AP39" i="15"/>
  <c r="AQ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33" i="15" s="1"/>
  <c r="C133" i="15" s="1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37" i="92" s="1"/>
  <c r="D47" i="92" s="1"/>
  <c r="D48" i="92" s="1"/>
  <c r="D46" i="80" s="1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D40" i="19" s="1"/>
  <c r="G5" i="63"/>
  <c r="D38" i="86" s="1"/>
  <c r="D39" i="86" s="1"/>
  <c r="D41" i="8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D53" i="63"/>
  <c r="D54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35" i="2" s="1"/>
  <c r="J6" i="2"/>
  <c r="P6" i="2"/>
  <c r="J7" i="2"/>
  <c r="P7" i="2"/>
  <c r="R7" i="2" s="1"/>
  <c r="J8" i="2"/>
  <c r="P8" i="2"/>
  <c r="R8" i="2"/>
  <c r="J9" i="2"/>
  <c r="P9" i="2"/>
  <c r="R9" i="2" s="1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P14" i="2"/>
  <c r="R14" i="2" s="1"/>
  <c r="J15" i="2"/>
  <c r="P15" i="2"/>
  <c r="R15" i="2" s="1"/>
  <c r="J16" i="2"/>
  <c r="P16" i="2"/>
  <c r="R16" i="2"/>
  <c r="J17" i="2"/>
  <c r="N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A48" i="83"/>
  <c r="A49" i="83"/>
  <c r="D74" i="2" l="1"/>
  <c r="D75" i="2"/>
  <c r="F41" i="7"/>
  <c r="E48" i="7"/>
  <c r="E49" i="7" s="1"/>
  <c r="D78" i="80" s="1"/>
  <c r="D44" i="67"/>
  <c r="D45" i="67" s="1"/>
  <c r="D82" i="80" s="1"/>
  <c r="J40" i="2"/>
  <c r="B102" i="15"/>
  <c r="AN45" i="15"/>
  <c r="D46" i="28"/>
  <c r="D47" i="28" s="1"/>
  <c r="D71" i="80" s="1"/>
  <c r="D40" i="28"/>
  <c r="AH20" i="7"/>
  <c r="AI19" i="7"/>
  <c r="D41" i="19"/>
  <c r="D43" i="19" s="1"/>
  <c r="B43" i="80"/>
  <c r="B18" i="63"/>
  <c r="C18" i="63" s="1"/>
  <c r="D41" i="81"/>
  <c r="D46" i="81"/>
  <c r="D47" i="81" s="1"/>
  <c r="D83" i="80" s="1"/>
  <c r="AH6" i="7"/>
  <c r="B77" i="73"/>
  <c r="F37" i="22"/>
  <c r="D47" i="22" s="1"/>
  <c r="D48" i="22" s="1"/>
  <c r="D29" i="80" s="1"/>
  <c r="H41" i="73"/>
  <c r="C71" i="73"/>
  <c r="D17" i="80"/>
  <c r="L9" i="74"/>
  <c r="M9" i="74" s="1"/>
  <c r="M10" i="74" s="1"/>
  <c r="M11" i="74" s="1"/>
  <c r="M12" i="74" s="1"/>
  <c r="M13" i="74" s="1"/>
  <c r="M14" i="74" s="1"/>
  <c r="J17" i="74"/>
  <c r="B101" i="15"/>
  <c r="F92" i="15"/>
  <c r="F101" i="15" s="1"/>
  <c r="C101" i="15" s="1"/>
  <c r="N38" i="93"/>
  <c r="N39" i="93" s="1"/>
  <c r="N43" i="93" s="1"/>
  <c r="D40" i="68"/>
  <c r="AL48" i="11"/>
  <c r="N37" i="93"/>
  <c r="D49" i="93" s="1"/>
  <c r="D50" i="93" s="1"/>
  <c r="D47" i="80" s="1"/>
  <c r="AP20" i="11"/>
  <c r="N37" i="91"/>
  <c r="D37" i="16"/>
  <c r="D38" i="16" s="1"/>
  <c r="D40" i="16" s="1"/>
  <c r="S12" i="2"/>
  <c r="F35" i="6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M23" i="77"/>
  <c r="D18" i="65"/>
  <c r="D33" i="65" s="1"/>
  <c r="D34" i="65" s="1"/>
  <c r="D26" i="80" s="1"/>
  <c r="J35" i="70"/>
  <c r="D47" i="70" s="1"/>
  <c r="D48" i="70" s="1"/>
  <c r="D36" i="80" s="1"/>
  <c r="E45" i="11"/>
  <c r="AC37" i="11"/>
  <c r="AM37" i="11"/>
  <c r="F40" i="71"/>
  <c r="D38" i="79"/>
  <c r="D39" i="72"/>
  <c r="D18" i="64"/>
  <c r="D19" i="64" s="1"/>
  <c r="D23" i="64" s="1"/>
  <c r="P17" i="2"/>
  <c r="R17" i="2" s="1"/>
  <c r="D37" i="90"/>
  <c r="D47" i="90" s="1"/>
  <c r="D48" i="90" s="1"/>
  <c r="D14" i="80" s="1"/>
  <c r="AH57" i="15"/>
  <c r="AH56" i="15"/>
  <c r="AJ28" i="15"/>
  <c r="D37" i="77"/>
  <c r="D49" i="77" s="1"/>
  <c r="D50" i="77" s="1"/>
  <c r="D15" i="80" s="1"/>
  <c r="D32" i="80"/>
  <c r="B73" i="73"/>
  <c r="G5" i="80"/>
  <c r="G61" i="80" s="1"/>
  <c r="D38" i="85"/>
  <c r="D39" i="85" s="1"/>
  <c r="D41" i="85" s="1"/>
  <c r="B19" i="20"/>
  <c r="C19" i="20" s="1"/>
  <c r="C20" i="20" s="1"/>
  <c r="D38" i="75"/>
  <c r="F39" i="5"/>
  <c r="D19" i="8"/>
  <c r="D20" i="8" s="1"/>
  <c r="D24" i="8" s="1"/>
  <c r="B47" i="20"/>
  <c r="C47" i="20" s="1"/>
  <c r="C48" i="20" s="1"/>
  <c r="D38" i="89"/>
  <c r="D38" i="76"/>
  <c r="D38" i="92"/>
  <c r="D39" i="92" s="1"/>
  <c r="D41" i="92" s="1"/>
  <c r="C37" i="73"/>
  <c r="AU39" i="15"/>
  <c r="AV16" i="15"/>
  <c r="AV39" i="15" s="1"/>
  <c r="AR39" i="15"/>
  <c r="AR45" i="15" s="1"/>
  <c r="H36" i="11"/>
  <c r="H39" i="11" s="1"/>
  <c r="C37" i="63" s="1"/>
  <c r="M4" i="13"/>
  <c r="M13" i="13" s="1"/>
  <c r="J37" i="83"/>
  <c r="D49" i="83" s="1"/>
  <c r="D50" i="83" s="1"/>
  <c r="D41" i="80" s="1"/>
  <c r="G4" i="80"/>
  <c r="G60" i="80" s="1"/>
  <c r="J36" i="70"/>
  <c r="P38" i="88"/>
  <c r="D13" i="78"/>
  <c r="J40" i="17"/>
  <c r="J41" i="17" s="1"/>
  <c r="J43" i="17" s="1"/>
  <c r="D38" i="77"/>
  <c r="D39" i="77" s="1"/>
  <c r="D41" i="77" s="1"/>
  <c r="F37" i="13"/>
  <c r="F38" i="13" s="1"/>
  <c r="F41" i="13" s="1"/>
  <c r="F38" i="22"/>
  <c r="F39" i="22" s="1"/>
  <c r="F41" i="22" s="1"/>
  <c r="B32" i="20"/>
  <c r="C32" i="20" s="1"/>
  <c r="C33" i="20" s="1"/>
  <c r="C78" i="73" s="1"/>
  <c r="D38" i="90"/>
  <c r="J38" i="83"/>
  <c r="F40" i="18"/>
  <c r="D38" i="74"/>
  <c r="H36" i="9"/>
  <c r="H37" i="9" s="1"/>
  <c r="H39" i="9" s="1"/>
  <c r="B37" i="63"/>
  <c r="L23" i="15"/>
  <c r="M23" i="15" s="1"/>
  <c r="F39" i="15"/>
  <c r="H35" i="9"/>
  <c r="E47" i="9" s="1"/>
  <c r="E48" i="9" s="1"/>
  <c r="D34" i="80" s="1"/>
  <c r="F38" i="67"/>
  <c r="J39" i="17"/>
  <c r="D48" i="17" s="1"/>
  <c r="D49" i="17" s="1"/>
  <c r="D33" i="80" s="1"/>
  <c r="C176" i="15"/>
  <c r="F176" i="15" s="1"/>
  <c r="K114" i="15"/>
  <c r="AJ39" i="15"/>
  <c r="AJ45" i="15" s="1"/>
  <c r="R19" i="9"/>
  <c r="R22" i="9" s="1"/>
  <c r="D30" i="80"/>
  <c r="D39" i="69"/>
  <c r="D40" i="69" s="1"/>
  <c r="D42" i="69" s="1"/>
  <c r="G3" i="80"/>
  <c r="G59" i="80" s="1"/>
  <c r="P19" i="9"/>
  <c r="AF34" i="11"/>
  <c r="AP34" i="11"/>
  <c r="R6" i="2"/>
  <c r="R21" i="2" s="1"/>
  <c r="D37" i="76"/>
  <c r="D47" i="76" s="1"/>
  <c r="D48" i="76" s="1"/>
  <c r="D38" i="80" s="1"/>
  <c r="D19" i="65"/>
  <c r="D20" i="65" s="1"/>
  <c r="D24" i="65" s="1"/>
  <c r="F36" i="73"/>
  <c r="F39" i="71"/>
  <c r="D49" i="71" s="1"/>
  <c r="D50" i="71" s="1"/>
  <c r="D48" i="80" s="1"/>
  <c r="D37" i="89"/>
  <c r="D47" i="89" s="1"/>
  <c r="D48" i="89" s="1"/>
  <c r="D39" i="80" s="1"/>
  <c r="D37" i="22"/>
  <c r="D37" i="75"/>
  <c r="D46" i="75" s="1"/>
  <c r="D47" i="75" s="1"/>
  <c r="D49" i="80" s="1"/>
  <c r="F35" i="73"/>
  <c r="D12" i="78"/>
  <c r="D23" i="78" s="1"/>
  <c r="D24" i="78" s="1"/>
  <c r="D16" i="80" s="1"/>
  <c r="F39" i="18"/>
  <c r="D48" i="18" s="1"/>
  <c r="D49" i="18" s="1"/>
  <c r="D28" i="80" s="1"/>
  <c r="B18" i="20"/>
  <c r="F39" i="20" s="1"/>
  <c r="F40" i="20" s="1"/>
  <c r="F37" i="87"/>
  <c r="D47" i="87" s="1"/>
  <c r="D48" i="87" s="1"/>
  <c r="D44" i="80" s="1"/>
  <c r="J19" i="74"/>
  <c r="J24" i="74" s="1"/>
  <c r="K6" i="13"/>
  <c r="M6" i="13" s="1"/>
  <c r="N11" i="13" s="1"/>
  <c r="D37" i="79"/>
  <c r="D47" i="79" s="1"/>
  <c r="D48" i="79" s="1"/>
  <c r="D13" i="80" s="1"/>
  <c r="F36" i="5"/>
  <c r="D49" i="5" s="1"/>
  <c r="D50" i="5" s="1"/>
  <c r="D85" i="80" s="1"/>
  <c r="F7" i="22"/>
  <c r="C70" i="80"/>
  <c r="AP27" i="11"/>
  <c r="D37" i="12"/>
  <c r="P37" i="88"/>
  <c r="D47" i="88" s="1"/>
  <c r="D48" i="88" s="1"/>
  <c r="D45" i="80" s="1"/>
  <c r="C45" i="11"/>
  <c r="C46" i="11" s="1"/>
  <c r="M24" i="15" l="1"/>
  <c r="O23" i="15"/>
  <c r="O24" i="15" s="1"/>
  <c r="E37" i="73"/>
  <c r="E38" i="73" s="1"/>
  <c r="C38" i="73"/>
  <c r="C40" i="73" s="1"/>
  <c r="B15" i="80"/>
  <c r="C15" i="80" s="1"/>
  <c r="E15" i="80" s="1"/>
  <c r="B43" i="63"/>
  <c r="C43" i="63" s="1"/>
  <c r="F45" i="11"/>
  <c r="P21" i="2"/>
  <c r="P23" i="2" s="1"/>
  <c r="B78" i="80"/>
  <c r="C78" i="80" s="1"/>
  <c r="E78" i="80" s="1"/>
  <c r="C49" i="63"/>
  <c r="B49" i="63" s="1"/>
  <c r="B33" i="80"/>
  <c r="C33" i="80" s="1"/>
  <c r="E33" i="80" s="1"/>
  <c r="B13" i="63"/>
  <c r="C13" i="63" s="1"/>
  <c r="D40" i="12"/>
  <c r="D46" i="12"/>
  <c r="D47" i="12" s="1"/>
  <c r="D76" i="80" s="1"/>
  <c r="B26" i="80"/>
  <c r="B25" i="63"/>
  <c r="C25" i="63" s="1"/>
  <c r="B22" i="80"/>
  <c r="C22" i="80" s="1"/>
  <c r="E22" i="80" s="1"/>
  <c r="B51" i="63"/>
  <c r="C51" i="63" s="1"/>
  <c r="D39" i="90"/>
  <c r="D41" i="90" s="1"/>
  <c r="J37" i="70"/>
  <c r="J41" i="70" s="1"/>
  <c r="F40" i="5"/>
  <c r="F43" i="5" s="1"/>
  <c r="AH7" i="7"/>
  <c r="AI6" i="7"/>
  <c r="B20" i="80"/>
  <c r="B34" i="63"/>
  <c r="C34" i="63" s="1"/>
  <c r="C21" i="80"/>
  <c r="C27" i="63"/>
  <c r="B27" i="63" s="1"/>
  <c r="C79" i="73"/>
  <c r="B8" i="63"/>
  <c r="K13" i="13"/>
  <c r="D39" i="74"/>
  <c r="D41" i="74" s="1"/>
  <c r="K19" i="74"/>
  <c r="L19" i="74" s="1"/>
  <c r="D39" i="89"/>
  <c r="D41" i="89" s="1"/>
  <c r="B44" i="63" s="1"/>
  <c r="F45" i="15"/>
  <c r="D51" i="15"/>
  <c r="D52" i="15" s="1"/>
  <c r="D75" i="80" s="1"/>
  <c r="D79" i="80" s="1"/>
  <c r="D39" i="75"/>
  <c r="D41" i="75" s="1"/>
  <c r="F41" i="71"/>
  <c r="F43" i="71" s="1"/>
  <c r="AI5" i="7"/>
  <c r="D46" i="68"/>
  <c r="D47" i="68" s="1"/>
  <c r="D68" i="80" s="1"/>
  <c r="B29" i="80"/>
  <c r="C29" i="80" s="1"/>
  <c r="E29" i="80" s="1"/>
  <c r="F43" i="22"/>
  <c r="B14" i="63"/>
  <c r="C14" i="63" s="1"/>
  <c r="D46" i="6"/>
  <c r="D47" i="6" s="1"/>
  <c r="D69" i="80" s="1"/>
  <c r="F40" i="6"/>
  <c r="B27" i="80"/>
  <c r="C27" i="80" s="1"/>
  <c r="E27" i="80" s="1"/>
  <c r="B11" i="63"/>
  <c r="C11" i="63" s="1"/>
  <c r="B46" i="80"/>
  <c r="C46" i="80" s="1"/>
  <c r="E46" i="80" s="1"/>
  <c r="B33" i="63"/>
  <c r="C33" i="63" s="1"/>
  <c r="B68" i="80"/>
  <c r="C12" i="63"/>
  <c r="B12" i="63" s="1"/>
  <c r="B71" i="80"/>
  <c r="C71" i="80" s="1"/>
  <c r="E71" i="80" s="1"/>
  <c r="C26" i="63"/>
  <c r="B26" i="63" s="1"/>
  <c r="B34" i="80"/>
  <c r="C34" i="80" s="1"/>
  <c r="E34" i="80" s="1"/>
  <c r="B54" i="63"/>
  <c r="C54" i="63" s="1"/>
  <c r="D39" i="76"/>
  <c r="D41" i="76" s="1"/>
  <c r="B47" i="80"/>
  <c r="C47" i="80" s="1"/>
  <c r="E47" i="80" s="1"/>
  <c r="B22" i="63"/>
  <c r="C22" i="63" s="1"/>
  <c r="B81" i="73"/>
  <c r="B37" i="80"/>
  <c r="C37" i="80" s="1"/>
  <c r="E37" i="80" s="1"/>
  <c r="B46" i="63"/>
  <c r="C46" i="63" s="1"/>
  <c r="D14" i="78"/>
  <c r="D18" i="78" s="1"/>
  <c r="AR48" i="15"/>
  <c r="AR51" i="15"/>
  <c r="C77" i="73"/>
  <c r="B9" i="63"/>
  <c r="C57" i="20"/>
  <c r="F51" i="73" s="1"/>
  <c r="D42" i="72"/>
  <c r="D48" i="72"/>
  <c r="D49" i="72" s="1"/>
  <c r="D84" i="80" s="1"/>
  <c r="D86" i="80" s="1"/>
  <c r="D49" i="91"/>
  <c r="D50" i="91" s="1"/>
  <c r="D42" i="80" s="1"/>
  <c r="N39" i="91"/>
  <c r="N43" i="91" s="1"/>
  <c r="C43" i="80"/>
  <c r="E43" i="80" s="1"/>
  <c r="B103" i="15"/>
  <c r="B105" i="15" s="1"/>
  <c r="F105" i="15" s="1"/>
  <c r="F102" i="15"/>
  <c r="F103" i="15" s="1"/>
  <c r="C103" i="15" s="1"/>
  <c r="AH21" i="7"/>
  <c r="AI21" i="7" s="1"/>
  <c r="AI20" i="7"/>
  <c r="B16" i="63"/>
  <c r="C16" i="63" s="1"/>
  <c r="B40" i="80"/>
  <c r="C40" i="80" s="1"/>
  <c r="E40" i="80" s="1"/>
  <c r="C52" i="63"/>
  <c r="B52" i="63" s="1"/>
  <c r="B83" i="80"/>
  <c r="C83" i="80" s="1"/>
  <c r="E83" i="80" s="1"/>
  <c r="F46" i="11"/>
  <c r="D77" i="80" s="1"/>
  <c r="D70" i="80"/>
  <c r="E70" i="80" s="1"/>
  <c r="B35" i="80"/>
  <c r="C35" i="80" s="1"/>
  <c r="E35" i="80" s="1"/>
  <c r="B10" i="63"/>
  <c r="C10" i="63" s="1"/>
  <c r="F41" i="18"/>
  <c r="F43" i="18" s="1"/>
  <c r="B79" i="73"/>
  <c r="D31" i="80"/>
  <c r="D51" i="80" s="1"/>
  <c r="F37" i="73"/>
  <c r="B82" i="80"/>
  <c r="C15" i="63"/>
  <c r="B15" i="63" s="1"/>
  <c r="J39" i="83"/>
  <c r="J43" i="83" s="1"/>
  <c r="P39" i="88"/>
  <c r="P41" i="88" s="1"/>
  <c r="F39" i="87"/>
  <c r="F41" i="87" s="1"/>
  <c r="B50" i="80"/>
  <c r="C50" i="80" s="1"/>
  <c r="E50" i="80" s="1"/>
  <c r="B21" i="63"/>
  <c r="C21" i="63" s="1"/>
  <c r="D39" i="79"/>
  <c r="D41" i="79" s="1"/>
  <c r="L17" i="74"/>
  <c r="I40" i="20"/>
  <c r="I57" i="20" s="1"/>
  <c r="C77" i="80"/>
  <c r="D47" i="2"/>
  <c r="D48" i="2" s="1"/>
  <c r="B76" i="80" l="1"/>
  <c r="C76" i="80" s="1"/>
  <c r="E76" i="80" s="1"/>
  <c r="C53" i="63"/>
  <c r="B53" i="63" s="1"/>
  <c r="C82" i="80"/>
  <c r="B30" i="80"/>
  <c r="C30" i="80" s="1"/>
  <c r="E30" i="80" s="1"/>
  <c r="C9" i="63"/>
  <c r="B75" i="80"/>
  <c r="C28" i="63"/>
  <c r="B28" i="63" s="1"/>
  <c r="C73" i="73"/>
  <c r="B45" i="63"/>
  <c r="C45" i="63" s="1"/>
  <c r="B44" i="80"/>
  <c r="C44" i="80" s="1"/>
  <c r="E44" i="80" s="1"/>
  <c r="B45" i="80"/>
  <c r="C45" i="80" s="1"/>
  <c r="E45" i="80" s="1"/>
  <c r="B23" i="63"/>
  <c r="C23" i="63" s="1"/>
  <c r="B48" i="80"/>
  <c r="C48" i="80" s="1"/>
  <c r="E48" i="80" s="1"/>
  <c r="B29" i="63"/>
  <c r="C29" i="63" s="1"/>
  <c r="AH8" i="7"/>
  <c r="AI7" i="7"/>
  <c r="B14" i="80"/>
  <c r="C14" i="80" s="1"/>
  <c r="E14" i="80" s="1"/>
  <c r="B48" i="63"/>
  <c r="C48" i="63" s="1"/>
  <c r="E77" i="80"/>
  <c r="B41" i="80"/>
  <c r="C41" i="80" s="1"/>
  <c r="E41" i="80" s="1"/>
  <c r="B47" i="63"/>
  <c r="C47" i="63" s="1"/>
  <c r="B84" i="80"/>
  <c r="C84" i="80" s="1"/>
  <c r="E84" i="80" s="1"/>
  <c r="C31" i="63"/>
  <c r="B31" i="63" s="1"/>
  <c r="C17" i="63"/>
  <c r="B17" i="63" s="1"/>
  <c r="B38" i="63" s="1"/>
  <c r="B69" i="80"/>
  <c r="C69" i="80" s="1"/>
  <c r="E69" i="80" s="1"/>
  <c r="B49" i="80"/>
  <c r="C49" i="80" s="1"/>
  <c r="E49" i="80" s="1"/>
  <c r="B24" i="63"/>
  <c r="C24" i="63" s="1"/>
  <c r="B31" i="80"/>
  <c r="C31" i="80" s="1"/>
  <c r="E31" i="80" s="1"/>
  <c r="C8" i="63"/>
  <c r="B85" i="80"/>
  <c r="C85" i="80" s="1"/>
  <c r="E85" i="80" s="1"/>
  <c r="C20" i="63"/>
  <c r="B20" i="63" s="1"/>
  <c r="B13" i="80"/>
  <c r="C13" i="80" s="1"/>
  <c r="E13" i="80" s="1"/>
  <c r="B36" i="63"/>
  <c r="C36" i="63" s="1"/>
  <c r="B39" i="80"/>
  <c r="C44" i="63"/>
  <c r="C39" i="80" s="1"/>
  <c r="E39" i="80" s="1"/>
  <c r="F38" i="73"/>
  <c r="E40" i="73"/>
  <c r="B42" i="80"/>
  <c r="C42" i="80" s="1"/>
  <c r="E42" i="80" s="1"/>
  <c r="B32" i="63"/>
  <c r="C32" i="63" s="1"/>
  <c r="L24" i="74"/>
  <c r="L26" i="74" s="1"/>
  <c r="D72" i="80"/>
  <c r="D88" i="80" s="1"/>
  <c r="B12" i="80"/>
  <c r="B50" i="63"/>
  <c r="C50" i="63" s="1"/>
  <c r="B23" i="80"/>
  <c r="C20" i="80"/>
  <c r="M51" i="73"/>
  <c r="M53" i="73" s="1"/>
  <c r="I62" i="20"/>
  <c r="B36" i="80"/>
  <c r="C36" i="80" s="1"/>
  <c r="E36" i="80" s="1"/>
  <c r="B35" i="63"/>
  <c r="C35" i="63" s="1"/>
  <c r="C68" i="80"/>
  <c r="B72" i="80"/>
  <c r="D21" i="80"/>
  <c r="B21" i="80"/>
  <c r="E21" i="80"/>
  <c r="B38" i="80"/>
  <c r="C38" i="80" s="1"/>
  <c r="E38" i="80" s="1"/>
  <c r="B30" i="63"/>
  <c r="C30" i="63" s="1"/>
  <c r="B19" i="63"/>
  <c r="C19" i="63" s="1"/>
  <c r="B28" i="80"/>
  <c r="C28" i="80" s="1"/>
  <c r="E28" i="80" s="1"/>
  <c r="B16" i="80"/>
  <c r="C16" i="80" s="1"/>
  <c r="E16" i="80" s="1"/>
  <c r="B42" i="63"/>
  <c r="C42" i="63" s="1"/>
  <c r="C26" i="80"/>
  <c r="F40" i="73" l="1"/>
  <c r="F49" i="73" s="1"/>
  <c r="C74" i="73"/>
  <c r="B41" i="63"/>
  <c r="C81" i="73"/>
  <c r="C82" i="73" s="1"/>
  <c r="C12" i="80"/>
  <c r="B17" i="80"/>
  <c r="C38" i="63"/>
  <c r="E68" i="80"/>
  <c r="C72" i="80"/>
  <c r="AH9" i="7"/>
  <c r="AI8" i="7"/>
  <c r="C75" i="80"/>
  <c r="B79" i="80"/>
  <c r="B88" i="80" s="1"/>
  <c r="E26" i="80"/>
  <c r="E82" i="80"/>
  <c r="E86" i="80" s="1"/>
  <c r="C86" i="80"/>
  <c r="D23" i="80"/>
  <c r="D53" i="80" s="1"/>
  <c r="E20" i="80"/>
  <c r="E23" i="80" s="1"/>
  <c r="C23" i="80"/>
  <c r="B86" i="80"/>
  <c r="B53" i="80" l="1"/>
  <c r="E12" i="80"/>
  <c r="C17" i="80"/>
  <c r="E75" i="80"/>
  <c r="E79" i="80" s="1"/>
  <c r="C79" i="80"/>
  <c r="C88" i="80" s="1"/>
  <c r="B91" i="80" s="1"/>
  <c r="AI9" i="7"/>
  <c r="AH10" i="7"/>
  <c r="B55" i="63"/>
  <c r="B57" i="63" s="1"/>
  <c r="B32" i="80"/>
  <c r="C41" i="63"/>
  <c r="C55" i="63" s="1"/>
  <c r="C57" i="63" s="1"/>
  <c r="N15" i="63"/>
  <c r="E72" i="80"/>
  <c r="E88" i="80"/>
  <c r="C61" i="20"/>
  <c r="C62" i="20" s="1"/>
  <c r="F53" i="73"/>
  <c r="C32" i="80" l="1"/>
  <c r="B51" i="80"/>
  <c r="E17" i="80"/>
  <c r="AI10" i="7"/>
  <c r="AH11" i="7"/>
  <c r="AH12" i="7" l="1"/>
  <c r="AI11" i="7"/>
  <c r="E32" i="80"/>
  <c r="C51" i="80"/>
  <c r="C53" i="80"/>
  <c r="B92" i="80" s="1"/>
  <c r="AH13" i="7" l="1"/>
  <c r="AI12" i="7"/>
  <c r="E51" i="80"/>
  <c r="E53" i="80"/>
  <c r="AI13" i="7" l="1"/>
  <c r="AH14" i="7"/>
  <c r="AI14" i="7" l="1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<sst xmlns="http://schemas.openxmlformats.org/spreadsheetml/2006/main" count="1036" uniqueCount="334">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</sst>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</v>
          </cell>
          <cell r="K39">
            <v>2.0699999999999998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2.0699999999999998</v>
      </c>
      <c r="H3" s="402">
        <f ca="1">NOW()</f>
        <v>41885.68263935185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2.09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-13160.909999999974</v>
      </c>
      <c r="C12" s="369">
        <f>+B12/$G$4</f>
        <v>-6297.0861244019025</v>
      </c>
      <c r="D12" s="14">
        <f>+Calpine!D47</f>
        <v>81214</v>
      </c>
      <c r="E12" s="70">
        <f>+C12-D12</f>
        <v>-87511.086124401903</v>
      </c>
      <c r="F12" s="364">
        <f>+Calpine!A41</f>
        <v>37285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12928.090000000011</v>
      </c>
      <c r="C13" s="368">
        <f>+B13/$G$4</f>
        <v>6185.6889952153169</v>
      </c>
      <c r="D13" s="14">
        <f>+'Citizens-Griffith'!D48</f>
        <v>9924</v>
      </c>
      <c r="E13" s="70">
        <f>+C13-D13</f>
        <v>-3738.3110047846831</v>
      </c>
      <c r="F13" s="364">
        <f>+'Citizens-Griffith'!A41</f>
        <v>37284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-20388.41</v>
      </c>
      <c r="C14" s="368">
        <f>+B14/G4</f>
        <v>-9755.2200956937813</v>
      </c>
      <c r="D14" s="14">
        <f>+SWGasTrans!$D$48</f>
        <v>3264</v>
      </c>
      <c r="E14" s="70">
        <f>+C14-D14</f>
        <v>-13019.220095693781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-292580.41000000003</v>
      </c>
      <c r="C15" s="368">
        <f>+B15/$G$4</f>
        <v>-139990.62679425839</v>
      </c>
      <c r="D15" s="14">
        <f>+'NS Steel'!D50</f>
        <v>-14370</v>
      </c>
      <c r="E15" s="70">
        <f>+C15-D15</f>
        <v>-125620.62679425839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-549423.96000000008</v>
      </c>
      <c r="C16" s="370">
        <f>+B16/$G$4</f>
        <v>-262882.27751196176</v>
      </c>
      <c r="D16" s="350">
        <f>+Citizens!D24</f>
        <v>-42436</v>
      </c>
      <c r="E16" s="72">
        <f>+C16-D16</f>
        <v>-220446.27751196176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-862625.60000000009</v>
      </c>
      <c r="C17" s="393">
        <f>SUBTOTAL(9,C12:C16)</f>
        <v>-412739.5215311005</v>
      </c>
      <c r="D17" s="394">
        <f>SUBTOTAL(9,D12:D16)</f>
        <v>37596</v>
      </c>
      <c r="E17" s="395">
        <f>SUBTOTAL(9,E12:E16)</f>
        <v>-450335.5215311005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30094.85</v>
      </c>
      <c r="C20" s="368">
        <f>+B20/$G$4</f>
        <v>14399.44976076555</v>
      </c>
      <c r="D20" s="14">
        <f>+transcol!D50</f>
        <v>-41517</v>
      </c>
      <c r="E20" s="70">
        <f>+C20-D20</f>
        <v>55916.44976076555</v>
      </c>
      <c r="F20" s="365">
        <f>+transcol!A43</f>
        <v>37284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52184.7</v>
      </c>
      <c r="C21" s="368">
        <f>+williams!J40</f>
        <v>25210</v>
      </c>
      <c r="D21" s="14">
        <f>+C21</f>
        <v>25210</v>
      </c>
      <c r="E21" s="70">
        <f>+C21-D21</f>
        <v>0</v>
      </c>
      <c r="F21" s="365">
        <f>+williams!A40</f>
        <v>37284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-12490.94999999999</v>
      </c>
      <c r="C22" s="372">
        <f>+B22/$G$3</f>
        <v>-6034.2753623188364</v>
      </c>
      <c r="D22" s="350">
        <f>+burlington!D49</f>
        <v>-8616</v>
      </c>
      <c r="E22" s="72">
        <f>+C22-D22</f>
        <v>2581.7246376811636</v>
      </c>
      <c r="F22" s="364">
        <f>+burlington!A42</f>
        <v>37285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69788.600000000006</v>
      </c>
      <c r="C23" s="389">
        <f>SUBTOTAL(9,C20:C22)</f>
        <v>33575.174398446718</v>
      </c>
      <c r="D23" s="394">
        <f>SUBTOTAL(9,D20:D22)</f>
        <v>-24923</v>
      </c>
      <c r="E23" s="395">
        <f>SUBTOTAL(9,E20:E22)</f>
        <v>58498.174398446718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71661.899999999994</v>
      </c>
      <c r="C26" s="368">
        <f>+B26/$G$4</f>
        <v>34287.990430622012</v>
      </c>
      <c r="D26" s="14">
        <f>+NNG!D34</f>
        <v>32750</v>
      </c>
      <c r="E26" s="70">
        <f t="shared" ref="E26:E50" si="0">+C26-D26</f>
        <v>1537.9904306220124</v>
      </c>
      <c r="F26" s="364">
        <f>+NNG!A24</f>
        <v>37284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469796.16</v>
      </c>
      <c r="C27" s="368">
        <f>+B27/$G$4</f>
        <v>224782.85167464116</v>
      </c>
      <c r="D27" s="14">
        <f>+Conoco!D48</f>
        <v>22450</v>
      </c>
      <c r="E27" s="70">
        <f t="shared" si="0"/>
        <v>202332.85167464116</v>
      </c>
      <c r="F27" s="364">
        <f>+Conoco!A41</f>
        <v>37285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149590.13999999998</v>
      </c>
      <c r="C28" s="368">
        <f>+B28/$G$4</f>
        <v>71574.229665071762</v>
      </c>
      <c r="D28" s="14">
        <f>+'Amoco Abo'!D49</f>
        <v>-369560</v>
      </c>
      <c r="E28" s="70">
        <f t="shared" si="0"/>
        <v>441134.22966507176</v>
      </c>
      <c r="F28" s="365">
        <f>+'Amoco Abo'!A43</f>
        <v>37284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304457.31000000006</v>
      </c>
      <c r="C29" s="368">
        <f>+B29/$G$4</f>
        <v>145673.35406698569</v>
      </c>
      <c r="D29" s="14">
        <f>+KN_Westar!D48</f>
        <v>-49188</v>
      </c>
      <c r="E29" s="70">
        <f t="shared" si="0"/>
        <v>194861.35406698569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1226293.74</v>
      </c>
      <c r="C30" s="369">
        <f>+B30/$G$5</f>
        <v>583949.4</v>
      </c>
      <c r="D30" s="14">
        <f>+Duke!$G$40+Duke!$H$40+Duke!$I$53+Duke!$I$54</f>
        <v>365664</v>
      </c>
      <c r="E30" s="70">
        <f t="shared" si="0"/>
        <v>218285.40000000002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1513325.06</v>
      </c>
      <c r="C31" s="369">
        <f>+B31/$G$5</f>
        <v>720630.98095238092</v>
      </c>
      <c r="D31" s="14">
        <f>+Duke!$F$40</f>
        <v>370017</v>
      </c>
      <c r="E31" s="70">
        <f t="shared" si="0"/>
        <v>350613.98095238092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-2816310.38</v>
      </c>
      <c r="C32" s="369">
        <f>+B32/$G$5</f>
        <v>-1341100.1809523809</v>
      </c>
      <c r="D32" s="14">
        <f>+DEFS!$I$36+DEFS!$J$36+DEFS!$K$45+DEFS!$K$46+DEFS!$K$47+DEFS!$K$48</f>
        <v>-443438</v>
      </c>
      <c r="E32" s="70">
        <f t="shared" si="0"/>
        <v>-897662.18095238088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351243.22</v>
      </c>
      <c r="C33" s="368">
        <f>+B33/$G$4</f>
        <v>168058.95693779906</v>
      </c>
      <c r="D33" s="14">
        <f>+mewborne!D49</f>
        <v>140338</v>
      </c>
      <c r="E33" s="70">
        <f t="shared" si="0"/>
        <v>27720.956937799056</v>
      </c>
      <c r="F33" s="365">
        <f>+mewborne!A43</f>
        <v>37284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-3160.7700000000041</v>
      </c>
      <c r="C34" s="368">
        <f>+B34/$G$4</f>
        <v>-1512.330143540672</v>
      </c>
      <c r="D34" s="14">
        <f>+PGETX!E48</f>
        <v>26063</v>
      </c>
      <c r="E34" s="70">
        <f t="shared" si="0"/>
        <v>-27575.330143540672</v>
      </c>
      <c r="F34" s="365">
        <f>+PGETX!E39</f>
        <v>37284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798418.98</v>
      </c>
      <c r="C35" s="368">
        <f>+B35/$G$4</f>
        <v>382018.65071770339</v>
      </c>
      <c r="D35" s="14">
        <f>+PNM!D30</f>
        <v>322396</v>
      </c>
      <c r="E35" s="70">
        <f t="shared" si="0"/>
        <v>59622.650717703393</v>
      </c>
      <c r="F35" s="365">
        <f>+PNM!A23</f>
        <v>37284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26514.649999999998</v>
      </c>
      <c r="C36" s="368">
        <f>+B36/$G$4</f>
        <v>12686.435406698565</v>
      </c>
      <c r="D36" s="14">
        <f>+EOG!D48</f>
        <v>-115022</v>
      </c>
      <c r="E36" s="70">
        <f t="shared" si="0"/>
        <v>127708.43540669857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-63785.91</v>
      </c>
      <c r="C37" s="368">
        <f>+B37/G5</f>
        <v>-30374.242857142857</v>
      </c>
      <c r="D37" s="14">
        <f>+Oasis!D47</f>
        <v>-32624</v>
      </c>
      <c r="E37" s="70">
        <f>+C37-D37</f>
        <v>2249.7571428571428</v>
      </c>
      <c r="F37" s="364">
        <f>+Oasis!A40</f>
        <v>37284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42810.350000000006</v>
      </c>
      <c r="C38" s="368">
        <f>+B38/$G$5</f>
        <v>20385.880952380954</v>
      </c>
      <c r="D38" s="14">
        <f>+SidR!D48</f>
        <v>20244</v>
      </c>
      <c r="E38" s="70">
        <f t="shared" si="0"/>
        <v>141.88095238095411</v>
      </c>
      <c r="F38" s="365">
        <f>+SidR!A41</f>
        <v>37284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-97017.171428571426</v>
      </c>
      <c r="D39" s="14">
        <f>+MiVida_Rich!D48</f>
        <v>-51454</v>
      </c>
      <c r="E39" s="70">
        <f>+C39-D39</f>
        <v>-45563.171428571426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174876.68000000002</v>
      </c>
      <c r="C40" s="368">
        <f>+B40/$G$5</f>
        <v>83274.609523809529</v>
      </c>
      <c r="D40" s="14">
        <f>+Dominion!D48</f>
        <v>76550</v>
      </c>
      <c r="E40" s="70">
        <f t="shared" si="0"/>
        <v>6724.6095238095295</v>
      </c>
      <c r="F40" s="365">
        <f>+Dominion!A41</f>
        <v>37284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-35818.300000000003</v>
      </c>
      <c r="C41" s="368">
        <f>+B41/$G$4</f>
        <v>-17137.94258373206</v>
      </c>
      <c r="D41" s="14">
        <f>+WTGmktg!D50</f>
        <v>-3567</v>
      </c>
      <c r="E41" s="70">
        <f t="shared" si="0"/>
        <v>-13570.94258373206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34183.950000000004</v>
      </c>
      <c r="C42" s="368">
        <f>+B42/G4</f>
        <v>16355.956937799047</v>
      </c>
      <c r="D42" s="14">
        <f>+'WTG inc'!D50</f>
        <v>12875</v>
      </c>
      <c r="E42" s="70">
        <f>+C42-D42</f>
        <v>3480.9569377990465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150588.78999999998</v>
      </c>
      <c r="C43" s="368">
        <f>+B43/$G$5</f>
        <v>71708.947619047613</v>
      </c>
      <c r="D43" s="14">
        <f>+Devon!D48</f>
        <v>28874</v>
      </c>
      <c r="E43" s="70">
        <f t="shared" si="0"/>
        <v>42834.947619047613</v>
      </c>
      <c r="F43" s="365">
        <f>+Devon!A41</f>
        <v>37284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-124006.95999999999</v>
      </c>
      <c r="C44" s="368">
        <f>+B44/$G$4</f>
        <v>-59333.473684210527</v>
      </c>
      <c r="D44" s="14">
        <f>+crosstex!D48</f>
        <v>-38920</v>
      </c>
      <c r="E44" s="70">
        <f t="shared" si="0"/>
        <v>-20413.473684210527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91537.829999999987</v>
      </c>
      <c r="C45" s="368">
        <f>+B45/$G$4</f>
        <v>43798.004784688994</v>
      </c>
      <c r="D45" s="14">
        <f>+Amarillo!D48</f>
        <v>37897</v>
      </c>
      <c r="E45" s="70">
        <f t="shared" si="0"/>
        <v>5901.0047846889938</v>
      </c>
      <c r="F45" s="365">
        <f>+Amarillo!A41</f>
        <v>37284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33946.369999999995</v>
      </c>
      <c r="C46" s="369">
        <f>+B46/$G$4</f>
        <v>16242.282296650717</v>
      </c>
      <c r="D46" s="14">
        <f>+Stratland!D48</f>
        <v>10453</v>
      </c>
      <c r="E46" s="70">
        <f>+C46-D46</f>
        <v>5789.2822966507174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51649.894736842107</v>
      </c>
      <c r="D47" s="14">
        <f>+Plains!D50</f>
        <v>36315</v>
      </c>
      <c r="E47" s="70">
        <f>+C47-D47</f>
        <v>15334.894736842107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35200.410000000003</v>
      </c>
      <c r="C48" s="369">
        <f>+B48/$G$4</f>
        <v>16842.301435406702</v>
      </c>
      <c r="D48" s="14">
        <f>+Continental!D50</f>
        <v>1197</v>
      </c>
      <c r="E48" s="70">
        <f t="shared" si="0"/>
        <v>15645.301435406702</v>
      </c>
      <c r="F48" s="365">
        <f>+Continental!A43</f>
        <v>37285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74485.12999999999</v>
      </c>
      <c r="C49" s="369">
        <f>+B49/$G$5</f>
        <v>35469.109523809515</v>
      </c>
      <c r="D49" s="14">
        <f>+EPFS!D47</f>
        <v>49573</v>
      </c>
      <c r="E49" s="70">
        <f t="shared" si="0"/>
        <v>-14103.890476190485</v>
      </c>
      <c r="F49" s="364">
        <f>+EPFS!A41</f>
        <v>37284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118128.66</v>
      </c>
      <c r="C50" s="370">
        <f>+B50/$G$4</f>
        <v>56520.889952153113</v>
      </c>
      <c r="D50" s="350">
        <f>+Agave!D31</f>
        <v>68620</v>
      </c>
      <c r="E50" s="72">
        <f t="shared" si="0"/>
        <v>-12099.110047846887</v>
      </c>
      <c r="F50" s="364">
        <f>+Agave!A24</f>
        <v>37284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2528189.23</v>
      </c>
      <c r="C51" s="393">
        <f>SUBTOTAL(9,C26:C50)</f>
        <v>1209435.3859649126</v>
      </c>
      <c r="D51" s="394">
        <f>SUBTOTAL(9,D26:D50)</f>
        <v>518503</v>
      </c>
      <c r="E51" s="395">
        <f>SUBTOTAL(9,E26:E50)</f>
        <v>690932.38596491236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1735352.2299999997</v>
      </c>
      <c r="C53" s="393">
        <f>SUBTOTAL(9,C12:C50)</f>
        <v>830271.03883225867</v>
      </c>
      <c r="D53" s="394">
        <f>SUBTOTAL(9,D12:D50)</f>
        <v>531176</v>
      </c>
      <c r="E53" s="395">
        <f>SUBTOTAL(9,E12:E50)</f>
        <v>299095.03883225855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2.0699999999999998</v>
      </c>
      <c r="H59" s="402">
        <f ca="1">NOW()</f>
        <v>41885.68263935185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2.09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179516</v>
      </c>
      <c r="C68" s="346">
        <f>+B68*$G$4</f>
        <v>375188.44</v>
      </c>
      <c r="D68" s="47">
        <f>+Mojave!D47</f>
        <v>184541.37</v>
      </c>
      <c r="E68" s="47">
        <f>+C68-D68</f>
        <v>190647.07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92916</v>
      </c>
      <c r="C69" s="346">
        <f>+B69*$G$4</f>
        <v>194194.43999999997</v>
      </c>
      <c r="D69" s="47">
        <f>+SoCal!D47</f>
        <v>307873.64</v>
      </c>
      <c r="E69" s="47">
        <f>+C69-D69</f>
        <v>-113679.20000000004</v>
      </c>
      <c r="F69" s="365">
        <f>+SoCal!A40</f>
        <v>37285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134322.21</v>
      </c>
      <c r="D70" s="47">
        <f>+'El Paso'!C46</f>
        <v>-1582961.01</v>
      </c>
      <c r="E70" s="47">
        <f>+C70-D70</f>
        <v>1717283.22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27295</v>
      </c>
      <c r="C71" s="349">
        <f>+B71*$G$4</f>
        <v>57046.549999999996</v>
      </c>
      <c r="D71" s="349">
        <f>+'PG&amp;E'!D47</f>
        <v>-146954.99</v>
      </c>
      <c r="E71" s="349">
        <f>+C71-D71</f>
        <v>204001.53999999998</v>
      </c>
      <c r="F71" s="365">
        <f>+'PG&amp;E'!A40</f>
        <v>37285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363996</v>
      </c>
      <c r="C72" s="388">
        <f>SUBTOTAL(9,C68:C71)</f>
        <v>760751.64</v>
      </c>
      <c r="D72" s="388">
        <f>SUBTOTAL(9,D68:D71)</f>
        <v>-1237500.99</v>
      </c>
      <c r="E72" s="388">
        <f>SUBTOTAL(9,E68:E71)</f>
        <v>1998252.63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23676</v>
      </c>
      <c r="C75" s="347">
        <f>+B75*G59</f>
        <v>49009.32</v>
      </c>
      <c r="D75" s="200">
        <f>+'Red C'!D52</f>
        <v>420998.93000000005</v>
      </c>
      <c r="E75" s="47">
        <f>+C75-D75</f>
        <v>-371989.61000000004</v>
      </c>
      <c r="F75" s="364">
        <f>+'Red C'!A45</f>
        <v>37284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-2819</v>
      </c>
      <c r="C76" s="346">
        <f>+B76*$G$3</f>
        <v>-5835.33</v>
      </c>
      <c r="D76" s="47">
        <f>+Amoco!D47</f>
        <v>329281.37</v>
      </c>
      <c r="E76" s="47">
        <f>+C76-D76</f>
        <v>-335116.7</v>
      </c>
      <c r="F76" s="365">
        <f>+Amoco!A40</f>
        <v>37619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-49102</v>
      </c>
      <c r="C79" s="388">
        <f>SUBTOTAL(9,C75:C78)</f>
        <v>-101641.14</v>
      </c>
      <c r="D79" s="388">
        <f>SUBTOTAL(9,D75:D78)</f>
        <v>-386086.08999999997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135678</v>
      </c>
      <c r="C82" s="480">
        <f>+B82*$G$5</f>
        <v>284923.8</v>
      </c>
      <c r="D82" s="47">
        <f>+NGPL!D45</f>
        <v>339089.33</v>
      </c>
      <c r="E82" s="47">
        <f>+C82-D82</f>
        <v>-54165.530000000028</v>
      </c>
      <c r="F82" s="365">
        <f>+NGPL!A38</f>
        <v>37284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-3083</v>
      </c>
      <c r="C83" s="481">
        <f>+B83*$G$4</f>
        <v>-6443.4699999999993</v>
      </c>
      <c r="D83" s="47">
        <f>+PEPL!D47</f>
        <v>186709.88</v>
      </c>
      <c r="E83" s="47">
        <f>+C83-D83</f>
        <v>-193153.35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36756.829999999994</v>
      </c>
      <c r="D84" s="200">
        <f>+CIG!D49</f>
        <v>385909.31</v>
      </c>
      <c r="E84" s="70">
        <f>+C84-D84</f>
        <v>-349152.48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59458.6</v>
      </c>
      <c r="C85" s="498">
        <f>+B85*G61</f>
        <v>124863.06</v>
      </c>
      <c r="D85" s="349">
        <f>+Lonestar!D50</f>
        <v>43649.240000000005</v>
      </c>
      <c r="E85" s="349">
        <f>+C85-D85</f>
        <v>81213.819999999992</v>
      </c>
      <c r="F85" s="364">
        <f>+Lonestar!A43</f>
        <v>37284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209640.6</v>
      </c>
      <c r="C86" s="388">
        <f>SUBTOTAL(9,C82:C85)</f>
        <v>440100.22000000003</v>
      </c>
      <c r="D86" s="388">
        <f>SUBTOTAL(9,D82:D85)</f>
        <v>955357.76</v>
      </c>
      <c r="E86" s="388">
        <f>SUBTOTAL(9,E82:E85)</f>
        <v>-515257.54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524534.6</v>
      </c>
      <c r="C88" s="388">
        <f>SUBTOTAL(9,C68:C85)</f>
        <v>1099210.72</v>
      </c>
      <c r="D88" s="388">
        <f>SUBTOTAL(9,D68:D85)</f>
        <v>-668229.32000000007</v>
      </c>
      <c r="E88" s="388">
        <f>SUBTOTAL(9,E68:E85)</f>
        <v>1767440.0399999998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2834562.9499999997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1354805.6388322585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4435742</v>
      </c>
      <c r="C37" s="411">
        <f>SUM(C6:C36)</f>
        <v>4463133</v>
      </c>
      <c r="D37" s="411">
        <f>SUM(D6:D36)</f>
        <v>27391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37619</v>
      </c>
      <c r="B40" s="285"/>
      <c r="C40" s="436"/>
      <c r="D40" s="307">
        <f>+D39+D37</f>
        <v>-2819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</row>
    <row r="46" spans="1:16" x14ac:dyDescent="0.2">
      <c r="A46" s="49">
        <f>+A40</f>
        <v>37619</v>
      </c>
      <c r="B46" s="32"/>
      <c r="C46" s="32"/>
      <c r="D46" s="375">
        <f>+D37*'by type_area'!G3</f>
        <v>56699.369999999995</v>
      </c>
    </row>
    <row r="47" spans="1:16" x14ac:dyDescent="0.2">
      <c r="A47" s="32"/>
      <c r="B47" s="32"/>
      <c r="C47" s="32"/>
      <c r="D47" s="200">
        <f>+D46+D45</f>
        <v>329281.37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-30544.5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37284</v>
      </c>
      <c r="B40"/>
      <c r="C40" s="48"/>
      <c r="D40" s="138">
        <f>+D39+D38</f>
        <v>-63785.91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37284</v>
      </c>
      <c r="B46" s="32"/>
      <c r="C46" s="32"/>
      <c r="D46" s="350">
        <f>+D36</f>
        <v>-14545</v>
      </c>
    </row>
    <row r="47" spans="1:65" x14ac:dyDescent="0.2">
      <c r="A47" s="32"/>
      <c r="B47" s="32"/>
      <c r="C47" s="32"/>
      <c r="D47" s="14">
        <f>+D46+D45</f>
        <v>-32624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898267</v>
      </c>
      <c r="C5" s="90">
        <v>890978</v>
      </c>
      <c r="D5" s="90">
        <f>+C5-B5</f>
        <v>-7289</v>
      </c>
      <c r="E5" s="275"/>
      <c r="F5" s="273"/>
    </row>
    <row r="6" spans="1:13" x14ac:dyDescent="0.2">
      <c r="A6" s="87">
        <v>78311</v>
      </c>
      <c r="B6" s="90">
        <v>332066</v>
      </c>
      <c r="C6" s="90">
        <v>329852</v>
      </c>
      <c r="D6" s="90">
        <f t="shared" ref="D6:D17" si="0">+C6-B6</f>
        <v>-2214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740969</v>
      </c>
      <c r="C7" s="90">
        <v>812467</v>
      </c>
      <c r="D7" s="90">
        <f t="shared" si="0"/>
        <v>71498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831402</v>
      </c>
      <c r="C8" s="90">
        <v>767781</v>
      </c>
      <c r="D8" s="90">
        <f t="shared" si="0"/>
        <v>-63621</v>
      </c>
      <c r="E8" s="456"/>
      <c r="F8" s="273"/>
    </row>
    <row r="9" spans="1:13" x14ac:dyDescent="0.2">
      <c r="A9" s="87">
        <v>500293</v>
      </c>
      <c r="B9" s="90">
        <v>503405</v>
      </c>
      <c r="C9" s="90">
        <v>560521</v>
      </c>
      <c r="D9" s="90">
        <f t="shared" si="0"/>
        <v>57116</v>
      </c>
      <c r="E9" s="275"/>
      <c r="F9" s="273"/>
    </row>
    <row r="10" spans="1:13" x14ac:dyDescent="0.2">
      <c r="A10" s="87">
        <v>500302</v>
      </c>
      <c r="B10" s="90"/>
      <c r="C10" s="90">
        <v>8562</v>
      </c>
      <c r="D10" s="90">
        <f t="shared" si="0"/>
        <v>8562</v>
      </c>
      <c r="E10" s="275"/>
      <c r="F10" s="273"/>
    </row>
    <row r="11" spans="1:13" x14ac:dyDescent="0.2">
      <c r="A11" s="87">
        <v>500303</v>
      </c>
      <c r="B11" s="90"/>
      <c r="C11" s="90">
        <v>286966</v>
      </c>
      <c r="D11" s="90">
        <f t="shared" si="0"/>
        <v>286966</v>
      </c>
      <c r="E11" s="275"/>
      <c r="F11" s="273"/>
    </row>
    <row r="12" spans="1:13" x14ac:dyDescent="0.2">
      <c r="A12" s="91">
        <v>500305</v>
      </c>
      <c r="B12" s="90">
        <v>1443798</v>
      </c>
      <c r="C12" s="90">
        <v>1344603</v>
      </c>
      <c r="D12" s="90">
        <f t="shared" si="0"/>
        <v>-99195</v>
      </c>
      <c r="E12" s="276"/>
      <c r="F12" s="467"/>
      <c r="G12" s="90"/>
    </row>
    <row r="13" spans="1:13" x14ac:dyDescent="0.2">
      <c r="A13" s="87">
        <v>500307</v>
      </c>
      <c r="B13" s="90">
        <v>86050</v>
      </c>
      <c r="C13" s="90">
        <v>34048</v>
      </c>
      <c r="D13" s="90">
        <f t="shared" si="0"/>
        <v>-52002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205458</v>
      </c>
      <c r="C16" s="90"/>
      <c r="D16" s="90">
        <f t="shared" si="0"/>
        <v>-205458</v>
      </c>
      <c r="E16" s="275"/>
      <c r="F16" s="273"/>
    </row>
    <row r="17" spans="1:7" x14ac:dyDescent="0.2">
      <c r="A17" s="87">
        <v>500657</v>
      </c>
      <c r="B17" s="88">
        <v>149053</v>
      </c>
      <c r="C17" s="88">
        <v>189988</v>
      </c>
      <c r="D17" s="94">
        <f t="shared" si="0"/>
        <v>40935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36914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</v>
      </c>
      <c r="E19" s="277"/>
      <c r="F19" s="273"/>
    </row>
    <row r="20" spans="1:7" x14ac:dyDescent="0.2">
      <c r="A20" s="87"/>
      <c r="B20" s="88"/>
      <c r="C20" s="88"/>
      <c r="D20" s="96">
        <f>+D19*D18</f>
        <v>77519.400000000009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37284</v>
      </c>
      <c r="B24" s="88"/>
      <c r="C24" s="88"/>
      <c r="D24" s="318">
        <f>+D22+D20</f>
        <v>118128.66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37284</v>
      </c>
      <c r="B30" s="32"/>
      <c r="C30" s="32"/>
      <c r="D30" s="350">
        <f>+D18</f>
        <v>36914</v>
      </c>
    </row>
    <row r="31" spans="1:7" x14ac:dyDescent="0.2">
      <c r="A31" s="32"/>
      <c r="B31" s="32"/>
      <c r="C31" s="32"/>
      <c r="D31" s="14">
        <f>+D30+D29</f>
        <v>68620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33" sqref="C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997573</v>
      </c>
      <c r="C35" s="11">
        <f>SUM(C4:C34)</f>
        <v>1015052</v>
      </c>
      <c r="D35" s="11">
        <f>SUM(D4:D34)</f>
        <v>880117</v>
      </c>
      <c r="E35" s="11">
        <f>SUM(E4:E34)</f>
        <v>867121</v>
      </c>
      <c r="F35" s="11">
        <f>+E35-D35+C35-B35</f>
        <v>4483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2.09</v>
      </c>
    </row>
    <row r="38" spans="1:7" x14ac:dyDescent="0.2">
      <c r="C38" s="48"/>
      <c r="D38" s="47"/>
      <c r="E38" s="48"/>
      <c r="F38" s="46">
        <f>+F37*F35</f>
        <v>9369.4699999999993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37285</v>
      </c>
      <c r="C41" s="106"/>
      <c r="D41" s="106"/>
      <c r="E41" s="106"/>
      <c r="F41" s="106">
        <f>+F38+F40</f>
        <v>469796.16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37285</v>
      </c>
      <c r="D47" s="350">
        <f>+F35</f>
        <v>4483</v>
      </c>
      <c r="E47" s="11"/>
      <c r="F47" s="11"/>
      <c r="G47" s="25"/>
    </row>
    <row r="48" spans="1:7" x14ac:dyDescent="0.2">
      <c r="D48" s="14">
        <f>+D47+D46</f>
        <v>22450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39" sqref="C3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">
      <c r="A35" s="10">
        <v>28</v>
      </c>
      <c r="B35" s="11">
        <v>87998</v>
      </c>
      <c r="C35" s="11">
        <v>87822</v>
      </c>
      <c r="D35" s="11">
        <f t="shared" si="0"/>
        <v>-176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2605118</v>
      </c>
      <c r="C39" s="11">
        <f>SUM(C8:C38)</f>
        <v>2613383</v>
      </c>
      <c r="D39" s="11">
        <f>SUM(D8:D38)</f>
        <v>8265</v>
      </c>
      <c r="E39" s="10"/>
      <c r="F39" s="11"/>
      <c r="G39" s="11"/>
      <c r="H39" s="11"/>
    </row>
    <row r="40" spans="1:8" x14ac:dyDescent="0.2">
      <c r="A40" s="26"/>
      <c r="D40" s="75">
        <f>+summary!G4</f>
        <v>2.09</v>
      </c>
      <c r="E40" s="26"/>
      <c r="H40" s="75"/>
    </row>
    <row r="41" spans="1:8" x14ac:dyDescent="0.2">
      <c r="D41" s="195">
        <f>+D40*D39</f>
        <v>17273.849999999999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37284</v>
      </c>
      <c r="D43" s="196">
        <f>+D42+D41</f>
        <v>30094.85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37284</v>
      </c>
      <c r="B49" s="32"/>
      <c r="C49" s="32"/>
      <c r="D49" s="350">
        <f>+D39</f>
        <v>8265</v>
      </c>
    </row>
    <row r="50" spans="1:4" x14ac:dyDescent="0.2">
      <c r="A50" s="32"/>
      <c r="B50" s="32"/>
      <c r="C50" s="32"/>
      <c r="D50" s="14">
        <f>+D49+D48</f>
        <v>-41517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-17944.5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1513325.06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2.09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2.1</v>
      </c>
      <c r="C47" s="199">
        <f>+B47*B46</f>
        <v>11545.800000000001</v>
      </c>
      <c r="H47" s="381"/>
      <c r="I47" s="14"/>
    </row>
    <row r="48" spans="1:9" x14ac:dyDescent="0.2">
      <c r="C48" s="321">
        <f>+C47+C40</f>
        <v>853922.59000000008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2739618.8</v>
      </c>
      <c r="I57" s="14">
        <f>SUM(I40:I54)</f>
        <v>735681</v>
      </c>
    </row>
    <row r="61" spans="1:9" x14ac:dyDescent="0.2">
      <c r="C61" s="15">
        <f>+DEFS!F49</f>
        <v>-2816310.38</v>
      </c>
    </row>
    <row r="62" spans="1:9" x14ac:dyDescent="0.2">
      <c r="C62" s="15">
        <f>+C61+C57</f>
        <v>-76691.580000000075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E32" sqref="E32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-42203.700000000004</v>
      </c>
    </row>
    <row r="38" spans="1:13" x14ac:dyDescent="0.2">
      <c r="C38" s="138">
        <f>+C37*C36</f>
        <v>0</v>
      </c>
      <c r="E38" s="136">
        <f>+E37*E36</f>
        <v>-42203.700000000004</v>
      </c>
      <c r="F38" s="138">
        <f>+E38+C38</f>
        <v>-42203.700000000004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-614054.03999999992</v>
      </c>
      <c r="F40" s="314">
        <f>+E40+C40</f>
        <v>-1647474.0499999998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-2816310.38</v>
      </c>
      <c r="G49" s="246"/>
      <c r="K49" s="14">
        <f>SUM(K36:K48)</f>
        <v>-443438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2739618.8</v>
      </c>
      <c r="M51" s="14">
        <f>+Duke!I57</f>
        <v>735681</v>
      </c>
    </row>
    <row r="53" spans="3:13" x14ac:dyDescent="0.2">
      <c r="F53" s="104">
        <f>+F51+F49</f>
        <v>-76691.580000000075</v>
      </c>
      <c r="M53" s="16">
        <f>+M51+K49</f>
        <v>292243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-148694</v>
      </c>
      <c r="C74" s="247">
        <f>+E40</f>
        <v>-614054.03999999992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853922.59000000008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1513325.06</v>
      </c>
    </row>
    <row r="81" spans="2:3" x14ac:dyDescent="0.2">
      <c r="B81" s="31">
        <f>SUM(B68:B80)</f>
        <v>292243</v>
      </c>
      <c r="C81" s="259">
        <f>SUM(C68:C80)</f>
        <v>-76691.580000000075</v>
      </c>
    </row>
    <row r="82" spans="2:3" x14ac:dyDescent="0.2">
      <c r="C82">
        <f>+C81/B81</f>
        <v>-0.26242401015593214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5559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-1727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155071</v>
      </c>
      <c r="C39" s="11">
        <f t="shared" si="1"/>
        <v>142745</v>
      </c>
      <c r="D39" s="11">
        <f t="shared" si="1"/>
        <v>15493</v>
      </c>
      <c r="E39" s="11">
        <f t="shared" si="1"/>
        <v>13469</v>
      </c>
      <c r="F39" s="129">
        <f t="shared" si="1"/>
        <v>26677</v>
      </c>
      <c r="G39" s="11">
        <f t="shared" si="1"/>
        <v>24206</v>
      </c>
      <c r="H39" s="11">
        <f t="shared" si="1"/>
        <v>41253</v>
      </c>
      <c r="I39" s="11">
        <f t="shared" si="1"/>
        <v>31444</v>
      </c>
      <c r="J39" s="25">
        <f t="shared" si="1"/>
        <v>-26630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-55656.7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37284</v>
      </c>
      <c r="C43" s="48"/>
      <c r="J43" s="138">
        <f>+J42+J41</f>
        <v>351243.22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37284</v>
      </c>
      <c r="B48" s="32"/>
      <c r="C48" s="32"/>
      <c r="D48" s="350">
        <f>+J39</f>
        <v>-26630</v>
      </c>
      <c r="L48"/>
    </row>
    <row r="49" spans="1:12" x14ac:dyDescent="0.2">
      <c r="A49" s="32"/>
      <c r="B49" s="32"/>
      <c r="C49" s="32"/>
      <c r="D49" s="14">
        <f>+D48+D47</f>
        <v>140338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B36" sqref="B3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-30599.69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37284</v>
      </c>
      <c r="B43" s="285"/>
      <c r="C43" s="436"/>
      <c r="D43" s="436"/>
      <c r="E43" s="436"/>
      <c r="F43" s="417">
        <f>+F42+F41</f>
        <v>149590.13999999998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37284</v>
      </c>
      <c r="B48" s="32"/>
      <c r="C48" s="32"/>
      <c r="D48" s="350">
        <f>+F39</f>
        <v>-14641</v>
      </c>
      <c r="E48" s="11"/>
    </row>
    <row r="49" spans="1:5" x14ac:dyDescent="0.2">
      <c r="A49" s="32"/>
      <c r="B49" s="32"/>
      <c r="C49" s="32"/>
      <c r="D49" s="14">
        <f>+D48+D47</f>
        <v>-369560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6" workbookViewId="0">
      <selection activeCell="C53" sqref="C53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2.0699999999999998</v>
      </c>
      <c r="J3" s="374">
        <f ca="1">NOW()</f>
        <v>41885.68263935185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2.09</v>
      </c>
    </row>
    <row r="5" spans="1:33" ht="15" customHeight="1" x14ac:dyDescent="0.2">
      <c r="B5" s="592"/>
      <c r="F5" s="588" t="s">
        <v>117</v>
      </c>
      <c r="G5" s="589">
        <f>+'[3]1001'!$E$39</f>
        <v>2.1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1513325.06</v>
      </c>
      <c r="C8" s="206">
        <f>+B8/$G$5</f>
        <v>720630.98095238092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1226293.74</v>
      </c>
      <c r="C9" s="206">
        <f>+B9/$G$5</f>
        <v>583949.4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798418.98</v>
      </c>
      <c r="C10" s="275">
        <f>+B10/$G$4</f>
        <v>382018.65071770339</v>
      </c>
      <c r="D10" s="365">
        <f>+PNM!A23</f>
        <v>37284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469796.16</v>
      </c>
      <c r="C11" s="275">
        <f>+B11/$G$4</f>
        <v>224782.85167464116</v>
      </c>
      <c r="D11" s="364">
        <f>+Conoco!A41</f>
        <v>37285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375188.44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351243.22</v>
      </c>
      <c r="C13" s="275">
        <f>+B13/$G$4</f>
        <v>168058.95693779906</v>
      </c>
      <c r="D13" s="365">
        <f>+mewborne!A43</f>
        <v>37284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304457.31000000006</v>
      </c>
      <c r="C14" s="275">
        <f>+B14/$G$4</f>
        <v>145673.35406698569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284923.8</v>
      </c>
      <c r="C15" s="275">
        <f>+NGPL!F38</f>
        <v>135678</v>
      </c>
      <c r="D15" s="365">
        <f>+NGPL!A38</f>
        <v>37284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-76691.580000000075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174876.68000000002</v>
      </c>
      <c r="C16" s="275">
        <f>+B16/$G$5</f>
        <v>83274.609523809529</v>
      </c>
      <c r="D16" s="365">
        <f>+Dominion!A41</f>
        <v>37284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194194.43999999997</v>
      </c>
      <c r="C17" s="206">
        <f>+SoCal!F40</f>
        <v>92916</v>
      </c>
      <c r="D17" s="364">
        <f>+SoCal!A40</f>
        <v>37285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210</v>
      </c>
      <c r="B18" s="346">
        <f>+Devon!D41</f>
        <v>150588.78999999998</v>
      </c>
      <c r="C18" s="275">
        <f>+B18/$G$5</f>
        <v>71708.947619047613</v>
      </c>
      <c r="D18" s="365">
        <f>+Devon!A41</f>
        <v>37284</v>
      </c>
      <c r="E18" s="32" t="s">
        <v>85</v>
      </c>
      <c r="F18" s="32" t="s">
        <v>324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</v>
      </c>
      <c r="B19" s="346">
        <f>+'Amoco Abo'!$F$43</f>
        <v>149590.13999999998</v>
      </c>
      <c r="C19" s="275">
        <f>+B19/$G$4</f>
        <v>71574.229665071762</v>
      </c>
      <c r="D19" s="365">
        <f>+'Amoco Abo'!A43</f>
        <v>37284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31</v>
      </c>
      <c r="B20" s="346">
        <f>+C20*$G$5</f>
        <v>124863.06</v>
      </c>
      <c r="C20" s="275">
        <f>+Lonestar!F43</f>
        <v>59458.6</v>
      </c>
      <c r="D20" s="364">
        <f>+Lonestar!A43</f>
        <v>37284</v>
      </c>
      <c r="E20" s="32" t="s">
        <v>84</v>
      </c>
      <c r="F20" s="32" t="s">
        <v>324</v>
      </c>
      <c r="G20" s="32" t="s">
        <v>102</v>
      </c>
      <c r="H20" s="32" t="s">
        <v>309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118128.66</v>
      </c>
      <c r="C21" s="464">
        <f>+B21/$G$4</f>
        <v>56520.889952153113</v>
      </c>
      <c r="D21" s="463">
        <f>+Agave!A24</f>
        <v>37284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330</v>
      </c>
      <c r="B22" s="346">
        <f>+Plains!$N$43</f>
        <v>107948.28</v>
      </c>
      <c r="C22" s="206">
        <f>+B22/$G$4</f>
        <v>51649.894736842107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91537.829999999987</v>
      </c>
      <c r="C23" s="275">
        <f>+B23/$G$4</f>
        <v>43798.004784688994</v>
      </c>
      <c r="D23" s="365">
        <f>+Amarillo!A41</f>
        <v>37284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74485.12999999999</v>
      </c>
      <c r="C24" s="206">
        <f>+B24/$G$5</f>
        <v>35469.109523809515</v>
      </c>
      <c r="D24" s="364">
        <f>+EPFS!A41</f>
        <v>37284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87</v>
      </c>
      <c r="B25" s="346">
        <f>+NNG!$D$24</f>
        <v>71661.899999999994</v>
      </c>
      <c r="C25" s="275">
        <f>+B25/$G$4</f>
        <v>34287.990430622012</v>
      </c>
      <c r="D25" s="364">
        <f>+NNG!A24</f>
        <v>37284</v>
      </c>
      <c r="E25" s="204" t="s">
        <v>85</v>
      </c>
      <c r="F25" s="204" t="s">
        <v>323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57046.549999999996</v>
      </c>
      <c r="C26" s="206">
        <f>+'PG&amp;E'!D40</f>
        <v>27295</v>
      </c>
      <c r="D26" s="365">
        <f>+'PG&amp;E'!A40</f>
        <v>37285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204" t="s">
        <v>28</v>
      </c>
      <c r="B27" s="346">
        <f>+C27*$G$3</f>
        <v>52184.7</v>
      </c>
      <c r="C27" s="275">
        <f>+williams!J40</f>
        <v>25210</v>
      </c>
      <c r="D27" s="364">
        <f>+williams!A40</f>
        <v>37284</v>
      </c>
      <c r="E27" s="204" t="s">
        <v>85</v>
      </c>
      <c r="F27" s="204" t="s">
        <v>154</v>
      </c>
      <c r="G27" s="204" t="s">
        <v>313</v>
      </c>
      <c r="H27" s="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23</v>
      </c>
      <c r="B28" s="346">
        <f>+C28*$G$3</f>
        <v>49009.32</v>
      </c>
      <c r="C28" s="348">
        <f>+'Red C'!$F$45</f>
        <v>23676</v>
      </c>
      <c r="D28" s="364">
        <f>+'Red C'!A45</f>
        <v>37284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204" t="s">
        <v>109</v>
      </c>
      <c r="B29" s="346">
        <f>+Continental!F43</f>
        <v>35200.410000000003</v>
      </c>
      <c r="C29" s="206">
        <f>+B29/$G$4</f>
        <v>16842.301435406702</v>
      </c>
      <c r="D29" s="364">
        <f>+Continental!A43</f>
        <v>37285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131</v>
      </c>
      <c r="B30" s="346">
        <f>+SidR!D41</f>
        <v>42810.350000000006</v>
      </c>
      <c r="C30" s="275">
        <f>+B30/$G$5</f>
        <v>20385.880952380954</v>
      </c>
      <c r="D30" s="365">
        <f>+SidR!A41</f>
        <v>37284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110</v>
      </c>
      <c r="B31" s="346">
        <f>+C31*$G$4</f>
        <v>36756.829999999994</v>
      </c>
      <c r="C31" s="275">
        <f>+CIG!D42</f>
        <v>17587</v>
      </c>
      <c r="D31" s="365">
        <f>+CIG!A42</f>
        <v>37278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302</v>
      </c>
      <c r="B32" s="346">
        <f>+'WTG inc'!N43</f>
        <v>34183.950000000004</v>
      </c>
      <c r="C32" s="275">
        <f>+B32/$G$4</f>
        <v>16355.956937799047</v>
      </c>
      <c r="D32" s="365">
        <f>+'WTG inc'!A43</f>
        <v>37282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">
      <c r="A33" s="32" t="s">
        <v>320</v>
      </c>
      <c r="B33" s="346">
        <f>+Stratland!$D$41</f>
        <v>33946.369999999995</v>
      </c>
      <c r="C33" s="275">
        <f>+B33/$G$4</f>
        <v>16242.282296650717</v>
      </c>
      <c r="D33" s="364">
        <f>+Stratland!A41</f>
        <v>37271</v>
      </c>
      <c r="E33" s="32" t="s">
        <v>85</v>
      </c>
      <c r="F33" s="32" t="s">
        <v>323</v>
      </c>
      <c r="G33" s="32" t="s">
        <v>102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">
      <c r="A34" s="204" t="s">
        <v>71</v>
      </c>
      <c r="B34" s="347">
        <f>+transcol!$D$43</f>
        <v>30094.85</v>
      </c>
      <c r="C34" s="348">
        <f>+B34/$G$4</f>
        <v>14399.44976076555</v>
      </c>
      <c r="D34" s="364">
        <f>+transcol!A43</f>
        <v>37284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">
      <c r="A35" s="32" t="s">
        <v>103</v>
      </c>
      <c r="B35" s="346">
        <f>+EOG!$J$41</f>
        <v>26514.649999999998</v>
      </c>
      <c r="C35" s="275">
        <f>+B35/$G$4</f>
        <v>12686.435406698565</v>
      </c>
      <c r="D35" s="364">
        <f>+EOG!A41</f>
        <v>37282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139</v>
      </c>
      <c r="B36" s="346">
        <f>+'Citizens-Griffith'!D41</f>
        <v>12928.090000000011</v>
      </c>
      <c r="C36" s="275">
        <f>+B36/$G$4</f>
        <v>6185.6889952153169</v>
      </c>
      <c r="D36" s="364">
        <f>+'Citizens-Griffith'!A41</f>
        <v>37284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7356.6900000000023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6999554.3800000008</v>
      </c>
      <c r="C38" s="69">
        <f>SUM(C8:C37)</f>
        <v>3340765.4663704718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-2816310.38</v>
      </c>
      <c r="C41" s="348">
        <f>+B41/$G$5</f>
        <v>-1341100.1809523809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-549423.96000000008</v>
      </c>
      <c r="C42" s="206">
        <f>+B42/$G$4</f>
        <v>-262882.27751196176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-292580.41000000003</v>
      </c>
      <c r="C43" s="206">
        <f>+B43/$G$4</f>
        <v>-139990.62679425839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-97017.171428571426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-124006.95999999999</v>
      </c>
      <c r="C45" s="206">
        <f>+B45/$G$4</f>
        <v>-59333.473684210527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-63785.91</v>
      </c>
      <c r="C46" s="206">
        <f>+B46/$G$5</f>
        <v>-30374.242857142857</v>
      </c>
      <c r="D46" s="365">
        <f>+Oasis!A40</f>
        <v>37284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204" t="s">
        <v>204</v>
      </c>
      <c r="B47" s="347">
        <f>+WTGmktg!J43</f>
        <v>-35818.300000000003</v>
      </c>
      <c r="C47" s="206">
        <f>+B47/$G$4</f>
        <v>-17137.94258373206</v>
      </c>
      <c r="D47" s="364">
        <f>+WTGmktg!A43</f>
        <v>37282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297</v>
      </c>
      <c r="B48" s="346">
        <f>+SWGasTrans!$D$41</f>
        <v>-20388.41</v>
      </c>
      <c r="C48" s="275">
        <f>+B48/$G$4</f>
        <v>-9755.2200956937813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127</v>
      </c>
      <c r="B50" s="346">
        <f>+Calpine!D41</f>
        <v>-13160.909999999974</v>
      </c>
      <c r="C50" s="206">
        <f>+B50/$G$4</f>
        <v>-6297.0861244019025</v>
      </c>
      <c r="D50" s="364">
        <f>+Calpine!A41</f>
        <v>37285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95</v>
      </c>
      <c r="B51" s="346">
        <f>+burlington!D42</f>
        <v>-12490.94999999999</v>
      </c>
      <c r="C51" s="275">
        <f>+B51/$G$3</f>
        <v>-6034.2753623188364</v>
      </c>
      <c r="D51" s="364">
        <f>+burlington!A42</f>
        <v>37285</v>
      </c>
      <c r="E51" s="204" t="s">
        <v>85</v>
      </c>
      <c r="F51" s="32" t="s">
        <v>154</v>
      </c>
      <c r="G51" s="32" t="s">
        <v>113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142</v>
      </c>
      <c r="B52" s="347">
        <f>+C52*$G$4</f>
        <v>-6443.4699999999993</v>
      </c>
      <c r="C52" s="348">
        <f>+PEPL!D41</f>
        <v>-3083</v>
      </c>
      <c r="D52" s="364">
        <f>+PEPL!A41</f>
        <v>37285</v>
      </c>
      <c r="E52" s="204" t="s">
        <v>84</v>
      </c>
      <c r="F52" s="204" t="s">
        <v>324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32" t="s">
        <v>311</v>
      </c>
      <c r="B53" s="346">
        <f>+C53*$G$3</f>
        <v>-5835.33</v>
      </c>
      <c r="C53" s="275">
        <f>+Amoco!D40</f>
        <v>-2819</v>
      </c>
      <c r="D53" s="365">
        <f>+Amoco!A40</f>
        <v>37619</v>
      </c>
      <c r="E53" s="32" t="s">
        <v>84</v>
      </c>
      <c r="F53" s="32" t="s">
        <v>153</v>
      </c>
      <c r="G53" s="32" t="s">
        <v>115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147</v>
      </c>
      <c r="B54" s="349">
        <f>+PGETX!$H$39</f>
        <v>-3160.7700000000041</v>
      </c>
      <c r="C54" s="71">
        <f>+B54/$G$4</f>
        <v>-1512.330143540672</v>
      </c>
      <c r="D54" s="365">
        <f>+PGETX!E39</f>
        <v>37284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SUM(B41:B54)</f>
        <v>-4164991.4300000006</v>
      </c>
      <c r="C55" s="206">
        <f>SUM(C41:C54)</f>
        <v>-1985959.8275382132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2834562.95</v>
      </c>
      <c r="C57" s="355">
        <f>+C55+C38</f>
        <v>1354805.6388322585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-918930</v>
      </c>
      <c r="C7" s="80">
        <v>-326416</v>
      </c>
      <c r="D7" s="80">
        <f t="shared" si="0"/>
        <v>592514</v>
      </c>
    </row>
    <row r="8" spans="1:4" x14ac:dyDescent="0.2">
      <c r="A8" s="32">
        <v>60667</v>
      </c>
      <c r="B8" s="309">
        <v>-167161</v>
      </c>
      <c r="C8" s="80">
        <v>-1055729</v>
      </c>
      <c r="D8" s="80">
        <f t="shared" si="0"/>
        <v>-888568</v>
      </c>
    </row>
    <row r="9" spans="1:4" x14ac:dyDescent="0.2">
      <c r="A9" s="32">
        <v>60749</v>
      </c>
      <c r="B9" s="309">
        <v>91003</v>
      </c>
      <c r="C9" s="80">
        <v>-190839</v>
      </c>
      <c r="D9" s="80">
        <f t="shared" si="0"/>
        <v>-281842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-301341</v>
      </c>
      <c r="C11" s="80"/>
      <c r="D11" s="80">
        <f t="shared" si="0"/>
        <v>301341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12660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26459.399999999998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37284</v>
      </c>
      <c r="B24" s="69"/>
      <c r="C24" s="69"/>
      <c r="D24" s="332">
        <f>+D22+D20</f>
        <v>71661.899999999994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37284</v>
      </c>
      <c r="D33" s="350">
        <f>+D18</f>
        <v>12660</v>
      </c>
    </row>
    <row r="34" spans="1:4" x14ac:dyDescent="0.2">
      <c r="D34" s="14">
        <f>+D33+D32</f>
        <v>32750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-97412</v>
      </c>
      <c r="C5" s="90">
        <v>-69596</v>
      </c>
      <c r="D5" s="90">
        <f t="shared" ref="D5:D13" si="0">+C5-B5</f>
        <v>27816</v>
      </c>
      <c r="E5" s="69"/>
      <c r="F5" s="201"/>
    </row>
    <row r="6" spans="1:13" x14ac:dyDescent="0.2">
      <c r="A6" s="87">
        <v>9238</v>
      </c>
      <c r="B6" s="90">
        <v>-13772</v>
      </c>
      <c r="C6" s="90">
        <v>-28000</v>
      </c>
      <c r="D6" s="90">
        <f t="shared" si="0"/>
        <v>-14228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-2710134</v>
      </c>
      <c r="C7" s="90">
        <v>-2720701</v>
      </c>
      <c r="D7" s="90">
        <f t="shared" si="0"/>
        <v>-10567</v>
      </c>
      <c r="E7" s="275"/>
      <c r="F7" s="201"/>
    </row>
    <row r="8" spans="1:13" x14ac:dyDescent="0.2">
      <c r="A8" s="87">
        <v>58710</v>
      </c>
      <c r="B8" s="90">
        <v>-190943</v>
      </c>
      <c r="C8" s="90">
        <v>-196910</v>
      </c>
      <c r="D8" s="90">
        <f t="shared" si="0"/>
        <v>-5967</v>
      </c>
      <c r="E8" s="275"/>
      <c r="F8" s="201"/>
    </row>
    <row r="9" spans="1:13" x14ac:dyDescent="0.2">
      <c r="A9" s="87">
        <v>60921</v>
      </c>
      <c r="B9" s="90">
        <v>-1295068</v>
      </c>
      <c r="C9" s="90">
        <v>-1259734</v>
      </c>
      <c r="D9" s="90">
        <f t="shared" si="0"/>
        <v>35334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-66682</v>
      </c>
      <c r="C11" s="90">
        <v>-84000</v>
      </c>
      <c r="D11" s="90">
        <f t="shared" si="0"/>
        <v>-17318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-99017</v>
      </c>
      <c r="C13" s="90">
        <v>-112000</v>
      </c>
      <c r="D13" s="90">
        <f t="shared" si="0"/>
        <v>-12983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15074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2.09</v>
      </c>
      <c r="E18" s="277"/>
      <c r="F18" s="467"/>
    </row>
    <row r="19" spans="1:7" x14ac:dyDescent="0.2">
      <c r="A19" s="87"/>
      <c r="B19" s="88"/>
      <c r="C19" s="88"/>
      <c r="D19" s="96">
        <f>+D18*D17</f>
        <v>31504.659999999996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37284</v>
      </c>
      <c r="B23" s="88"/>
      <c r="C23" s="88"/>
      <c r="D23" s="318">
        <f>+D21+D19</f>
        <v>798418.98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37284</v>
      </c>
      <c r="B29" s="32"/>
      <c r="C29" s="32"/>
      <c r="D29" s="350">
        <f>+D17</f>
        <v>15074</v>
      </c>
    </row>
    <row r="30" spans="1:7" x14ac:dyDescent="0.2">
      <c r="A30" s="32"/>
      <c r="B30" s="32"/>
      <c r="C30" s="32"/>
      <c r="D30" s="14">
        <f>+D29+D28</f>
        <v>322396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F37" sqref="F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1268579</v>
      </c>
      <c r="C34" s="287">
        <f>SUM(C3:C33)</f>
        <v>1279491</v>
      </c>
      <c r="D34" s="14">
        <f>SUM(D3:D33)</f>
        <v>-199425</v>
      </c>
      <c r="E34" s="14">
        <f>SUM(E3:E33)</f>
        <v>-189900</v>
      </c>
      <c r="F34" s="14">
        <f>SUM(F3:F33)</f>
        <v>20437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37284</v>
      </c>
      <c r="B38" s="14"/>
      <c r="C38" s="14"/>
      <c r="D38" s="14"/>
      <c r="E38" s="14"/>
      <c r="F38" s="150">
        <f>+F37+F34</f>
        <v>135678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37284</v>
      </c>
      <c r="B44" s="32"/>
      <c r="C44" s="32"/>
      <c r="D44" s="375">
        <f>+F34*'by type_area'!G4</f>
        <v>42713.329999999994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339089.33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37285</v>
      </c>
      <c r="D40" s="51">
        <f>+D38+D35</f>
        <v>179516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37285</v>
      </c>
      <c r="B46" s="32"/>
      <c r="C46" s="32"/>
      <c r="D46" s="375">
        <f>+D35*'by type_area'!G4</f>
        <v>-15271.63</v>
      </c>
    </row>
    <row r="47" spans="1:4" x14ac:dyDescent="0.2">
      <c r="A47" s="32"/>
      <c r="B47" s="32"/>
      <c r="C47" s="32"/>
      <c r="D47" s="200">
        <f>+D46+D45</f>
        <v>184541.37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21978.44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37282</v>
      </c>
      <c r="J41" s="319">
        <f>+J39+J37</f>
        <v>26514.649999999998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-113512.07999999999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304457.31000000006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151471.29850746272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7" sqref="E3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">
      <c r="A36" s="10">
        <v>29</v>
      </c>
      <c r="B36" s="11"/>
      <c r="C36" s="11"/>
      <c r="D36" s="11">
        <v>5374</v>
      </c>
      <c r="E36" s="11">
        <v>3000</v>
      </c>
      <c r="F36" s="25">
        <f t="shared" si="0"/>
        <v>-2374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38751</v>
      </c>
      <c r="E39" s="11">
        <f>SUM(E8:E38)</f>
        <v>39200</v>
      </c>
      <c r="F39" s="25">
        <f>SUM(F8:F38)</f>
        <v>449</v>
      </c>
    </row>
    <row r="40" spans="1:6" x14ac:dyDescent="0.2">
      <c r="A40" s="26"/>
      <c r="C40" s="14"/>
      <c r="F40" s="253">
        <f>+summary!G4</f>
        <v>2.09</v>
      </c>
    </row>
    <row r="41" spans="1:6" x14ac:dyDescent="0.2">
      <c r="F41" s="138">
        <f>+F40*F39</f>
        <v>938.41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37285</v>
      </c>
      <c r="C43" s="48"/>
      <c r="F43" s="138">
        <f>+F42+F41</f>
        <v>35200.410000000003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37285</v>
      </c>
      <c r="B49" s="32"/>
      <c r="C49" s="32"/>
      <c r="D49" s="350">
        <f>+F39</f>
        <v>449</v>
      </c>
    </row>
    <row r="50" spans="1:4" x14ac:dyDescent="0.2">
      <c r="A50" s="32"/>
      <c r="B50" s="32"/>
      <c r="C50" s="32"/>
      <c r="D50" s="14">
        <f>+D49+D48</f>
        <v>1197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2631.31</v>
      </c>
    </row>
    <row r="49" spans="1:4" x14ac:dyDescent="0.2">
      <c r="A49" s="32"/>
      <c r="B49" s="32"/>
      <c r="C49" s="32"/>
      <c r="D49" s="200">
        <f>+D48+D47</f>
        <v>385909.31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-1961552</v>
      </c>
      <c r="I19" s="119">
        <f>+C37</f>
        <v>-2053484</v>
      </c>
      <c r="J19" s="119">
        <f>+I19-H19</f>
        <v>-91932</v>
      </c>
      <c r="K19" s="412">
        <f>+D38</f>
        <v>2.09</v>
      </c>
      <c r="L19" s="417">
        <f>+K19*J19</f>
        <v>-192137.87999999998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38560</v>
      </c>
      <c r="K24" s="408"/>
      <c r="L24" s="110">
        <f>+L19+L17</f>
        <v>-110452.78000000014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-52848.220095693854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-1961552</v>
      </c>
      <c r="C37" s="11">
        <f>SUM(C6:C36)</f>
        <v>-2053484</v>
      </c>
      <c r="D37" s="25">
        <f>SUM(D6:D36)</f>
        <v>-91932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-192137.87999999998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37285</v>
      </c>
      <c r="C41" s="48"/>
      <c r="D41" s="138">
        <f>+D40+D39</f>
        <v>-13160.909999999974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37285</v>
      </c>
      <c r="B46" s="32"/>
      <c r="C46" s="32"/>
      <c r="D46" s="350">
        <f>+D37</f>
        <v>-91932</v>
      </c>
    </row>
    <row r="47" spans="1:4" x14ac:dyDescent="0.2">
      <c r="A47" s="32"/>
      <c r="B47" s="32"/>
      <c r="C47" s="32"/>
      <c r="D47" s="14">
        <f>+D46+D45</f>
        <v>81214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857410</v>
      </c>
      <c r="C37" s="11">
        <f>SUM(C6:C36)</f>
        <v>852402</v>
      </c>
      <c r="D37" s="25">
        <f>SUM(D6:D36)</f>
        <v>-5008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-10516.800000000001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37284</v>
      </c>
      <c r="C41" s="48"/>
      <c r="D41" s="138">
        <f>+D40+D39</f>
        <v>74485.12999999999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37284</v>
      </c>
      <c r="B46" s="32"/>
      <c r="C46" s="32"/>
      <c r="D46" s="350">
        <f>+D37</f>
        <v>-5008</v>
      </c>
    </row>
    <row r="47" spans="1:4" x14ac:dyDescent="0.2">
      <c r="A47" s="32"/>
      <c r="B47" s="32"/>
      <c r="C47" s="32"/>
      <c r="D47" s="14">
        <f>+D46+D45</f>
        <v>49573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2" sqref="E3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8411564</v>
      </c>
      <c r="C35" s="11">
        <f t="shared" ref="C35:I35" si="3">SUM(C4:C34)</f>
        <v>8415987</v>
      </c>
      <c r="D35" s="11">
        <f t="shared" si="3"/>
        <v>1100437</v>
      </c>
      <c r="E35" s="11">
        <f t="shared" si="3"/>
        <v>1105163</v>
      </c>
      <c r="F35" s="11">
        <f t="shared" si="3"/>
        <v>1191333</v>
      </c>
      <c r="G35" s="11">
        <f t="shared" si="3"/>
        <v>1287585</v>
      </c>
      <c r="H35" s="11">
        <f t="shared" si="3"/>
        <v>3648832</v>
      </c>
      <c r="I35" s="11">
        <f t="shared" si="3"/>
        <v>3568641</v>
      </c>
      <c r="J35" s="11">
        <f>SUM(J4:J34)</f>
        <v>25210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37284</v>
      </c>
      <c r="J40" s="51">
        <f>+J38+J35</f>
        <v>25210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37284</v>
      </c>
      <c r="B47" s="32"/>
      <c r="C47" s="32"/>
      <c r="D47" s="375">
        <f>+J35*'by type_area'!G3</f>
        <v>52184.7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52184.7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1304688</v>
      </c>
      <c r="C37" s="11">
        <f>SUM(C6:C36)</f>
        <v>1305676</v>
      </c>
      <c r="D37" s="25">
        <f>SUM(D6:D36)</f>
        <v>988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2074.8000000000002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37284</v>
      </c>
      <c r="C41" s="48"/>
      <c r="D41" s="138">
        <f>+D40+D39</f>
        <v>42810.350000000006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37284</v>
      </c>
      <c r="B47" s="32"/>
      <c r="C47" s="32"/>
      <c r="D47" s="350">
        <f>+D37</f>
        <v>988</v>
      </c>
    </row>
    <row r="48" spans="1:4" x14ac:dyDescent="0.2">
      <c r="A48" s="32"/>
      <c r="B48" s="32"/>
      <c r="C48" s="32"/>
      <c r="D48" s="14">
        <f>+D47+D46</f>
        <v>20244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A32" sqref="A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63224.59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37284</v>
      </c>
      <c r="C41" s="48"/>
      <c r="D41" s="138">
        <f>+D40+D39</f>
        <v>-292580.41000000003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37284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-412482</v>
      </c>
      <c r="C37" s="11">
        <f>SUM(C6:C36)</f>
        <v>-438709</v>
      </c>
      <c r="D37" s="25">
        <f>SUM(D6:D36)</f>
        <v>-26227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-54814.429999999993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37284</v>
      </c>
      <c r="C41" s="48"/>
      <c r="D41" s="138">
        <f>+D40+D39</f>
        <v>12928.090000000011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37284</v>
      </c>
      <c r="B47" s="32"/>
      <c r="C47" s="32"/>
      <c r="D47" s="350">
        <f>+D37</f>
        <v>-26227</v>
      </c>
    </row>
    <row r="48" spans="1:4" x14ac:dyDescent="0.2">
      <c r="A48" s="32"/>
      <c r="B48" s="32"/>
      <c r="C48" s="32"/>
      <c r="D48" s="14">
        <f>+D47+D46</f>
        <v>9924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">
      <c r="A14" s="87"/>
      <c r="B14" s="88"/>
      <c r="C14" s="88"/>
      <c r="D14" s="96">
        <f>+D13*D12</f>
        <v>-11731.17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-549423.96000000008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37285</v>
      </c>
      <c r="C41" s="48"/>
      <c r="D41" s="25">
        <f>+D40+D37</f>
        <v>-3083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37285</v>
      </c>
      <c r="B46" s="32"/>
      <c r="C46" s="32"/>
      <c r="D46" s="375">
        <f>+D37*'by type_area'!G4</f>
        <v>23474.879999999997</v>
      </c>
    </row>
    <row r="47" spans="1:4" x14ac:dyDescent="0.2">
      <c r="A47" s="32"/>
      <c r="B47" s="32"/>
      <c r="C47" s="32"/>
      <c r="D47" s="200">
        <f>+D46+D45</f>
        <v>186709.88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-277.96999999999997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37282</v>
      </c>
      <c r="J43" s="319">
        <f>+J41+J39</f>
        <v>-35818.300000000003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2495.46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37282</v>
      </c>
      <c r="N43" s="319">
        <f>+N41+N39</f>
        <v>34183.950000000004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6663</v>
      </c>
      <c r="C37" s="11">
        <f>SUM(C6:C36)</f>
        <v>4200</v>
      </c>
      <c r="D37" s="25">
        <f>SUM(D6:D36)</f>
        <v>-2463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-5172.3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37284</v>
      </c>
      <c r="C41" s="48"/>
      <c r="D41" s="138">
        <f>+D40+D39</f>
        <v>174876.68000000002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37284</v>
      </c>
      <c r="B47" s="32"/>
      <c r="C47" s="32"/>
      <c r="D47" s="350">
        <f>+D37</f>
        <v>-2463</v>
      </c>
    </row>
    <row r="48" spans="1:4" x14ac:dyDescent="0.2">
      <c r="A48" s="32"/>
      <c r="B48" s="32"/>
      <c r="C48" s="32"/>
      <c r="D48" s="14">
        <f>+D47+D46</f>
        <v>76550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11091</v>
      </c>
      <c r="C37" s="11">
        <f>SUM(C6:C36)</f>
        <v>5994</v>
      </c>
      <c r="D37" s="25">
        <f>SUM(D6:D36)</f>
        <v>-5097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-10703.7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37284</v>
      </c>
      <c r="C41" s="48"/>
      <c r="D41" s="138">
        <f>+D40+D39</f>
        <v>150588.78999999998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37284</v>
      </c>
      <c r="B47" s="32"/>
      <c r="C47" s="32"/>
      <c r="D47" s="350">
        <f>+D37</f>
        <v>-5097</v>
      </c>
    </row>
    <row r="48" spans="1:4" x14ac:dyDescent="0.2">
      <c r="A48" s="32"/>
      <c r="B48" s="32"/>
      <c r="C48" s="32"/>
      <c r="D48" s="14">
        <f>+D47+D46</f>
        <v>28874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-269848</v>
      </c>
      <c r="C36" s="44">
        <f>SUM(C5:C35)</f>
        <v>-261068</v>
      </c>
      <c r="D36" s="43">
        <f>SUM(D5:D35)</f>
        <v>-1782635</v>
      </c>
      <c r="E36" s="43">
        <f>SUM(E5:E35)</f>
        <v>-1767709</v>
      </c>
      <c r="F36" s="11">
        <f>SUM(F5:F35)</f>
        <v>23706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49782.6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37284</v>
      </c>
      <c r="B43" s="32"/>
      <c r="C43" s="106"/>
      <c r="D43" s="106"/>
      <c r="E43" s="106"/>
      <c r="F43" s="24">
        <f>+F40+F42</f>
        <v>59458.6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37284</v>
      </c>
      <c r="B49" s="32"/>
      <c r="C49" s="32"/>
      <c r="D49" s="76">
        <f>+F36</f>
        <v>23706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43649.240000000005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9388.2799999999988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-124006.95999999999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8" sqref="A48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-59292</v>
      </c>
      <c r="C37" s="24">
        <f t="shared" si="1"/>
        <v>-59780</v>
      </c>
      <c r="D37" s="24">
        <f t="shared" si="1"/>
        <v>-15</v>
      </c>
      <c r="E37" s="24">
        <f t="shared" si="1"/>
        <v>-700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-1173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-2451.5699999999997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37284</v>
      </c>
      <c r="E41" s="14"/>
      <c r="O41" s="442"/>
      <c r="P41" s="104">
        <f>+P40+P39</f>
        <v>91537.829999999987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37284</v>
      </c>
      <c r="B47" s="32"/>
      <c r="C47" s="32"/>
      <c r="D47" s="350">
        <f>+P37</f>
        <v>-1173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37897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-4873.88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37285</v>
      </c>
      <c r="C41" s="48"/>
      <c r="D41" s="138">
        <f>+D40+D39</f>
        <v>-20388.41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37285</v>
      </c>
      <c r="B47" s="32"/>
      <c r="C47" s="32"/>
      <c r="D47" s="350">
        <f>+D37</f>
        <v>-2332</v>
      </c>
    </row>
    <row r="48" spans="1:4" x14ac:dyDescent="0.2">
      <c r="A48" s="32"/>
      <c r="B48" s="32"/>
      <c r="C48" s="32"/>
      <c r="D48" s="14">
        <f>+D47+D46</f>
        <v>3264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-9233.7000000000007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37271</v>
      </c>
      <c r="C41" s="48"/>
      <c r="D41" s="138">
        <f>+D40+D39</f>
        <v>33946.369999999995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2.09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3994648</v>
      </c>
      <c r="C38" s="11">
        <f>SUM(C7:C37)</f>
        <v>3965621</v>
      </c>
      <c r="D38" s="11">
        <f>SUM(D7:D37)</f>
        <v>-29027</v>
      </c>
    </row>
    <row r="39" spans="1:8" x14ac:dyDescent="0.2">
      <c r="A39" s="26"/>
      <c r="C39" s="14"/>
      <c r="D39" s="106">
        <f>+summary!G3</f>
        <v>2.0699999999999998</v>
      </c>
    </row>
    <row r="40" spans="1:8" x14ac:dyDescent="0.2">
      <c r="D40" s="138">
        <f>+D39*D38</f>
        <v>-60085.889999999992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37285</v>
      </c>
      <c r="D42" s="319">
        <f>+D41+D40</f>
        <v>-12490.94999999999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37285</v>
      </c>
      <c r="B48" s="32"/>
      <c r="C48" s="32"/>
      <c r="D48" s="350">
        <f>+D38</f>
        <v>-29027</v>
      </c>
    </row>
    <row r="49" spans="1:4" x14ac:dyDescent="0.2">
      <c r="A49" s="32"/>
      <c r="B49" s="32"/>
      <c r="C49" s="32"/>
      <c r="D49" s="14">
        <f>+D48+D47</f>
        <v>-8616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-5496224</v>
      </c>
      <c r="C35" s="11">
        <f>SUM(C4:C34)</f>
        <v>-5528000</v>
      </c>
      <c r="D35" s="11">
        <f>SUM(D4:D34)</f>
        <v>-31776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37285</v>
      </c>
      <c r="D40" s="51">
        <f>+D38+D35</f>
        <v>27295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37285</v>
      </c>
      <c r="B46" s="32"/>
      <c r="C46" s="32"/>
      <c r="D46" s="375">
        <f>+D35*'by type_area'!G4</f>
        <v>-66411.839999999997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-146954.99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B33" sqref="B3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-16814711</v>
      </c>
      <c r="C35" s="11">
        <f>SUM(C4:C34)</f>
        <v>-16826215</v>
      </c>
      <c r="D35" s="11">
        <f>SUM(D4:D34)</f>
        <v>0</v>
      </c>
      <c r="E35" s="11">
        <f>SUM(E4:E34)</f>
        <v>0</v>
      </c>
      <c r="F35" s="11">
        <f>SUM(F4:F34)</f>
        <v>-11504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37285</v>
      </c>
      <c r="D40" s="246"/>
      <c r="E40" s="246"/>
      <c r="F40" s="51">
        <f>+F38+F35</f>
        <v>92916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37285</v>
      </c>
      <c r="B46" s="32"/>
      <c r="C46" s="32"/>
      <c r="D46" s="474">
        <f>+F35*'by type_area'!G4</f>
        <v>-24043.359999999997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307873.64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-2514404</v>
      </c>
      <c r="C35" s="44">
        <f t="shared" si="3"/>
        <v>-671919</v>
      </c>
      <c r="D35" s="11">
        <f t="shared" si="3"/>
        <v>-25</v>
      </c>
      <c r="E35" s="44">
        <f t="shared" si="3"/>
        <v>-1811363</v>
      </c>
      <c r="F35" s="11">
        <f t="shared" si="3"/>
        <v>0</v>
      </c>
      <c r="G35" s="11">
        <f t="shared" si="3"/>
        <v>0</v>
      </c>
      <c r="H35" s="11">
        <f t="shared" si="3"/>
        <v>31147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65097.229999999996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37284</v>
      </c>
      <c r="F39" s="473"/>
      <c r="G39" s="473"/>
      <c r="H39" s="319">
        <f>+H38+H37</f>
        <v>-3160.7700000000041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37284</v>
      </c>
      <c r="E47" s="459">
        <f>+H35</f>
        <v>31147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26063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37284</v>
      </c>
      <c r="I23" s="11">
        <f>+B39</f>
        <v>4084749</v>
      </c>
      <c r="J23" s="11">
        <f>+C39</f>
        <v>4076193</v>
      </c>
      <c r="K23" s="11">
        <f>+D39</f>
        <v>362823</v>
      </c>
      <c r="L23" s="11">
        <f>+E39</f>
        <v>364924</v>
      </c>
      <c r="M23" s="42">
        <f>+J23-I23+L23-K23</f>
        <v>-6455</v>
      </c>
      <c r="N23" s="102">
        <f>+summary!G3</f>
        <v>2.0699999999999998</v>
      </c>
      <c r="O23" s="503">
        <f>+N23*M23</f>
        <v>-13361.849999999999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83345</v>
      </c>
      <c r="N24" s="102"/>
      <c r="O24" s="102">
        <f>SUM(O9:O23)</f>
        <v>554754.49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4084749</v>
      </c>
      <c r="C39" s="150">
        <f>SUM(C8:C38)</f>
        <v>4076193</v>
      </c>
      <c r="D39" s="150">
        <f>SUM(D8:D38)</f>
        <v>362823</v>
      </c>
      <c r="E39" s="150">
        <f>SUM(E8:E38)</f>
        <v>364924</v>
      </c>
      <c r="F39" s="11">
        <f t="shared" si="5"/>
        <v>-6455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37284</v>
      </c>
      <c r="B45" s="32"/>
      <c r="C45" s="106"/>
      <c r="D45" s="106"/>
      <c r="E45" s="106"/>
      <c r="F45" s="24">
        <f>+F44+F39</f>
        <v>23676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37284</v>
      </c>
      <c r="B51" s="32"/>
      <c r="C51" s="32"/>
      <c r="D51" s="350">
        <f>+F39*summary!G3</f>
        <v>-13361.849999999999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420998.93000000005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2002-01-29T03:24:39Z</cp:lastPrinted>
  <dcterms:created xsi:type="dcterms:W3CDTF">2000-03-28T16:52:23Z</dcterms:created>
  <dcterms:modified xsi:type="dcterms:W3CDTF">2014-09-03T14:23:00Z</dcterms:modified>
</cp:coreProperties>
</file>