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 s="1"/>
  <c r="B7" i="8"/>
  <c r="D7" i="8"/>
  <c r="B8" i="8"/>
  <c r="D8" i="8"/>
  <c r="B9" i="8"/>
  <c r="D9" i="8" s="1"/>
  <c r="D10" i="8"/>
  <c r="D11" i="8"/>
  <c r="B12" i="8"/>
  <c r="D12" i="8"/>
  <c r="B13" i="8"/>
  <c r="D13" i="8"/>
  <c r="D14" i="8"/>
  <c r="D15" i="8"/>
  <c r="B16" i="8"/>
  <c r="D16" i="8" s="1"/>
  <c r="B17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39" i="18" s="1"/>
  <c r="D48" i="18" s="1"/>
  <c r="D49" i="18" s="1"/>
  <c r="D28" i="80" s="1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D9" i="74"/>
  <c r="J9" i="74"/>
  <c r="L9" i="74" s="1"/>
  <c r="D10" i="74"/>
  <c r="J10" i="74"/>
  <c r="L10" i="74"/>
  <c r="D11" i="74"/>
  <c r="H11" i="74"/>
  <c r="J11" i="74" s="1"/>
  <c r="L11" i="74" s="1"/>
  <c r="D12" i="74"/>
  <c r="H12" i="74"/>
  <c r="J12" i="74" s="1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H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12" i="78" s="1"/>
  <c r="D23" i="78" s="1"/>
  <c r="D24" i="78" s="1"/>
  <c r="D16" i="80" s="1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/>
  <c r="M5" i="13" s="1"/>
  <c r="N5" i="13"/>
  <c r="F6" i="13"/>
  <c r="I6" i="13"/>
  <c r="J6" i="13"/>
  <c r="K6" i="13" s="1"/>
  <c r="M6" i="13" s="1"/>
  <c r="N6" i="13"/>
  <c r="N10" i="13" s="1"/>
  <c r="F7" i="13"/>
  <c r="I7" i="13"/>
  <c r="J7" i="13"/>
  <c r="K7" i="13" s="1"/>
  <c r="M7" i="13" s="1"/>
  <c r="N7" i="13"/>
  <c r="F8" i="13"/>
  <c r="I8" i="13"/>
  <c r="J8" i="13"/>
  <c r="K8" i="13" s="1"/>
  <c r="M8" i="13" s="1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A46" i="13"/>
  <c r="A47" i="13"/>
  <c r="D48" i="13"/>
  <c r="D27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E36" i="73" s="1"/>
  <c r="H35" i="73"/>
  <c r="F39" i="73"/>
  <c r="F46" i="73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B77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J11" i="20"/>
  <c r="J15" i="20" s="1"/>
  <c r="B18" i="20"/>
  <c r="F39" i="20" s="1"/>
  <c r="F40" i="20" s="1"/>
  <c r="B79" i="73" s="1"/>
  <c r="B31" i="20"/>
  <c r="E38" i="20"/>
  <c r="E39" i="20"/>
  <c r="G39" i="20"/>
  <c r="G40" i="20" s="1"/>
  <c r="B46" i="20"/>
  <c r="H39" i="20" s="1"/>
  <c r="H40" i="20" s="1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AC36" i="11"/>
  <c r="AE36" i="11"/>
  <c r="AP36" i="11" s="1"/>
  <c r="AI36" i="11"/>
  <c r="AL36" i="11"/>
  <c r="AM36" i="11"/>
  <c r="AN36" i="11"/>
  <c r="AO36" i="11"/>
  <c r="C37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B70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37" i="22" s="1"/>
  <c r="D47" i="22" s="1"/>
  <c r="D48" i="22" s="1"/>
  <c r="D29" i="80" s="1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37" i="89" s="1"/>
  <c r="D47" i="89" s="1"/>
  <c r="D48" i="89" s="1"/>
  <c r="D39" i="80" s="1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U10" i="67"/>
  <c r="F11" i="67"/>
  <c r="J11" i="67"/>
  <c r="L11" i="67" s="1"/>
  <c r="N11" i="67" s="1"/>
  <c r="S11" i="67"/>
  <c r="F12" i="67"/>
  <c r="J12" i="67"/>
  <c r="L12" i="67" s="1"/>
  <c r="N12" i="67"/>
  <c r="S12" i="67"/>
  <c r="U12" i="67" s="1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A43" i="67"/>
  <c r="A44" i="67"/>
  <c r="D6" i="65"/>
  <c r="B7" i="65"/>
  <c r="D7" i="65" s="1"/>
  <c r="D8" i="65"/>
  <c r="D9" i="65"/>
  <c r="D10" i="65"/>
  <c r="B11" i="65"/>
  <c r="D11" i="65" s="1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 s="1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AG5" i="7"/>
  <c r="F6" i="7"/>
  <c r="Z6" i="7"/>
  <c r="AD6" i="7" s="1"/>
  <c r="AF6" i="7" s="1"/>
  <c r="AH6" i="7" s="1"/>
  <c r="F7" i="7"/>
  <c r="Z7" i="7"/>
  <c r="AD7" i="7" s="1"/>
  <c r="AF7" i="7" s="1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F36" i="7" s="1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/>
  <c r="AF14" i="7"/>
  <c r="F15" i="7"/>
  <c r="Z15" i="7"/>
  <c r="AD15" i="7" s="1"/>
  <c r="AF15" i="7" s="1"/>
  <c r="F16" i="7"/>
  <c r="Z16" i="7"/>
  <c r="AD16" i="7"/>
  <c r="AF16" i="7" s="1"/>
  <c r="F17" i="7"/>
  <c r="Z17" i="7"/>
  <c r="AD17" i="7"/>
  <c r="AF17" i="7"/>
  <c r="F18" i="7"/>
  <c r="AI18" i="7"/>
  <c r="F19" i="7"/>
  <c r="Z19" i="7"/>
  <c r="AD19" i="7"/>
  <c r="AF19" i="7" s="1"/>
  <c r="AH19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A45" i="16"/>
  <c r="A46" i="16"/>
  <c r="D47" i="16"/>
  <c r="D37" i="80" s="1"/>
  <c r="D6" i="81"/>
  <c r="D7" i="81"/>
  <c r="D8" i="81"/>
  <c r="D9" i="81"/>
  <c r="D10" i="81"/>
  <c r="D11" i="81"/>
  <c r="D12" i="81"/>
  <c r="D13" i="81"/>
  <c r="D37" i="81" s="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 s="1"/>
  <c r="H6" i="9"/>
  <c r="P6" i="9"/>
  <c r="R6" i="9"/>
  <c r="H7" i="9"/>
  <c r="N7" i="9"/>
  <c r="P7" i="9"/>
  <c r="R7" i="9" s="1"/>
  <c r="H8" i="9"/>
  <c r="P8" i="9"/>
  <c r="R8" i="9" s="1"/>
  <c r="H9" i="9"/>
  <c r="N9" i="9"/>
  <c r="P9" i="9" s="1"/>
  <c r="R9" i="9"/>
  <c r="H10" i="9"/>
  <c r="P10" i="9"/>
  <c r="R10" i="9"/>
  <c r="H11" i="9"/>
  <c r="P11" i="9"/>
  <c r="R11" i="9"/>
  <c r="H12" i="9"/>
  <c r="P12" i="9"/>
  <c r="R12" i="9" s="1"/>
  <c r="H13" i="9"/>
  <c r="P13" i="9"/>
  <c r="R13" i="9" s="1"/>
  <c r="H14" i="9"/>
  <c r="P14" i="9"/>
  <c r="R14" i="9" s="1"/>
  <c r="H15" i="9"/>
  <c r="P15" i="9"/>
  <c r="R15" i="9"/>
  <c r="H16" i="9"/>
  <c r="H35" i="9" s="1"/>
  <c r="E47" i="9" s="1"/>
  <c r="E48" i="9" s="1"/>
  <c r="D34" i="80" s="1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37" i="93" s="1"/>
  <c r="D49" i="93" s="1"/>
  <c r="D50" i="93" s="1"/>
  <c r="D47" i="80" s="1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B6" i="64"/>
  <c r="D6" i="64" s="1"/>
  <c r="B7" i="64"/>
  <c r="D7" i="64" s="1"/>
  <c r="D8" i="64"/>
  <c r="B9" i="64"/>
  <c r="D9" i="64" s="1"/>
  <c r="D10" i="64"/>
  <c r="B11" i="64"/>
  <c r="D11" i="64" s="1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U39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Q39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F39" i="15" s="1"/>
  <c r="AF45" i="15" s="1"/>
  <c r="AJ27" i="15"/>
  <c r="AN27" i="15"/>
  <c r="AQ27" i="15"/>
  <c r="AR27" i="15"/>
  <c r="AV27" i="15"/>
  <c r="F28" i="15"/>
  <c r="AF28" i="15"/>
  <c r="AI28" i="15"/>
  <c r="AJ28" i="15" s="1"/>
  <c r="AJ39" i="15" s="1"/>
  <c r="AJ45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D39" i="15"/>
  <c r="E39" i="15"/>
  <c r="L23" i="15" s="1"/>
  <c r="AD39" i="15"/>
  <c r="AE39" i="15"/>
  <c r="AH39" i="15"/>
  <c r="AL39" i="15"/>
  <c r="AM39" i="15"/>
  <c r="AN39" i="15"/>
  <c r="B102" i="15" s="1"/>
  <c r="AP39" i="15"/>
  <c r="AT39" i="15"/>
  <c r="A50" i="15"/>
  <c r="A51" i="15"/>
  <c r="AH52" i="15"/>
  <c r="AH54" i="15"/>
  <c r="AH57" i="15" s="1"/>
  <c r="AH56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K114" i="15" s="1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76" i="15" s="1"/>
  <c r="F176" i="15" s="1"/>
  <c r="B178" i="15"/>
  <c r="C178" i="15"/>
  <c r="B180" i="15"/>
  <c r="C180" i="15"/>
  <c r="D6" i="76"/>
  <c r="D7" i="76"/>
  <c r="D8" i="76"/>
  <c r="D9" i="76"/>
  <c r="D37" i="76" s="1"/>
  <c r="D47" i="76" s="1"/>
  <c r="D48" i="76" s="1"/>
  <c r="D38" i="80" s="1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35" i="6" s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37" i="92" s="1"/>
  <c r="D47" i="92" s="1"/>
  <c r="D48" i="92" s="1"/>
  <c r="D46" i="80" s="1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G3" i="80" s="1"/>
  <c r="G59" i="80" s="1"/>
  <c r="J3" i="63"/>
  <c r="G4" i="63"/>
  <c r="G5" i="63"/>
  <c r="D19" i="8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B86" i="63"/>
  <c r="B87" i="63"/>
  <c r="B97" i="63"/>
  <c r="D6" i="90"/>
  <c r="D7" i="90"/>
  <c r="D8" i="90"/>
  <c r="D9" i="90"/>
  <c r="D10" i="90"/>
  <c r="D11" i="90"/>
  <c r="D37" i="90" s="1"/>
  <c r="D47" i="90" s="1"/>
  <c r="D48" i="90" s="1"/>
  <c r="D14" i="80" s="1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39" i="19" s="1"/>
  <c r="D49" i="19" s="1"/>
  <c r="D50" i="19" s="1"/>
  <c r="D20" i="80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S12" i="2" s="1"/>
  <c r="J7" i="2"/>
  <c r="J35" i="2" s="1"/>
  <c r="P7" i="2"/>
  <c r="R7" i="2" s="1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N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N6" i="91"/>
  <c r="N37" i="91" s="1"/>
  <c r="D49" i="91" s="1"/>
  <c r="D50" i="91" s="1"/>
  <c r="D42" i="80" s="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37" i="83" s="1"/>
  <c r="D49" i="83" s="1"/>
  <c r="D50" i="83" s="1"/>
  <c r="D41" i="80" s="1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D41" i="81" l="1"/>
  <c r="F40" i="6"/>
  <c r="AH7" i="7"/>
  <c r="AH20" i="7"/>
  <c r="D47" i="2"/>
  <c r="D48" i="2" s="1"/>
  <c r="J40" i="2"/>
  <c r="O24" i="15"/>
  <c r="F41" i="7"/>
  <c r="E48" i="7"/>
  <c r="E49" i="7" s="1"/>
  <c r="D78" i="80" s="1"/>
  <c r="F102" i="15"/>
  <c r="F103" i="15" s="1"/>
  <c r="B103" i="15"/>
  <c r="B105" i="15" s="1"/>
  <c r="F105" i="15" s="1"/>
  <c r="M23" i="15"/>
  <c r="M24" i="15" s="1"/>
  <c r="J35" i="73"/>
  <c r="J36" i="73" s="1"/>
  <c r="F36" i="73"/>
  <c r="D17" i="64"/>
  <c r="D29" i="64" s="1"/>
  <c r="D30" i="64" s="1"/>
  <c r="D35" i="80" s="1"/>
  <c r="C70" i="80"/>
  <c r="R19" i="9"/>
  <c r="R22" i="9" s="1"/>
  <c r="B73" i="73"/>
  <c r="B32" i="20"/>
  <c r="C32" i="20" s="1"/>
  <c r="C33" i="20" s="1"/>
  <c r="C78" i="73" s="1"/>
  <c r="G4" i="80"/>
  <c r="G60" i="80" s="1"/>
  <c r="F40" i="71"/>
  <c r="J36" i="70"/>
  <c r="J37" i="70" s="1"/>
  <c r="J41" i="70" s="1"/>
  <c r="J40" i="17"/>
  <c r="P38" i="88"/>
  <c r="D13" i="78"/>
  <c r="D14" i="78" s="1"/>
  <c r="D18" i="78" s="1"/>
  <c r="D38" i="77"/>
  <c r="F40" i="18"/>
  <c r="F41" i="18" s="1"/>
  <c r="F43" i="18" s="1"/>
  <c r="D38" i="74"/>
  <c r="F35" i="73"/>
  <c r="K13" i="13"/>
  <c r="M4" i="13"/>
  <c r="M13" i="13" s="1"/>
  <c r="P37" i="88"/>
  <c r="D47" i="88" s="1"/>
  <c r="D48" i="88" s="1"/>
  <c r="D45" i="80" s="1"/>
  <c r="R6" i="2"/>
  <c r="R21" i="2" s="1"/>
  <c r="D38" i="92"/>
  <c r="D39" i="92" s="1"/>
  <c r="D41" i="92" s="1"/>
  <c r="F39" i="15"/>
  <c r="AR21" i="15"/>
  <c r="AR39" i="15" s="1"/>
  <c r="AR45" i="15" s="1"/>
  <c r="AV16" i="15"/>
  <c r="AV39" i="15" s="1"/>
  <c r="H36" i="9"/>
  <c r="H37" i="9" s="1"/>
  <c r="H39" i="9" s="1"/>
  <c r="D19" i="65"/>
  <c r="D18" i="65"/>
  <c r="D33" i="65" s="1"/>
  <c r="D34" i="65" s="1"/>
  <c r="D26" i="80" s="1"/>
  <c r="F34" i="67"/>
  <c r="B19" i="20"/>
  <c r="C19" i="20" s="1"/>
  <c r="C20" i="20" s="1"/>
  <c r="F38" i="22"/>
  <c r="F39" i="22" s="1"/>
  <c r="F41" i="22" s="1"/>
  <c r="F37" i="13"/>
  <c r="F38" i="13" s="1"/>
  <c r="F41" i="13" s="1"/>
  <c r="D38" i="76"/>
  <c r="D39" i="76" s="1"/>
  <c r="D41" i="76" s="1"/>
  <c r="D35" i="28"/>
  <c r="D37" i="16"/>
  <c r="D38" i="16" s="1"/>
  <c r="D40" i="16" s="1"/>
  <c r="C45" i="11"/>
  <c r="C46" i="11" s="1"/>
  <c r="I40" i="20"/>
  <c r="I57" i="20" s="1"/>
  <c r="D37" i="85"/>
  <c r="D47" i="85" s="1"/>
  <c r="D48" i="85" s="1"/>
  <c r="D40" i="80" s="1"/>
  <c r="D37" i="86"/>
  <c r="D47" i="86" s="1"/>
  <c r="D48" i="86" s="1"/>
  <c r="D43" i="80" s="1"/>
  <c r="M9" i="74"/>
  <c r="M10" i="74" s="1"/>
  <c r="M11" i="74" s="1"/>
  <c r="M12" i="74" s="1"/>
  <c r="M13" i="74" s="1"/>
  <c r="M14" i="74" s="1"/>
  <c r="N38" i="91"/>
  <c r="N39" i="91" s="1"/>
  <c r="N43" i="91" s="1"/>
  <c r="D40" i="19"/>
  <c r="D41" i="19" s="1"/>
  <c r="D43" i="19" s="1"/>
  <c r="AI39" i="15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7" i="77"/>
  <c r="D49" i="77" s="1"/>
  <c r="D50" i="77" s="1"/>
  <c r="D15" i="80" s="1"/>
  <c r="N16" i="67"/>
  <c r="J39" i="17"/>
  <c r="D48" i="17" s="1"/>
  <c r="D49" i="17" s="1"/>
  <c r="D33" i="80" s="1"/>
  <c r="E39" i="11"/>
  <c r="B77" i="80" s="1"/>
  <c r="C77" i="80" s="1"/>
  <c r="E45" i="11"/>
  <c r="F45" i="11" s="1"/>
  <c r="B78" i="73"/>
  <c r="D30" i="80"/>
  <c r="N11" i="13"/>
  <c r="D37" i="79"/>
  <c r="D47" i="79" s="1"/>
  <c r="D48" i="79" s="1"/>
  <c r="D13" i="80" s="1"/>
  <c r="D17" i="80" s="1"/>
  <c r="D39" i="72"/>
  <c r="P19" i="9"/>
  <c r="P21" i="2"/>
  <c r="P23" i="2" s="1"/>
  <c r="D38" i="90"/>
  <c r="D39" i="90" s="1"/>
  <c r="D41" i="90" s="1"/>
  <c r="N38" i="93"/>
  <c r="N39" i="93" s="1"/>
  <c r="N43" i="93" s="1"/>
  <c r="AI5" i="7"/>
  <c r="L16" i="67"/>
  <c r="F36" i="5"/>
  <c r="D49" i="5" s="1"/>
  <c r="D50" i="5" s="1"/>
  <c r="D85" i="80" s="1"/>
  <c r="J35" i="70"/>
  <c r="D47" i="70" s="1"/>
  <c r="D48" i="70" s="1"/>
  <c r="D36" i="80" s="1"/>
  <c r="F38" i="87"/>
  <c r="F39" i="87" s="1"/>
  <c r="F41" i="87" s="1"/>
  <c r="F39" i="71"/>
  <c r="D49" i="71" s="1"/>
  <c r="D50" i="71" s="1"/>
  <c r="D48" i="80" s="1"/>
  <c r="D38" i="79"/>
  <c r="L8" i="74"/>
  <c r="L17" i="74" s="1"/>
  <c r="J17" i="74"/>
  <c r="D31" i="80"/>
  <c r="D39" i="69"/>
  <c r="D40" i="69" s="1"/>
  <c r="D42" i="69" s="1"/>
  <c r="J38" i="83"/>
  <c r="J39" i="83" s="1"/>
  <c r="J43" i="83" s="1"/>
  <c r="AN45" i="15"/>
  <c r="D35" i="68"/>
  <c r="AL47" i="11"/>
  <c r="AL48" i="11" s="1"/>
  <c r="AP47" i="11"/>
  <c r="J24" i="74"/>
  <c r="D38" i="69"/>
  <c r="D48" i="69" s="1"/>
  <c r="D49" i="69" s="1"/>
  <c r="D22" i="80" s="1"/>
  <c r="B25" i="63"/>
  <c r="M23" i="77"/>
  <c r="U16" i="67"/>
  <c r="C37" i="73"/>
  <c r="D38" i="86"/>
  <c r="D39" i="86" s="1"/>
  <c r="D41" i="86" s="1"/>
  <c r="G5" i="80"/>
  <c r="G61" i="80" s="1"/>
  <c r="D38" i="85"/>
  <c r="D38" i="75"/>
  <c r="D39" i="75" s="1"/>
  <c r="D41" i="75" s="1"/>
  <c r="F39" i="5"/>
  <c r="F40" i="5" s="1"/>
  <c r="F43" i="5" s="1"/>
  <c r="D38" i="89"/>
  <c r="D39" i="89" s="1"/>
  <c r="D41" i="89" s="1"/>
  <c r="B46" i="63" s="1"/>
  <c r="B47" i="20"/>
  <c r="C47" i="20" s="1"/>
  <c r="C48" i="20" s="1"/>
  <c r="N23" i="15"/>
  <c r="O23" i="15" s="1"/>
  <c r="D18" i="64"/>
  <c r="D19" i="64" s="1"/>
  <c r="D23" i="64" s="1"/>
  <c r="S16" i="67"/>
  <c r="D37" i="75"/>
  <c r="D46" i="75" s="1"/>
  <c r="D47" i="75" s="1"/>
  <c r="D49" i="80" s="1"/>
  <c r="AF38" i="11"/>
  <c r="AP38" i="11"/>
  <c r="H36" i="11"/>
  <c r="H39" i="11" s="1"/>
  <c r="C25" i="63" s="1"/>
  <c r="H41" i="73"/>
  <c r="C71" i="73"/>
  <c r="F37" i="87"/>
  <c r="D47" i="87" s="1"/>
  <c r="D48" i="87" s="1"/>
  <c r="D44" i="80" s="1"/>
  <c r="D37" i="12"/>
  <c r="D18" i="8"/>
  <c r="D30" i="8" s="1"/>
  <c r="D31" i="8" s="1"/>
  <c r="D50" i="80" s="1"/>
  <c r="AG19" i="7"/>
  <c r="AG20" i="7" s="1"/>
  <c r="AG21" i="7" s="1"/>
  <c r="U11" i="67"/>
  <c r="AF36" i="11"/>
  <c r="AC8" i="11"/>
  <c r="AR48" i="15" l="1"/>
  <c r="AR51" i="15"/>
  <c r="B44" i="80"/>
  <c r="C44" i="80" s="1"/>
  <c r="E44" i="80" s="1"/>
  <c r="B48" i="63"/>
  <c r="C48" i="63" s="1"/>
  <c r="B34" i="80"/>
  <c r="C34" i="80" s="1"/>
  <c r="E34" i="80" s="1"/>
  <c r="B38" i="63"/>
  <c r="C38" i="63" s="1"/>
  <c r="AI7" i="7"/>
  <c r="AH8" i="7"/>
  <c r="B39" i="80"/>
  <c r="C46" i="63"/>
  <c r="C39" i="80" s="1"/>
  <c r="E39" i="80" s="1"/>
  <c r="B50" i="63"/>
  <c r="C50" i="63" s="1"/>
  <c r="B41" i="80"/>
  <c r="C41" i="80" s="1"/>
  <c r="E41" i="80" s="1"/>
  <c r="D48" i="72"/>
  <c r="D49" i="72" s="1"/>
  <c r="D84" i="80" s="1"/>
  <c r="D42" i="72"/>
  <c r="B29" i="80"/>
  <c r="C29" i="80" s="1"/>
  <c r="E29" i="80" s="1"/>
  <c r="B14" i="63"/>
  <c r="C14" i="63" s="1"/>
  <c r="F41" i="71"/>
  <c r="F43" i="71" s="1"/>
  <c r="B78" i="80"/>
  <c r="C78" i="80" s="1"/>
  <c r="E78" i="80" s="1"/>
  <c r="C32" i="63"/>
  <c r="B32" i="63" s="1"/>
  <c r="AI6" i="7"/>
  <c r="B22" i="63"/>
  <c r="C22" i="63" s="1"/>
  <c r="B49" i="80"/>
  <c r="C49" i="80" s="1"/>
  <c r="E49" i="80" s="1"/>
  <c r="M51" i="73"/>
  <c r="C79" i="73"/>
  <c r="B8" i="63"/>
  <c r="F45" i="15"/>
  <c r="D51" i="15"/>
  <c r="D52" i="15" s="1"/>
  <c r="D75" i="80" s="1"/>
  <c r="B28" i="80"/>
  <c r="C28" i="80" s="1"/>
  <c r="E28" i="80" s="1"/>
  <c r="B20" i="63"/>
  <c r="C20" i="63" s="1"/>
  <c r="K36" i="73"/>
  <c r="K49" i="73" s="1"/>
  <c r="I62" i="20" s="1"/>
  <c r="B74" i="73"/>
  <c r="B81" i="73" s="1"/>
  <c r="C21" i="80"/>
  <c r="C53" i="63"/>
  <c r="B53" i="63" s="1"/>
  <c r="B69" i="80"/>
  <c r="C69" i="80" s="1"/>
  <c r="E69" i="80" s="1"/>
  <c r="C19" i="63"/>
  <c r="B19" i="63" s="1"/>
  <c r="B27" i="80"/>
  <c r="C27" i="80" s="1"/>
  <c r="E27" i="80" s="1"/>
  <c r="B11" i="63"/>
  <c r="C11" i="63" s="1"/>
  <c r="B85" i="80"/>
  <c r="C85" i="80" s="1"/>
  <c r="E85" i="80" s="1"/>
  <c r="C16" i="63"/>
  <c r="B16" i="63" s="1"/>
  <c r="D39" i="85"/>
  <c r="D41" i="85" s="1"/>
  <c r="F46" i="11"/>
  <c r="D77" i="80" s="1"/>
  <c r="D70" i="80"/>
  <c r="E70" i="80" s="1"/>
  <c r="B46" i="80"/>
  <c r="C46" i="80" s="1"/>
  <c r="E46" i="80" s="1"/>
  <c r="B29" i="63"/>
  <c r="C29" i="63" s="1"/>
  <c r="D39" i="77"/>
  <c r="D41" i="77" s="1"/>
  <c r="D46" i="6"/>
  <c r="D47" i="6" s="1"/>
  <c r="D69" i="80" s="1"/>
  <c r="C77" i="73"/>
  <c r="C57" i="20"/>
  <c r="F51" i="73" s="1"/>
  <c r="B9" i="63"/>
  <c r="B22" i="80"/>
  <c r="C22" i="80" s="1"/>
  <c r="E22" i="80" s="1"/>
  <c r="B52" i="63"/>
  <c r="C52" i="63" s="1"/>
  <c r="D46" i="12"/>
  <c r="D47" i="12" s="1"/>
  <c r="D76" i="80" s="1"/>
  <c r="D40" i="12"/>
  <c r="B23" i="63"/>
  <c r="C23" i="63" s="1"/>
  <c r="B47" i="80"/>
  <c r="C47" i="80" s="1"/>
  <c r="E47" i="80" s="1"/>
  <c r="B20" i="80"/>
  <c r="B31" i="63"/>
  <c r="C31" i="63" s="1"/>
  <c r="B37" i="80"/>
  <c r="C37" i="80" s="1"/>
  <c r="E37" i="80" s="1"/>
  <c r="B47" i="63"/>
  <c r="C47" i="63" s="1"/>
  <c r="F38" i="67"/>
  <c r="D44" i="67"/>
  <c r="D45" i="67" s="1"/>
  <c r="D82" i="80" s="1"/>
  <c r="B16" i="80"/>
  <c r="C16" i="80" s="1"/>
  <c r="E16" i="80" s="1"/>
  <c r="B44" i="63"/>
  <c r="C44" i="63" s="1"/>
  <c r="D32" i="80"/>
  <c r="AI19" i="7"/>
  <c r="D46" i="81"/>
  <c r="D47" i="81" s="1"/>
  <c r="D83" i="80" s="1"/>
  <c r="B36" i="80"/>
  <c r="C36" i="80" s="1"/>
  <c r="E36" i="80" s="1"/>
  <c r="B35" i="63"/>
  <c r="C35" i="63" s="1"/>
  <c r="D39" i="79"/>
  <c r="D41" i="79" s="1"/>
  <c r="B42" i="80"/>
  <c r="C42" i="80" s="1"/>
  <c r="E42" i="80" s="1"/>
  <c r="B34" i="63"/>
  <c r="C34" i="63" s="1"/>
  <c r="D46" i="28"/>
  <c r="D47" i="28" s="1"/>
  <c r="D71" i="80" s="1"/>
  <c r="D40" i="28"/>
  <c r="D51" i="80"/>
  <c r="P39" i="88"/>
  <c r="P41" i="88" s="1"/>
  <c r="C103" i="15"/>
  <c r="AH21" i="7"/>
  <c r="AI21" i="7" s="1"/>
  <c r="AI20" i="7"/>
  <c r="B83" i="80"/>
  <c r="C83" i="80" s="1"/>
  <c r="C54" i="63"/>
  <c r="B54" i="63" s="1"/>
  <c r="D39" i="74"/>
  <c r="D41" i="74" s="1"/>
  <c r="K19" i="74"/>
  <c r="L19" i="74" s="1"/>
  <c r="L24" i="74" s="1"/>
  <c r="L26" i="74" s="1"/>
  <c r="B35" i="80"/>
  <c r="C35" i="80" s="1"/>
  <c r="E35" i="80" s="1"/>
  <c r="B10" i="63"/>
  <c r="C10" i="63" s="1"/>
  <c r="B43" i="80"/>
  <c r="C43" i="80" s="1"/>
  <c r="E43" i="80" s="1"/>
  <c r="B21" i="63"/>
  <c r="C21" i="63" s="1"/>
  <c r="B14" i="80"/>
  <c r="C14" i="80" s="1"/>
  <c r="E14" i="80" s="1"/>
  <c r="B51" i="63"/>
  <c r="C51" i="63" s="1"/>
  <c r="E37" i="73"/>
  <c r="E38" i="73" s="1"/>
  <c r="C38" i="73"/>
  <c r="C40" i="73" s="1"/>
  <c r="D46" i="68"/>
  <c r="D47" i="68" s="1"/>
  <c r="D68" i="80" s="1"/>
  <c r="D40" i="68"/>
  <c r="E77" i="80"/>
  <c r="B38" i="80"/>
  <c r="C38" i="80" s="1"/>
  <c r="E38" i="80" s="1"/>
  <c r="B39" i="63"/>
  <c r="C39" i="63" s="1"/>
  <c r="D20" i="65"/>
  <c r="D24" i="65" s="1"/>
  <c r="J41" i="17"/>
  <c r="J43" i="17" s="1"/>
  <c r="D20" i="8"/>
  <c r="D24" i="8" s="1"/>
  <c r="B50" i="80" l="1"/>
  <c r="C50" i="80" s="1"/>
  <c r="E50" i="80" s="1"/>
  <c r="B17" i="63"/>
  <c r="C17" i="63" s="1"/>
  <c r="D72" i="80"/>
  <c r="D88" i="80" s="1"/>
  <c r="B45" i="80"/>
  <c r="C45" i="80" s="1"/>
  <c r="E45" i="80" s="1"/>
  <c r="B24" i="63"/>
  <c r="C24" i="63" s="1"/>
  <c r="D79" i="80"/>
  <c r="F37" i="73"/>
  <c r="C28" i="63"/>
  <c r="B28" i="63" s="1"/>
  <c r="B84" i="80"/>
  <c r="C84" i="80" s="1"/>
  <c r="E84" i="80" s="1"/>
  <c r="B75" i="80"/>
  <c r="C27" i="63"/>
  <c r="B27" i="63" s="1"/>
  <c r="B26" i="80"/>
  <c r="B49" i="63"/>
  <c r="C49" i="63" s="1"/>
  <c r="E40" i="73"/>
  <c r="F38" i="73"/>
  <c r="B12" i="80"/>
  <c r="B36" i="63"/>
  <c r="C36" i="63" s="1"/>
  <c r="B71" i="80"/>
  <c r="C71" i="80" s="1"/>
  <c r="E71" i="80" s="1"/>
  <c r="C26" i="63"/>
  <c r="B26" i="63" s="1"/>
  <c r="B30" i="80"/>
  <c r="C30" i="80" s="1"/>
  <c r="E30" i="80" s="1"/>
  <c r="C9" i="63"/>
  <c r="B31" i="80"/>
  <c r="C31" i="80" s="1"/>
  <c r="E31" i="80" s="1"/>
  <c r="C8" i="63"/>
  <c r="B68" i="80"/>
  <c r="C12" i="63"/>
  <c r="B12" i="63" s="1"/>
  <c r="B40" i="63" s="1"/>
  <c r="B13" i="63"/>
  <c r="C13" i="63" s="1"/>
  <c r="B33" i="80"/>
  <c r="C33" i="80" s="1"/>
  <c r="E33" i="80" s="1"/>
  <c r="C73" i="73"/>
  <c r="B43" i="63"/>
  <c r="N15" i="63" s="1"/>
  <c r="C20" i="80"/>
  <c r="B40" i="80"/>
  <c r="C40" i="80" s="1"/>
  <c r="E40" i="80" s="1"/>
  <c r="B18" i="63"/>
  <c r="C18" i="63" s="1"/>
  <c r="D21" i="80"/>
  <c r="E21" i="80"/>
  <c r="B21" i="80"/>
  <c r="B23" i="80" s="1"/>
  <c r="C15" i="63"/>
  <c r="B15" i="63" s="1"/>
  <c r="B82" i="80"/>
  <c r="E83" i="80"/>
  <c r="M53" i="73"/>
  <c r="B48" i="80"/>
  <c r="C48" i="80" s="1"/>
  <c r="E48" i="80" s="1"/>
  <c r="B33" i="63"/>
  <c r="C33" i="63" s="1"/>
  <c r="B13" i="80"/>
  <c r="C13" i="80" s="1"/>
  <c r="E13" i="80" s="1"/>
  <c r="B30" i="63"/>
  <c r="C30" i="63" s="1"/>
  <c r="D86" i="80"/>
  <c r="B76" i="80"/>
  <c r="C76" i="80" s="1"/>
  <c r="E76" i="80" s="1"/>
  <c r="C37" i="63"/>
  <c r="B37" i="63" s="1"/>
  <c r="B15" i="80"/>
  <c r="C15" i="80" s="1"/>
  <c r="E15" i="80" s="1"/>
  <c r="B45" i="63"/>
  <c r="C45" i="63" s="1"/>
  <c r="AH9" i="7"/>
  <c r="AI8" i="7"/>
  <c r="C74" i="73" l="1"/>
  <c r="C81" i="73" s="1"/>
  <c r="C82" i="73" s="1"/>
  <c r="F40" i="73"/>
  <c r="F49" i="73" s="1"/>
  <c r="B32" i="80"/>
  <c r="C32" i="80" s="1"/>
  <c r="E32" i="80" s="1"/>
  <c r="B55" i="63"/>
  <c r="B57" i="63" s="1"/>
  <c r="C43" i="63"/>
  <c r="C55" i="63" s="1"/>
  <c r="B51" i="80"/>
  <c r="C26" i="80"/>
  <c r="B72" i="80"/>
  <c r="C68" i="80"/>
  <c r="B79" i="80"/>
  <c r="B88" i="80" s="1"/>
  <c r="C75" i="80"/>
  <c r="AH10" i="7"/>
  <c r="AI9" i="7"/>
  <c r="D23" i="80"/>
  <c r="D53" i="80" s="1"/>
  <c r="B86" i="80"/>
  <c r="C82" i="80"/>
  <c r="C23" i="80"/>
  <c r="E20" i="80"/>
  <c r="E23" i="80" s="1"/>
  <c r="C40" i="63"/>
  <c r="C12" i="80"/>
  <c r="B17" i="80"/>
  <c r="B53" i="80" s="1"/>
  <c r="C51" i="80" l="1"/>
  <c r="E26" i="80"/>
  <c r="E51" i="80" s="1"/>
  <c r="AH11" i="7"/>
  <c r="AI10" i="7"/>
  <c r="E75" i="80"/>
  <c r="E79" i="80" s="1"/>
  <c r="C79" i="80"/>
  <c r="C57" i="63"/>
  <c r="C61" i="20"/>
  <c r="C62" i="20" s="1"/>
  <c r="F53" i="73"/>
  <c r="E82" i="80"/>
  <c r="E86" i="80" s="1"/>
  <c r="C86" i="80"/>
  <c r="E68" i="80"/>
  <c r="C72" i="80"/>
  <c r="C88" i="80" s="1"/>
  <c r="B91" i="80" s="1"/>
  <c r="C17" i="80"/>
  <c r="C53" i="80"/>
  <c r="B92" i="80" s="1"/>
  <c r="E12" i="80"/>
  <c r="E72" i="80" l="1"/>
  <c r="E88" i="80" s="1"/>
  <c r="E17" i="80"/>
  <c r="E53" i="80" s="1"/>
  <c r="AH12" i="7"/>
  <c r="AI11" i="7"/>
  <c r="AH13" i="7" l="1"/>
  <c r="AI12" i="7"/>
  <c r="AI13" i="7" l="1"/>
  <c r="AH14" i="7"/>
  <c r="AI14" i="7" l="1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<sst xmlns="http://schemas.openxmlformats.org/spreadsheetml/2006/main" count="1014" uniqueCount="313">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</sst>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41885.682674884258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31899.5</v>
      </c>
      <c r="C13" s="368">
        <f>+B13/$G$4</f>
        <v>15485.194174757282</v>
      </c>
      <c r="D13" s="14">
        <f>+'Citizens-Griffith'!D48</f>
        <v>18967</v>
      </c>
      <c r="E13" s="70">
        <f>+C13-D13</f>
        <v>-3481.8058252427181</v>
      </c>
      <c r="F13" s="364">
        <f>+'Citizens-Griffith'!A41</f>
        <v>37290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-294110.32</v>
      </c>
      <c r="C15" s="368">
        <f>+B15/$G$4</f>
        <v>-142772</v>
      </c>
      <c r="D15" s="14">
        <f>+'NS Steel'!D50</f>
        <v>-14966</v>
      </c>
      <c r="E15" s="70">
        <f>+C15-D15</f>
        <v>-127806</v>
      </c>
      <c r="F15" s="365">
        <f>+'NS Steel'!A41</f>
        <v>37290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-817751.78999999992</v>
      </c>
      <c r="C17" s="393">
        <f>SUBTOTAL(9,C12:C16)</f>
        <v>-396966.88834951451</v>
      </c>
      <c r="D17" s="394">
        <f>SUBTOTAL(9,D12:D16)</f>
        <v>58834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-13680.460000000001</v>
      </c>
      <c r="C21" s="368">
        <f>+williams!J40</f>
        <v>-6641</v>
      </c>
      <c r="D21" s="14">
        <f>+C21</f>
        <v>-6641</v>
      </c>
      <c r="E21" s="70">
        <f>+C21-D21</f>
        <v>0</v>
      </c>
      <c r="F21" s="365">
        <f>+williams!A40</f>
        <v>37290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2516.4800000000032</v>
      </c>
      <c r="C23" s="389">
        <f>SUBTOTAL(9,C20:C22)</f>
        <v>1221.5922330097092</v>
      </c>
      <c r="D23" s="394">
        <f>SUBTOTAL(9,D20:D22)</f>
        <v>-57408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-72322.260000000009</v>
      </c>
      <c r="C26" s="368">
        <f>+B26/$G$4</f>
        <v>-35107.893203883497</v>
      </c>
      <c r="D26" s="14">
        <f>+NNG!D34</f>
        <v>-36799</v>
      </c>
      <c r="E26" s="70">
        <f t="shared" ref="E26:E50" si="0">+C26-D26</f>
        <v>1691.1067961165027</v>
      </c>
      <c r="F26" s="364">
        <f>+NNG!A24</f>
        <v>37290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438875.21</v>
      </c>
      <c r="C27" s="368">
        <f>+B27/$G$4</f>
        <v>213046.21844660194</v>
      </c>
      <c r="D27" s="14">
        <f>+Conoco!D48</f>
        <v>7478</v>
      </c>
      <c r="E27" s="70">
        <f t="shared" si="0"/>
        <v>205568.21844660194</v>
      </c>
      <c r="F27" s="364">
        <f>+Conoco!A41</f>
        <v>37290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153217.25</v>
      </c>
      <c r="C28" s="368">
        <f>+B28/$G$4</f>
        <v>74377.305825242714</v>
      </c>
      <c r="D28" s="14">
        <f>+'Amoco Abo'!D49</f>
        <v>-367882</v>
      </c>
      <c r="E28" s="70">
        <f t="shared" si="0"/>
        <v>442259.30582524271</v>
      </c>
      <c r="F28" s="365">
        <f>+'Amoco Abo'!A43</f>
        <v>37290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1228247.25</v>
      </c>
      <c r="C30" s="369">
        <f>+B30/$G$5</f>
        <v>596236.52912621363</v>
      </c>
      <c r="D30" s="14">
        <f>+Duke!$G$40+Duke!$H$40+Duke!$I$53+Duke!$I$54</f>
        <v>366625</v>
      </c>
      <c r="E30" s="70">
        <f t="shared" si="0"/>
        <v>229611.52912621363</v>
      </c>
      <c r="F30" s="365">
        <f>+Duke!A42</f>
        <v>37287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1508753.99</v>
      </c>
      <c r="C31" s="369">
        <f>+B31/$G$5</f>
        <v>732404.8495145631</v>
      </c>
      <c r="D31" s="14">
        <f>+Duke!$F$40</f>
        <v>367789</v>
      </c>
      <c r="E31" s="70">
        <f t="shared" si="0"/>
        <v>364615.8495145631</v>
      </c>
      <c r="F31" s="365">
        <f>+Duke!A7</f>
        <v>37287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+summary!B43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338908.62</v>
      </c>
      <c r="C33" s="368">
        <f>+B33/$G$4</f>
        <v>164518.74757281554</v>
      </c>
      <c r="D33" s="14">
        <f>+mewborne!D49</f>
        <v>134259</v>
      </c>
      <c r="E33" s="70">
        <f t="shared" si="0"/>
        <v>30259.74757281554</v>
      </c>
      <c r="F33" s="365">
        <f>+mewborne!A43</f>
        <v>37290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9867</v>
      </c>
      <c r="C34" s="368">
        <f>+B34/$G$4</f>
        <v>4789.8058252427181</v>
      </c>
      <c r="D34" s="14">
        <f>+PGETX!E48</f>
        <v>32476</v>
      </c>
      <c r="E34" s="70">
        <f t="shared" si="0"/>
        <v>-27686.194174757282</v>
      </c>
      <c r="F34" s="365">
        <f>+PGETX!E39</f>
        <v>37287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825054.8600000001</v>
      </c>
      <c r="C35" s="368">
        <f>+B35/$G$4</f>
        <v>400512.0679611651</v>
      </c>
      <c r="D35" s="14">
        <f>+PNM!D30</f>
        <v>335367</v>
      </c>
      <c r="E35" s="70">
        <f t="shared" si="0"/>
        <v>65145.067961165099</v>
      </c>
      <c r="F35" s="365">
        <f>+PNM!A23</f>
        <v>37290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-135517.85999999999</v>
      </c>
      <c r="C37" s="368">
        <f>+B37/G5</f>
        <v>-65785.368932038822</v>
      </c>
      <c r="D37" s="14">
        <f>+Oasis!D47</f>
        <v>-67015</v>
      </c>
      <c r="E37" s="70">
        <f>+C37-D37</f>
        <v>1229.6310679611779</v>
      </c>
      <c r="F37" s="364">
        <f>+Oasis!A40</f>
        <v>37290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4721.78</v>
      </c>
      <c r="C38" s="368">
        <f>+B38/$G$5</f>
        <v>2292.1262135922329</v>
      </c>
      <c r="D38" s="14">
        <f>+SidR!D48</f>
        <v>2088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+summary!$B$46</f>
        <v>-203736.06</v>
      </c>
      <c r="C39" s="368">
        <f>+summary!$C$46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174270.36</v>
      </c>
      <c r="C40" s="368">
        <f>+B40/$G$5</f>
        <v>84597.262135922327</v>
      </c>
      <c r="D40" s="14">
        <f>+Dominion!D48</f>
        <v>76246</v>
      </c>
      <c r="E40" s="70">
        <f t="shared" si="0"/>
        <v>8351.2621359223267</v>
      </c>
      <c r="F40" s="365">
        <f>+Dominion!A41</f>
        <v>37290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138899.48000000001</v>
      </c>
      <c r="C43" s="368">
        <f>+B43/$G$5</f>
        <v>67426.932038834959</v>
      </c>
      <c r="D43" s="14">
        <f>+Devon!D48</f>
        <v>23203</v>
      </c>
      <c r="E43" s="70">
        <f t="shared" si="0"/>
        <v>44223.932038834959</v>
      </c>
      <c r="F43" s="365">
        <f>+Devon!A41</f>
        <v>37290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27491.7</v>
      </c>
      <c r="C48" s="369">
        <f>+B48/$G$4</f>
        <v>13345.485436893205</v>
      </c>
      <c r="D48" s="14">
        <f>+Continental!D50</f>
        <v>-2505</v>
      </c>
      <c r="E48" s="70">
        <f t="shared" si="0"/>
        <v>15850.485436893205</v>
      </c>
      <c r="F48" s="365">
        <f>+Continental!A43</f>
        <v>37290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120295.2</v>
      </c>
      <c r="C49" s="369">
        <f>+B49/$G$5</f>
        <v>58395.728155339806</v>
      </c>
      <c r="D49" s="14">
        <f>+EPFS!D47</f>
        <v>71602</v>
      </c>
      <c r="E49" s="70">
        <f t="shared" si="0"/>
        <v>-13206.271844660194</v>
      </c>
      <c r="F49" s="364">
        <f>+EPFS!A41</f>
        <v>37290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2334741.62</v>
      </c>
      <c r="C51" s="393">
        <f>SUBTOTAL(9,C26:C50)</f>
        <v>1133369.7184466021</v>
      </c>
      <c r="D51" s="394">
        <f>SUBTOTAL(9,D26:D50)</f>
        <v>525429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1519506.31</v>
      </c>
      <c r="C53" s="393">
        <f>SUBTOTAL(9,C12:C50)</f>
        <v>737624.4223300973</v>
      </c>
      <c r="D53" s="394">
        <f>SUBTOTAL(9,D12:D50)</f>
        <v>526855</v>
      </c>
      <c r="E53" s="395">
        <f>SUBTOTAL(9,E12:E50)</f>
        <v>210769.42233009735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41885.682674884258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179819</v>
      </c>
      <c r="C68" s="346">
        <f>+B68*$G$4</f>
        <v>370427.14</v>
      </c>
      <c r="D68" s="47">
        <f>+Mojave!D47</f>
        <v>185207.6</v>
      </c>
      <c r="E68" s="47">
        <f>+C68-D68</f>
        <v>185219.54</v>
      </c>
      <c r="F68" s="365">
        <f>+Mojave!A40</f>
        <v>37290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83202</v>
      </c>
      <c r="C69" s="346">
        <f>+B69*$G$4</f>
        <v>171396.12</v>
      </c>
      <c r="D69" s="47">
        <f>+SoCal!D47</f>
        <v>287999.40000000002</v>
      </c>
      <c r="E69" s="47">
        <f>+C69-D69</f>
        <v>-116603.28000000003</v>
      </c>
      <c r="F69" s="365">
        <f>+SoCal!A40</f>
        <v>37290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32090</v>
      </c>
      <c r="C71" s="349">
        <f>+B71*$G$4</f>
        <v>66105.400000000009</v>
      </c>
      <c r="D71" s="349">
        <f>+'PG&amp;E'!D47</f>
        <v>-136730.92000000001</v>
      </c>
      <c r="E71" s="349">
        <f>+C71-D71</f>
        <v>202836.32</v>
      </c>
      <c r="F71" s="365">
        <f>+'PG&amp;E'!A40</f>
        <v>37290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359380</v>
      </c>
      <c r="C72" s="388">
        <f>SUBTOTAL(9,C68:C71)</f>
        <v>740322.8</v>
      </c>
      <c r="D72" s="388">
        <f>SUBTOTAL(9,D68:D71)</f>
        <v>-1246484.93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17603</v>
      </c>
      <c r="C75" s="347">
        <f>+B75*G59</f>
        <v>36262.18</v>
      </c>
      <c r="D75" s="200">
        <f>+'Red C'!D52</f>
        <v>408432.06</v>
      </c>
      <c r="E75" s="47">
        <f>+C75-D75</f>
        <v>-372169.88</v>
      </c>
      <c r="F75" s="364">
        <f>+'Red C'!A45</f>
        <v>37290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7084</v>
      </c>
      <c r="C76" s="346">
        <f>+B76*$G$3</f>
        <v>14593.04</v>
      </c>
      <c r="D76" s="47">
        <f>+Amoco!D47</f>
        <v>349658.92</v>
      </c>
      <c r="E76" s="47">
        <f>+C76-D76</f>
        <v>-335065.88</v>
      </c>
      <c r="F76" s="365">
        <f>+Amoco!A40</f>
        <v>37290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15099</v>
      </c>
      <c r="C78" s="349">
        <f>+B78*$G$3</f>
        <v>31103.940000000002</v>
      </c>
      <c r="D78" s="349">
        <f>+NW!E49</f>
        <v>-430140.5</v>
      </c>
      <c r="E78" s="349">
        <f>+C78-D78</f>
        <v>461244.44</v>
      </c>
      <c r="F78" s="364">
        <f>+NW!B41</f>
        <v>37290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17391</v>
      </c>
      <c r="C79" s="388">
        <f>SUBTOTAL(9,C75:C78)</f>
        <v>35825.46</v>
      </c>
      <c r="D79" s="388">
        <f>SUBTOTAL(9,D75:D78)</f>
        <v>-329303.53000000003</v>
      </c>
      <c r="E79" s="388">
        <f>SUBTOTAL(9,E75:E78)</f>
        <v>365128.99000000005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37290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105501.7</v>
      </c>
      <c r="C85" s="497">
        <f>+B85*G61</f>
        <v>217333.50200000001</v>
      </c>
      <c r="D85" s="349">
        <f>+Lonestar!D50</f>
        <v>65994.239999999991</v>
      </c>
      <c r="E85" s="349">
        <f>+C85-D85</f>
        <v>151339.26200000002</v>
      </c>
      <c r="F85" s="364">
        <f>+Lonestar!A43</f>
        <v>37290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254461.7</v>
      </c>
      <c r="C86" s="388">
        <f>SUBTOTAL(9,C82:C85)</f>
        <v>524191.10199999996</v>
      </c>
      <c r="D86" s="388">
        <f>SUBTOTAL(9,D82:D85)</f>
        <v>974855.04</v>
      </c>
      <c r="E86" s="388">
        <f>SUBTOTAL(9,E82:E85)</f>
        <v>-450663.93799999997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631232.69999999995</v>
      </c>
      <c r="C88" s="388">
        <f>SUBTOTAL(9,C68:C85)</f>
        <v>1300339.3620000004</v>
      </c>
      <c r="D88" s="388">
        <f>SUBTOTAL(9,D68:D85)</f>
        <v>-600933.41999999993</v>
      </c>
      <c r="E88" s="388">
        <f>SUBTOTAL(9,E68:E85)</f>
        <v>1901272.7820000004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2819845.6720000003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1368857.1223300972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8" sqref="C2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/>
      <c r="C9" s="411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465978</v>
      </c>
      <c r="C37" s="411">
        <f>SUM(C6:C36)</f>
        <v>478110</v>
      </c>
      <c r="D37" s="411">
        <f>SUM(D6:D36)</f>
        <v>12132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37290</v>
      </c>
      <c r="B40" s="285"/>
      <c r="C40" s="436"/>
      <c r="D40" s="307">
        <f>+D39+D37</f>
        <v>7084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37290</v>
      </c>
      <c r="B46" s="32"/>
      <c r="C46" s="32"/>
      <c r="D46" s="375">
        <f>+D37*'by type_area'!G3</f>
        <v>24991.920000000002</v>
      </c>
    </row>
    <row r="47" spans="1:16" x14ac:dyDescent="0.2">
      <c r="A47" s="32"/>
      <c r="B47" s="32"/>
      <c r="C47" s="32"/>
      <c r="D47" s="200">
        <f>+D46+D45</f>
        <v>349658.92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-50019</v>
      </c>
      <c r="C36" s="24">
        <f>SUM(C5:C35)</f>
        <v>-50000</v>
      </c>
      <c r="D36" s="24">
        <f t="shared" si="0"/>
        <v>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39.14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37290</v>
      </c>
      <c r="B40"/>
      <c r="C40" s="48"/>
      <c r="D40" s="138">
        <f>+D39+D38</f>
        <v>-135517.85999999999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37290</v>
      </c>
      <c r="B46" s="32"/>
      <c r="C46" s="32"/>
      <c r="D46" s="350">
        <f>+D36</f>
        <v>19</v>
      </c>
    </row>
    <row r="47" spans="1:65" x14ac:dyDescent="0.2">
      <c r="A47" s="32"/>
      <c r="B47" s="32"/>
      <c r="C47" s="32"/>
      <c r="D47" s="14">
        <f>+D46+D45</f>
        <v>-67015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36054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37290</v>
      </c>
      <c r="B30" s="32"/>
      <c r="C30" s="32"/>
      <c r="D30" s="350">
        <f>+D18</f>
        <v>36054</v>
      </c>
    </row>
    <row r="31" spans="1:7" x14ac:dyDescent="0.2">
      <c r="A31" s="32"/>
      <c r="B31" s="32"/>
      <c r="C31" s="32"/>
      <c r="D31" s="14">
        <f>+D30+D29</f>
        <v>106671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4" sqref="C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193281</v>
      </c>
      <c r="C35" s="11">
        <f>SUM(C4:C34)</f>
        <v>179999</v>
      </c>
      <c r="D35" s="11">
        <f>SUM(D4:D34)</f>
        <v>0</v>
      </c>
      <c r="E35" s="11">
        <f>SUM(E4:E34)</f>
        <v>0</v>
      </c>
      <c r="F35" s="11">
        <f>+E35-D35+C35-B35</f>
        <v>-13282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-27360.920000000002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37290</v>
      </c>
      <c r="C41" s="106"/>
      <c r="D41" s="106"/>
      <c r="E41" s="106"/>
      <c r="F41" s="106">
        <f>+F38+F40</f>
        <v>438875.21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37290</v>
      </c>
      <c r="D47" s="350">
        <f>+F35</f>
        <v>-13282</v>
      </c>
      <c r="E47" s="11"/>
      <c r="F47" s="11"/>
      <c r="G47" s="25"/>
    </row>
    <row r="48" spans="1:7" x14ac:dyDescent="0.2">
      <c r="D48" s="14">
        <f>+D47+D46</f>
        <v>7478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539935</v>
      </c>
      <c r="C36" s="11">
        <f>SUM(C5:C35)</f>
        <v>544704</v>
      </c>
      <c r="D36" s="11">
        <f>SUM(D5:D35)</f>
        <v>-8506</v>
      </c>
      <c r="E36" s="11">
        <f>SUM(E5:E35)</f>
        <v>0</v>
      </c>
      <c r="F36" s="11">
        <f>SUM(F5:F35)</f>
        <v>13275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37290</v>
      </c>
      <c r="F41" s="333">
        <f>+F39+F36</f>
        <v>15099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37290</v>
      </c>
      <c r="C48" s="32"/>
      <c r="D48" s="32"/>
      <c r="E48" s="375">
        <f>+F36*'by type_area'!G3</f>
        <v>27346.5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-430140.5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37290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37290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D46" sqref="D4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37287</v>
      </c>
      <c r="I7" s="3" t="s">
        <v>258</v>
      </c>
      <c r="J7" s="15"/>
    </row>
    <row r="8" spans="1:14" x14ac:dyDescent="0.2">
      <c r="A8" s="248">
        <v>50895</v>
      </c>
      <c r="B8" s="340"/>
      <c r="J8" s="15"/>
    </row>
    <row r="9" spans="1:14" x14ac:dyDescent="0.2">
      <c r="A9" s="248">
        <v>60874</v>
      </c>
      <c r="B9" s="340"/>
      <c r="J9" s="15"/>
    </row>
    <row r="10" spans="1:14" x14ac:dyDescent="0.2">
      <c r="A10" s="248">
        <v>78169</v>
      </c>
      <c r="B10" s="340"/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/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/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/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/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0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1508753.99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37287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37287</v>
      </c>
      <c r="F39" s="350">
        <f>+B18</f>
        <v>0</v>
      </c>
      <c r="G39" s="350">
        <f>+B31</f>
        <v>0</v>
      </c>
      <c r="H39" s="350">
        <f>+B46</f>
        <v>0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367789</v>
      </c>
      <c r="G40" s="14">
        <f>+G39+G38</f>
        <v>117857</v>
      </c>
      <c r="H40" s="14">
        <f>+H39+H38</f>
        <v>193435</v>
      </c>
      <c r="I40" s="14">
        <f>+H40+G40+F40</f>
        <v>679081</v>
      </c>
    </row>
    <row r="41" spans="1:9" x14ac:dyDescent="0.2">
      <c r="G41" s="32"/>
      <c r="H41" s="15"/>
      <c r="I41" s="32"/>
    </row>
    <row r="42" spans="1:9" x14ac:dyDescent="0.2">
      <c r="A42" s="245">
        <v>37287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1"/>
      <c r="I44" s="14"/>
    </row>
    <row r="45" spans="1:9" x14ac:dyDescent="0.2">
      <c r="A45" s="32">
        <v>500392</v>
      </c>
      <c r="B45" s="250"/>
      <c r="G45" s="32"/>
      <c r="H45" s="381"/>
      <c r="I45" s="14"/>
    </row>
    <row r="46" spans="1:9" x14ac:dyDescent="0.2">
      <c r="B46" s="14">
        <f>SUM(B43:B45)</f>
        <v>0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0</v>
      </c>
      <c r="H47" s="381"/>
      <c r="I47" s="14"/>
    </row>
    <row r="48" spans="1:9" x14ac:dyDescent="0.2">
      <c r="C48" s="321">
        <f>+C47+C40</f>
        <v>855876.1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2737001.24</v>
      </c>
      <c r="I57" s="14">
        <f>SUM(I40:I54)</f>
        <v>734414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-87441.469999999739</v>
      </c>
      <c r="I62" s="31">
        <f>+I57+DEFS!K49</f>
        <v>286961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B27" sqref="B2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2737001.24</v>
      </c>
      <c r="M51" s="14">
        <f>+Duke!I57</f>
        <v>734414</v>
      </c>
    </row>
    <row r="53" spans="3:13" x14ac:dyDescent="0.2">
      <c r="F53" s="104">
        <f>+F51+F49</f>
        <v>-87441.469999999739</v>
      </c>
      <c r="M53" s="16">
        <f>+M51+K49</f>
        <v>286961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193435</v>
      </c>
      <c r="C77" s="259">
        <f>+Duke!C48</f>
        <v>855876.1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367789</v>
      </c>
      <c r="C79" s="259">
        <f>+Duke!C20</f>
        <v>1508753.99</v>
      </c>
    </row>
    <row r="81" spans="2:3" x14ac:dyDescent="0.2">
      <c r="B81" s="31">
        <f>SUM(B68:B80)</f>
        <v>286961</v>
      </c>
      <c r="C81" s="259">
        <f>SUM(C68:C80)</f>
        <v>-87441.469999999739</v>
      </c>
    </row>
    <row r="82" spans="2:3" x14ac:dyDescent="0.2">
      <c r="C82">
        <f>+C81/B81</f>
        <v>-0.30471551883356879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D42" sqref="D4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5822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-1092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5725</v>
      </c>
      <c r="C10" s="11">
        <v>5511</v>
      </c>
      <c r="D10" s="11">
        <v>10</v>
      </c>
      <c r="E10" s="11">
        <v>6</v>
      </c>
      <c r="F10" s="129">
        <v>926</v>
      </c>
      <c r="G10" s="11">
        <v>581</v>
      </c>
      <c r="H10" s="11">
        <v>1440</v>
      </c>
      <c r="I10" s="11">
        <v>895</v>
      </c>
      <c r="J10" s="25">
        <f t="shared" si="0"/>
        <v>-1108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16355</v>
      </c>
      <c r="C39" s="11">
        <f t="shared" si="1"/>
        <v>16533</v>
      </c>
      <c r="D39" s="11">
        <f t="shared" si="1"/>
        <v>35</v>
      </c>
      <c r="E39" s="11">
        <f t="shared" si="1"/>
        <v>18</v>
      </c>
      <c r="F39" s="129">
        <f t="shared" si="1"/>
        <v>2611</v>
      </c>
      <c r="G39" s="11">
        <f t="shared" si="1"/>
        <v>1743</v>
      </c>
      <c r="H39" s="11">
        <f t="shared" si="1"/>
        <v>4151</v>
      </c>
      <c r="I39" s="11">
        <f t="shared" si="1"/>
        <v>2685</v>
      </c>
      <c r="J39" s="25">
        <f t="shared" si="1"/>
        <v>-2173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-4476.38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37290</v>
      </c>
      <c r="C43" s="48"/>
      <c r="J43" s="138">
        <f>+J42+J41</f>
        <v>338908.62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37290</v>
      </c>
      <c r="B48" s="32"/>
      <c r="C48" s="32"/>
      <c r="D48" s="350">
        <f>+J39</f>
        <v>-2173</v>
      </c>
      <c r="L48"/>
    </row>
    <row r="49" spans="1:12" x14ac:dyDescent="0.2">
      <c r="A49" s="32"/>
      <c r="B49" s="32"/>
      <c r="C49" s="32"/>
      <c r="D49" s="14">
        <f>+D48+D47</f>
        <v>134259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-154</v>
      </c>
      <c r="E10" s="411"/>
      <c r="F10" s="307">
        <f t="shared" si="0"/>
        <v>154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/>
      <c r="E11" s="411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-477</v>
      </c>
      <c r="E39" s="411">
        <f>SUM(E8:E38)</f>
        <v>0</v>
      </c>
      <c r="F39" s="411">
        <f>SUM(F8:F38)</f>
        <v>477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982.62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37290</v>
      </c>
      <c r="B43" s="285"/>
      <c r="C43" s="436"/>
      <c r="D43" s="436"/>
      <c r="E43" s="436"/>
      <c r="F43" s="417">
        <f>+F42+F41</f>
        <v>153217.25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37290</v>
      </c>
      <c r="B48" s="32"/>
      <c r="C48" s="32"/>
      <c r="D48" s="350">
        <f>+F39</f>
        <v>477</v>
      </c>
      <c r="E48" s="11"/>
    </row>
    <row r="49" spans="1:5" x14ac:dyDescent="0.2">
      <c r="A49" s="32"/>
      <c r="B49" s="32"/>
      <c r="C49" s="32"/>
      <c r="D49" s="14">
        <f>+D48+D47</f>
        <v>-367882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topLeftCell="A37" workbookViewId="0">
      <selection activeCell="D47" sqref="D47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41885.682674884258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1508753.99</v>
      </c>
      <c r="C8" s="206">
        <f>+B8/$G$5</f>
        <v>732404.8495145631</v>
      </c>
      <c r="D8" s="364">
        <f>+Duke!A7</f>
        <v>37287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1228247.25</v>
      </c>
      <c r="C9" s="206">
        <f>+B9/$G$5</f>
        <v>596236.52912621363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825054.8600000001</v>
      </c>
      <c r="C10" s="275">
        <f>+B10/$G$4</f>
        <v>400512.0679611651</v>
      </c>
      <c r="D10" s="365">
        <f>+PNM!A23</f>
        <v>37290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438875.21</v>
      </c>
      <c r="C11" s="275">
        <f>+B11/$G$4</f>
        <v>213046.21844660194</v>
      </c>
      <c r="D11" s="364">
        <f>+Conoco!A41</f>
        <v>37290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370427.14</v>
      </c>
      <c r="C12" s="275">
        <f>+Mojave!D40</f>
        <v>179819</v>
      </c>
      <c r="D12" s="365">
        <f>+Mojave!A40</f>
        <v>37290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338908.62</v>
      </c>
      <c r="C13" s="275">
        <f>+B13/$G$4</f>
        <v>164518.74757281554</v>
      </c>
      <c r="D13" s="365">
        <f>+mewborne!A43</f>
        <v>37290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37290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+B8+B9+B43</f>
        <v>-87441.469999999739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31</v>
      </c>
      <c r="B16" s="346">
        <f>+C16*$G$5</f>
        <v>217333.50200000001</v>
      </c>
      <c r="C16" s="275">
        <f>+Lonestar!F43</f>
        <v>105501.7</v>
      </c>
      <c r="D16" s="364">
        <f>+Lonestar!A43</f>
        <v>37290</v>
      </c>
      <c r="E16" s="32" t="s">
        <v>84</v>
      </c>
      <c r="F16" s="32" t="s">
        <v>303</v>
      </c>
      <c r="G16" s="32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443" t="s">
        <v>79</v>
      </c>
      <c r="B17" s="509">
        <f>+Agave!$D$24</f>
        <v>196204.49</v>
      </c>
      <c r="C17" s="464">
        <f>+B17/$G$4</f>
        <v>95244.898058252424</v>
      </c>
      <c r="D17" s="463">
        <f>+Agave!A24</f>
        <v>37290</v>
      </c>
      <c r="E17" s="443" t="s">
        <v>85</v>
      </c>
      <c r="F17" s="443" t="s">
        <v>303</v>
      </c>
      <c r="G17" s="443" t="s">
        <v>102</v>
      </c>
      <c r="H17" s="443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207</v>
      </c>
      <c r="B18" s="346">
        <f>+Dominion!D41</f>
        <v>174270.36</v>
      </c>
      <c r="C18" s="275">
        <f>+B18/$G$5</f>
        <v>84597.262135922327</v>
      </c>
      <c r="D18" s="365">
        <f>+Dominion!A41</f>
        <v>37290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171396.12</v>
      </c>
      <c r="C19" s="206">
        <f>+SoCal!F40</f>
        <v>83202</v>
      </c>
      <c r="D19" s="364">
        <f>+SoCal!A40</f>
        <v>37290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153217.25</v>
      </c>
      <c r="C20" s="275">
        <f>+B20/$G$4</f>
        <v>74377.305825242714</v>
      </c>
      <c r="D20" s="365">
        <f>+'Amoco Abo'!A43</f>
        <v>37290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210</v>
      </c>
      <c r="B21" s="346">
        <f>+Devon!D41</f>
        <v>138899.48000000001</v>
      </c>
      <c r="C21" s="275">
        <f>+B21/$G$5</f>
        <v>67426.932038834959</v>
      </c>
      <c r="D21" s="365">
        <f>+Devon!A41</f>
        <v>37290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120295.2</v>
      </c>
      <c r="C22" s="206">
        <f>+B22/$G$5</f>
        <v>58395.728155339806</v>
      </c>
      <c r="D22" s="364">
        <f>+EPFS!A41</f>
        <v>37290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66105.400000000009</v>
      </c>
      <c r="C26" s="206">
        <f>+'PG&amp;E'!D40</f>
        <v>32090</v>
      </c>
      <c r="D26" s="365">
        <f>+'PG&amp;E'!A40</f>
        <v>37290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32" t="s">
        <v>23</v>
      </c>
      <c r="B27" s="346">
        <f>+C27*$G$3</f>
        <v>36262.18</v>
      </c>
      <c r="C27" s="348">
        <f>+'Red C'!$F$45</f>
        <v>17603</v>
      </c>
      <c r="D27" s="364">
        <f>+'Red C'!A45</f>
        <v>37290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32" t="s">
        <v>110</v>
      </c>
      <c r="B28" s="346">
        <f>+C28*$G$4</f>
        <v>36229.22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32" t="s">
        <v>300</v>
      </c>
      <c r="B29" s="346">
        <f>+Stratland!$D$41</f>
        <v>34122.25</v>
      </c>
      <c r="C29" s="275">
        <f t="shared" ref="C29:C35" si="0">+B29/$G$4</f>
        <v>16564.199029126212</v>
      </c>
      <c r="D29" s="364">
        <f>+Stratland!A41</f>
        <v>37271</v>
      </c>
      <c r="E29" s="32" t="s">
        <v>85</v>
      </c>
      <c r="F29" s="32" t="s">
        <v>302</v>
      </c>
      <c r="G29" s="32" t="s">
        <v>102</v>
      </c>
      <c r="H29" s="32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204" t="s">
        <v>139</v>
      </c>
      <c r="B30" s="346">
        <f>+'Citizens-Griffith'!D41</f>
        <v>31899.5</v>
      </c>
      <c r="C30" s="275">
        <f t="shared" si="0"/>
        <v>15485.194174757282</v>
      </c>
      <c r="D30" s="364">
        <f>+'Citizens-Griffith'!A41</f>
        <v>37290</v>
      </c>
      <c r="E30" s="204" t="s">
        <v>85</v>
      </c>
      <c r="F30" s="204" t="s">
        <v>303</v>
      </c>
      <c r="G30" s="204" t="s">
        <v>99</v>
      </c>
      <c r="H30" s="204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204" t="s">
        <v>71</v>
      </c>
      <c r="B31" s="347">
        <f>+transcol!$D$43</f>
        <v>31795.9</v>
      </c>
      <c r="C31" s="348">
        <f t="shared" si="0"/>
        <v>15434.902912621359</v>
      </c>
      <c r="D31" s="364">
        <f>+transcol!A43</f>
        <v>37290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1</v>
      </c>
      <c r="B32" s="346">
        <f>+C32*$G$3</f>
        <v>31103.940000000002</v>
      </c>
      <c r="C32" s="206">
        <f>+NW!$F$41</f>
        <v>15099</v>
      </c>
      <c r="D32" s="364">
        <f>+NW!B41</f>
        <v>37290</v>
      </c>
      <c r="E32" s="32" t="s">
        <v>84</v>
      </c>
      <c r="F32" s="32" t="s">
        <v>153</v>
      </c>
      <c r="G32" s="32" t="s">
        <v>115</v>
      </c>
      <c r="H32" s="35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109</v>
      </c>
      <c r="B33" s="346">
        <f>+Continental!F43</f>
        <v>27491.7</v>
      </c>
      <c r="C33" s="206">
        <f t="shared" si="0"/>
        <v>13345.485436893205</v>
      </c>
      <c r="D33" s="364">
        <f>+Continental!A43</f>
        <v>37290</v>
      </c>
      <c r="E33" s="204" t="s">
        <v>85</v>
      </c>
      <c r="F33" s="204" t="s">
        <v>154</v>
      </c>
      <c r="G33" s="204" t="s">
        <v>115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283</v>
      </c>
      <c r="B34" s="346">
        <f>+'WTG inc'!N43</f>
        <v>25673.48</v>
      </c>
      <c r="C34" s="275">
        <f t="shared" si="0"/>
        <v>12462.854368932038</v>
      </c>
      <c r="D34" s="365">
        <f>+'WTG inc'!A43</f>
        <v>37290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32" t="s">
        <v>103</v>
      </c>
      <c r="B35" s="346">
        <f>+EOG!$J$41</f>
        <v>18980</v>
      </c>
      <c r="C35" s="275">
        <f t="shared" si="0"/>
        <v>9213.5922330097092</v>
      </c>
      <c r="D35" s="364">
        <f>+EOG!A41</f>
        <v>37287</v>
      </c>
      <c r="E35" s="32" t="s">
        <v>85</v>
      </c>
      <c r="F35" s="32" t="s">
        <v>302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127</v>
      </c>
      <c r="B36" s="346">
        <f>+Calpine!D41</f>
        <v>15275.580000000002</v>
      </c>
      <c r="C36" s="206">
        <f>+B36/$G$4</f>
        <v>7415.3300970873797</v>
      </c>
      <c r="D36" s="364">
        <f>+Calpine!A41</f>
        <v>37290</v>
      </c>
      <c r="E36" s="204" t="s">
        <v>85</v>
      </c>
      <c r="F36" s="204" t="s">
        <v>153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2" customFormat="1" ht="13.5" customHeight="1" x14ac:dyDescent="0.2">
      <c r="A37" s="32" t="s">
        <v>291</v>
      </c>
      <c r="B37" s="346">
        <f>+C37*$G$3</f>
        <v>14593.04</v>
      </c>
      <c r="C37" s="275">
        <f>+Amoco!D40</f>
        <v>7084</v>
      </c>
      <c r="D37" s="365">
        <f>+Amoco!A40</f>
        <v>37290</v>
      </c>
      <c r="E37" s="32" t="s">
        <v>84</v>
      </c>
      <c r="F37" s="32" t="s">
        <v>153</v>
      </c>
      <c r="G37" s="32" t="s">
        <v>115</v>
      </c>
      <c r="H37" s="32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3.5" customHeight="1" x14ac:dyDescent="0.2">
      <c r="A38" s="204" t="s">
        <v>147</v>
      </c>
      <c r="B38" s="346">
        <f>+PGETX!$H$39</f>
        <v>9867</v>
      </c>
      <c r="C38" s="275">
        <f>+B38/$G$4</f>
        <v>4789.8058252427181</v>
      </c>
      <c r="D38" s="364">
        <f>+PGETX!E39</f>
        <v>37287</v>
      </c>
      <c r="E38" s="204" t="s">
        <v>85</v>
      </c>
      <c r="F38" s="204" t="s">
        <v>154</v>
      </c>
      <c r="G38" s="204" t="s">
        <v>102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131</v>
      </c>
      <c r="B39" s="349">
        <f>+SidR!D41</f>
        <v>4721.78</v>
      </c>
      <c r="C39" s="71">
        <f>+B39/$G$5</f>
        <v>2292.1262135922329</v>
      </c>
      <c r="D39" s="365">
        <f>+SidR!A41</f>
        <v>37290</v>
      </c>
      <c r="E39" s="32" t="s">
        <v>85</v>
      </c>
      <c r="F39" s="32" t="s">
        <v>152</v>
      </c>
      <c r="G39" s="32" t="s">
        <v>102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7125169.1320000039</v>
      </c>
      <c r="C40" s="69">
        <f>SUM(C8:C39)</f>
        <v>3458819.9669902902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1"/>
      <c r="G41" s="351"/>
      <c r="H41" s="32"/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5" t="s">
        <v>89</v>
      </c>
      <c r="B42" s="336" t="s">
        <v>16</v>
      </c>
      <c r="C42" s="337" t="s">
        <v>0</v>
      </c>
      <c r="D42" s="344" t="s">
        <v>146</v>
      </c>
      <c r="E42" s="335" t="s">
        <v>90</v>
      </c>
      <c r="F42" s="338" t="s">
        <v>101</v>
      </c>
      <c r="G42" s="338" t="s">
        <v>101</v>
      </c>
      <c r="H42" s="335" t="s">
        <v>98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248</v>
      </c>
      <c r="B43" s="347">
        <f>+DEFS!$C$40+DEFS!$E$40+DEFS!$F$44+DEFS!$F$45+DEFS!$F$46+DEFS!$F$47+DEFS!$F$48</f>
        <v>-2824442.71</v>
      </c>
      <c r="C43" s="348">
        <f>+B43/$G$5</f>
        <v>-1371088.6941747572</v>
      </c>
      <c r="D43" s="364">
        <f>+DEFS!A40</f>
        <v>37290</v>
      </c>
      <c r="E43" s="204" t="s">
        <v>85</v>
      </c>
      <c r="F43" s="32" t="s">
        <v>153</v>
      </c>
      <c r="G43" s="32" t="s">
        <v>100</v>
      </c>
      <c r="H43" s="32" t="s">
        <v>312</v>
      </c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135</v>
      </c>
      <c r="B44" s="346">
        <f>+Citizens!D18</f>
        <v>-550339.18999999994</v>
      </c>
      <c r="C44" s="206">
        <f>+B44/$G$4</f>
        <v>-267154.94660194172</v>
      </c>
      <c r="D44" s="364">
        <f>+Citizens!A18</f>
        <v>37287</v>
      </c>
      <c r="E44" s="204" t="s">
        <v>85</v>
      </c>
      <c r="F44" s="204" t="s">
        <v>303</v>
      </c>
      <c r="G44" s="204" t="s">
        <v>99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133</v>
      </c>
      <c r="B45" s="346">
        <f>+'NS Steel'!D41</f>
        <v>-294110.32</v>
      </c>
      <c r="C45" s="206">
        <f>+B45/$G$4</f>
        <v>-142772</v>
      </c>
      <c r="D45" s="365">
        <f>+'NS Steel'!A41</f>
        <v>37290</v>
      </c>
      <c r="E45" s="32" t="s">
        <v>85</v>
      </c>
      <c r="F45" s="32" t="s">
        <v>154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260</v>
      </c>
      <c r="B46" s="346">
        <f>+MiVida_Rich!D41</f>
        <v>-203736.06</v>
      </c>
      <c r="C46" s="206">
        <f>+B46/$G$5</f>
        <v>-98901</v>
      </c>
      <c r="D46" s="364">
        <f>+MiVida_Rich!A41</f>
        <v>37256</v>
      </c>
      <c r="E46" s="204" t="s">
        <v>85</v>
      </c>
      <c r="F46" s="204" t="s">
        <v>152</v>
      </c>
      <c r="G46" s="204" t="s">
        <v>102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6</v>
      </c>
      <c r="B47" s="346">
        <f>+Oasis!$D$40</f>
        <v>-135517.85999999999</v>
      </c>
      <c r="C47" s="206">
        <f>+B47/$G$5</f>
        <v>-65785.368932038822</v>
      </c>
      <c r="D47" s="365">
        <f>+Oasis!A40</f>
        <v>37290</v>
      </c>
      <c r="E47" s="32" t="s">
        <v>85</v>
      </c>
      <c r="F47" s="32" t="s">
        <v>154</v>
      </c>
      <c r="G47" s="32" t="s">
        <v>102</v>
      </c>
      <c r="H47" s="3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s="593" customFormat="1" ht="13.5" customHeight="1" x14ac:dyDescent="0.2">
      <c r="A48" s="32" t="s">
        <v>216</v>
      </c>
      <c r="B48" s="346">
        <f>+crosstex!F41</f>
        <v>-135032.64000000001</v>
      </c>
      <c r="C48" s="206">
        <f>+B48/$G$4</f>
        <v>-65549.825242718449</v>
      </c>
      <c r="D48" s="365">
        <f>+crosstex!A41</f>
        <v>37290</v>
      </c>
      <c r="E48" s="32" t="s">
        <v>85</v>
      </c>
      <c r="F48" s="32" t="s">
        <v>152</v>
      </c>
      <c r="G48" s="32" t="s">
        <v>100</v>
      </c>
      <c r="H48" s="352"/>
      <c r="I48" s="249"/>
      <c r="J48" s="249"/>
      <c r="K48" s="249"/>
      <c r="L48" s="249"/>
      <c r="M48" s="32"/>
      <c r="N48" s="471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">
      <c r="A49" s="204" t="s">
        <v>87</v>
      </c>
      <c r="B49" s="346">
        <f>+NNG!$D$24</f>
        <v>-72322.260000000009</v>
      </c>
      <c r="C49" s="275">
        <f>+B49/$G$4</f>
        <v>-35107.893203883497</v>
      </c>
      <c r="D49" s="364">
        <f>+NNG!A24</f>
        <v>37290</v>
      </c>
      <c r="E49" s="204" t="s">
        <v>85</v>
      </c>
      <c r="F49" s="204" t="s">
        <v>302</v>
      </c>
      <c r="G49" s="204" t="s">
        <v>100</v>
      </c>
      <c r="H49" s="204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-34625.18</v>
      </c>
      <c r="C50" s="206">
        <f>+B50/$G$4</f>
        <v>-16808.339805825242</v>
      </c>
      <c r="D50" s="364">
        <f>+WTGmktg!A43</f>
        <v>37290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2" customFormat="1" ht="13.5" customHeight="1" x14ac:dyDescent="0.2">
      <c r="A51" s="32" t="s">
        <v>280</v>
      </c>
      <c r="B51" s="346">
        <f>+SWGasTrans!$D$41</f>
        <v>-20477.36</v>
      </c>
      <c r="C51" s="275">
        <f>+B51/$G$4</f>
        <v>-9940.4660194174758</v>
      </c>
      <c r="D51" s="364">
        <f>+SWGasTrans!A41</f>
        <v>37290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92" customFormat="1" ht="13.5" customHeight="1" x14ac:dyDescent="0.2">
      <c r="A52" s="204" t="s">
        <v>95</v>
      </c>
      <c r="B52" s="346">
        <f>+burlington!D42</f>
        <v>-15598.96</v>
      </c>
      <c r="C52" s="275">
        <f>+B52/$G$3</f>
        <v>-7572.3106796116499</v>
      </c>
      <c r="D52" s="364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">
      <c r="A53" s="204" t="s">
        <v>28</v>
      </c>
      <c r="B53" s="346">
        <f>+C53*$G$3</f>
        <v>-13680.460000000001</v>
      </c>
      <c r="C53" s="275">
        <f>+williams!J40</f>
        <v>-6641</v>
      </c>
      <c r="D53" s="364">
        <f>+williams!A40</f>
        <v>37290</v>
      </c>
      <c r="E53" s="204" t="s">
        <v>85</v>
      </c>
      <c r="F53" s="204" t="s">
        <v>154</v>
      </c>
      <c r="G53" s="204" t="s">
        <v>293</v>
      </c>
      <c r="H53" s="204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SUM(B43:B54)</f>
        <v>-4305323.46</v>
      </c>
      <c r="C55" s="206">
        <f>SUM(C43:C54)</f>
        <v>-2089962.8446601939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+B55+B40</f>
        <v>2819845.672000004</v>
      </c>
      <c r="C57" s="355">
        <f>+C55+C40</f>
        <v>1368857.1223300963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7" sqref="B7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-56073-30987</f>
        <v>-87060</v>
      </c>
      <c r="C7" s="80">
        <v>-36051</v>
      </c>
      <c r="D7" s="80">
        <f t="shared" si="0"/>
        <v>51009</v>
      </c>
    </row>
    <row r="8" spans="1:4" x14ac:dyDescent="0.2">
      <c r="A8" s="32">
        <v>60667</v>
      </c>
      <c r="B8" s="309">
        <v>-4</v>
      </c>
      <c r="C8" s="80">
        <v>-111778</v>
      </c>
      <c r="D8" s="80">
        <f t="shared" si="0"/>
        <v>-111774</v>
      </c>
    </row>
    <row r="9" spans="1:4" x14ac:dyDescent="0.2">
      <c r="A9" s="32">
        <v>60749</v>
      </c>
      <c r="B9" s="309"/>
      <c r="C9" s="80">
        <v>13946</v>
      </c>
      <c r="D9" s="80">
        <f t="shared" si="0"/>
        <v>13946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f>-28440+21842</f>
        <v>-6598</v>
      </c>
      <c r="C11" s="80"/>
      <c r="D11" s="80">
        <f t="shared" si="0"/>
        <v>6598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-40221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-82855.260000000009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37290</v>
      </c>
      <c r="B24" s="69"/>
      <c r="C24" s="69"/>
      <c r="D24" s="332">
        <f>+D22+D20</f>
        <v>-72322.260000000009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37290</v>
      </c>
      <c r="D33" s="350">
        <f>+D18</f>
        <v>-40221</v>
      </c>
    </row>
    <row r="34" spans="1:4" x14ac:dyDescent="0.2">
      <c r="D34" s="14">
        <f>+D33+D32</f>
        <v>-36799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7" workbookViewId="0">
      <selection activeCell="C29" sqref="C2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-9479-3735</f>
        <v>-13214</v>
      </c>
      <c r="C5" s="90">
        <v>-5330</v>
      </c>
      <c r="D5" s="90">
        <f t="shared" ref="D5:D13" si="0">+C5-B5</f>
        <v>7884</v>
      </c>
      <c r="E5" s="69"/>
      <c r="F5" s="201"/>
    </row>
    <row r="6" spans="1:13" x14ac:dyDescent="0.2">
      <c r="A6" s="87">
        <v>9238</v>
      </c>
      <c r="B6" s="90">
        <f>-2827-1418</f>
        <v>-4245</v>
      </c>
      <c r="C6" s="90">
        <v>-3000</v>
      </c>
      <c r="D6" s="90">
        <f t="shared" si="0"/>
        <v>1245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-216151-88124</f>
        <v>-304275</v>
      </c>
      <c r="C7" s="90">
        <v>-289318</v>
      </c>
      <c r="D7" s="90">
        <f t="shared" si="0"/>
        <v>14957</v>
      </c>
      <c r="E7" s="275"/>
      <c r="F7" s="201"/>
    </row>
    <row r="8" spans="1:13" x14ac:dyDescent="0.2">
      <c r="A8" s="87">
        <v>58710</v>
      </c>
      <c r="B8" s="90"/>
      <c r="C8" s="90">
        <v>-243</v>
      </c>
      <c r="D8" s="90">
        <f t="shared" si="0"/>
        <v>-243</v>
      </c>
      <c r="E8" s="275"/>
      <c r="F8" s="201"/>
    </row>
    <row r="9" spans="1:13" x14ac:dyDescent="0.2">
      <c r="A9" s="87">
        <v>60921</v>
      </c>
      <c r="B9" s="90">
        <f>-200655-65617</f>
        <v>-266272</v>
      </c>
      <c r="C9" s="90">
        <v>-281438</v>
      </c>
      <c r="D9" s="90">
        <f t="shared" si="0"/>
        <v>-15166</v>
      </c>
      <c r="E9" s="275"/>
      <c r="F9" s="201"/>
    </row>
    <row r="10" spans="1:13" x14ac:dyDescent="0.2">
      <c r="A10" s="87">
        <v>78026</v>
      </c>
      <c r="B10" s="90"/>
      <c r="C10" s="90">
        <v>1650</v>
      </c>
      <c r="D10" s="90">
        <f t="shared" si="0"/>
        <v>1650</v>
      </c>
      <c r="E10" s="275"/>
      <c r="F10" s="467"/>
    </row>
    <row r="11" spans="1:13" x14ac:dyDescent="0.2">
      <c r="A11" s="87">
        <v>500084</v>
      </c>
      <c r="B11" s="90">
        <f>-4744-2337</f>
        <v>-7081</v>
      </c>
      <c r="C11" s="90">
        <v>-9000</v>
      </c>
      <c r="D11" s="90">
        <f t="shared" si="0"/>
        <v>-1919</v>
      </c>
      <c r="E11" s="276"/>
      <c r="F11" s="467"/>
    </row>
    <row r="12" spans="1:13" x14ac:dyDescent="0.2">
      <c r="A12" s="317">
        <v>500085</v>
      </c>
      <c r="B12" s="90">
        <v>-144</v>
      </c>
      <c r="C12" s="90"/>
      <c r="D12" s="90">
        <f t="shared" si="0"/>
        <v>144</v>
      </c>
      <c r="E12" s="275"/>
      <c r="F12" s="467"/>
    </row>
    <row r="13" spans="1:13" x14ac:dyDescent="0.2">
      <c r="A13" s="87">
        <v>500097</v>
      </c>
      <c r="B13" s="90">
        <v>-13101</v>
      </c>
      <c r="C13" s="90">
        <v>-12000</v>
      </c>
      <c r="D13" s="90">
        <f t="shared" si="0"/>
        <v>1101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9653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19885.18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37290</v>
      </c>
      <c r="B23" s="88"/>
      <c r="C23" s="88"/>
      <c r="D23" s="318">
        <f>+D21+D19</f>
        <v>825054.8600000001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37290</v>
      </c>
      <c r="B29" s="32"/>
      <c r="C29" s="32"/>
      <c r="D29" s="350">
        <f>+D17</f>
        <v>9653</v>
      </c>
    </row>
    <row r="30" spans="1:7" x14ac:dyDescent="0.2">
      <c r="A30" s="32"/>
      <c r="B30" s="32"/>
      <c r="C30" s="32"/>
      <c r="D30" s="14">
        <f>+D29+D28</f>
        <v>335367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E27" sqref="E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37290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37290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28" sqref="C2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-61740</v>
      </c>
      <c r="C35" s="11">
        <f>SUM(C4:C34)</f>
        <v>-59880</v>
      </c>
      <c r="D35" s="11">
        <f>SUM(D4:D34)</f>
        <v>1860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37290</v>
      </c>
      <c r="D40" s="51">
        <f>+D38+D35</f>
        <v>179819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37290</v>
      </c>
      <c r="B46" s="32"/>
      <c r="C46" s="32"/>
      <c r="D46" s="375">
        <f>+D35*'by type_area'!G4</f>
        <v>3831.6</v>
      </c>
    </row>
    <row r="47" spans="1:4" x14ac:dyDescent="0.2">
      <c r="A47" s="32"/>
      <c r="B47" s="32"/>
      <c r="C47" s="32"/>
      <c r="D47" s="200">
        <f>+D46+D45</f>
        <v>185207.6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E11" sqref="E1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195</v>
      </c>
      <c r="F39" s="25">
        <f>SUM(F8:F38)</f>
        <v>195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401.7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37290</v>
      </c>
      <c r="C43" s="48"/>
      <c r="F43" s="138">
        <f>+F42+F41</f>
        <v>27491.7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37290</v>
      </c>
      <c r="B49" s="32"/>
      <c r="C49" s="32"/>
      <c r="D49" s="350">
        <f>+F39</f>
        <v>195</v>
      </c>
    </row>
    <row r="50" spans="1:4" x14ac:dyDescent="0.2">
      <c r="A50" s="32"/>
      <c r="B50" s="32"/>
      <c r="C50" s="32"/>
      <c r="D50" s="14">
        <f>+D49+D48</f>
        <v>-2505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17495.580000000002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37290</v>
      </c>
      <c r="C41" s="48"/>
      <c r="D41" s="138">
        <f>+D40+D39</f>
        <v>15275.580000000002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37290</v>
      </c>
      <c r="B46" s="32"/>
      <c r="C46" s="32"/>
      <c r="D46" s="350">
        <f>+D37</f>
        <v>8493</v>
      </c>
    </row>
    <row r="47" spans="1:4" x14ac:dyDescent="0.2">
      <c r="A47" s="32"/>
      <c r="B47" s="32"/>
      <c r="C47" s="32"/>
      <c r="D47" s="14">
        <f>+D46+D45</f>
        <v>94525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" workbookViewId="0">
      <selection activeCell="C42" sqref="C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27386</v>
      </c>
      <c r="C8" s="11">
        <v>31394</v>
      </c>
      <c r="D8" s="25">
        <f t="shared" si="0"/>
        <v>4008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84936</v>
      </c>
      <c r="C37" s="11">
        <f>SUM(C6:C36)</f>
        <v>94306</v>
      </c>
      <c r="D37" s="25">
        <f>SUM(D6:D36)</f>
        <v>9370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19302.2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37290</v>
      </c>
      <c r="C41" s="48"/>
      <c r="D41" s="138">
        <f>+D40+D39</f>
        <v>120295.2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37290</v>
      </c>
      <c r="B46" s="32"/>
      <c r="C46" s="32"/>
      <c r="D46" s="350">
        <f>+D37</f>
        <v>9370</v>
      </c>
    </row>
    <row r="47" spans="1:4" x14ac:dyDescent="0.2">
      <c r="A47" s="32"/>
      <c r="B47" s="32"/>
      <c r="C47" s="32"/>
      <c r="D47" s="14">
        <f>+D46+D45</f>
        <v>71602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I30" sqref="I3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45017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-2214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1002745</v>
      </c>
      <c r="C35" s="11">
        <f t="shared" ref="C35:I35" si="3">SUM(C4:C34)</f>
        <v>1010843</v>
      </c>
      <c r="D35" s="11">
        <f t="shared" si="3"/>
        <v>134902</v>
      </c>
      <c r="E35" s="11">
        <f t="shared" si="3"/>
        <v>120731</v>
      </c>
      <c r="F35" s="11">
        <f t="shared" si="3"/>
        <v>106166</v>
      </c>
      <c r="G35" s="11">
        <f t="shared" si="3"/>
        <v>116083</v>
      </c>
      <c r="H35" s="11">
        <f t="shared" si="3"/>
        <v>355757</v>
      </c>
      <c r="I35" s="11">
        <f t="shared" si="3"/>
        <v>342212</v>
      </c>
      <c r="J35" s="11">
        <f>SUM(J4:J34)</f>
        <v>-9701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37290</v>
      </c>
      <c r="J40" s="51">
        <f>+J38+J35</f>
        <v>-6641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37290</v>
      </c>
      <c r="B47" s="32"/>
      <c r="C47" s="32"/>
      <c r="D47" s="375">
        <f>+J35*'by type_area'!G3</f>
        <v>-19984.060000000001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-13650.060000000001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9" sqref="C9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4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4" x14ac:dyDescent="0.2">
      <c r="A8" s="10">
        <v>3</v>
      </c>
      <c r="B8" s="11">
        <v>45365</v>
      </c>
      <c r="C8" s="11">
        <v>45393</v>
      </c>
      <c r="D8" s="25">
        <f t="shared" si="0"/>
        <v>28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136856</v>
      </c>
      <c r="C37" s="11">
        <f>SUM(C6:C36)</f>
        <v>137019</v>
      </c>
      <c r="D37" s="25">
        <f>SUM(D6:D36)</f>
        <v>163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335.78000000000003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37290</v>
      </c>
      <c r="C41" s="48"/>
      <c r="D41" s="138">
        <f>+D40+D39</f>
        <v>4721.78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37290</v>
      </c>
      <c r="B47" s="32"/>
      <c r="C47" s="32"/>
      <c r="D47" s="350">
        <f>+D37</f>
        <v>163</v>
      </c>
    </row>
    <row r="48" spans="1:4" x14ac:dyDescent="0.2">
      <c r="A48" s="32"/>
      <c r="B48" s="32"/>
      <c r="C48" s="32"/>
      <c r="D48" s="14">
        <f>+D47+D46</f>
        <v>2088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-684</v>
      </c>
      <c r="C37" s="11">
        <f>SUM(C6:C36)</f>
        <v>-1306</v>
      </c>
      <c r="D37" s="25">
        <f>SUM(D6:D36)</f>
        <v>-622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-1281.32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37290</v>
      </c>
      <c r="C41" s="48"/>
      <c r="D41" s="138">
        <f>+D40+D39</f>
        <v>-294110.32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37290</v>
      </c>
      <c r="B49" s="32"/>
      <c r="C49" s="32"/>
      <c r="D49" s="350">
        <f>+D37</f>
        <v>-622</v>
      </c>
    </row>
    <row r="50" spans="1:4" x14ac:dyDescent="0.2">
      <c r="A50" s="32"/>
      <c r="B50" s="32"/>
      <c r="C50" s="32"/>
      <c r="D50" s="14">
        <f>+D49+D48</f>
        <v>-14966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40" sqref="C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-38014</v>
      </c>
      <c r="C8" s="11">
        <v>-45943</v>
      </c>
      <c r="D8" s="25">
        <f t="shared" si="0"/>
        <v>-7929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-166894</v>
      </c>
      <c r="C37" s="11">
        <f>SUM(C6:C36)</f>
        <v>-161869</v>
      </c>
      <c r="D37" s="25">
        <f>SUM(D6:D36)</f>
        <v>5025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10351.5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37290</v>
      </c>
      <c r="C41" s="48"/>
      <c r="D41" s="138">
        <f>+D40+D39</f>
        <v>31899.5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37290</v>
      </c>
      <c r="B47" s="32"/>
      <c r="C47" s="32"/>
      <c r="D47" s="350">
        <f>+D37</f>
        <v>5025</v>
      </c>
    </row>
    <row r="48" spans="1:4" x14ac:dyDescent="0.2">
      <c r="A48" s="32"/>
      <c r="B48" s="32"/>
      <c r="C48" s="32"/>
      <c r="D48" s="14">
        <f>+D47+D46</f>
        <v>18967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37290</v>
      </c>
      <c r="C41" s="48"/>
      <c r="D41" s="25">
        <f>+D40+D37</f>
        <v>-2641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594</v>
      </c>
      <c r="C37" s="11">
        <f>SUM(C6:C36)</f>
        <v>450</v>
      </c>
      <c r="D37" s="25">
        <f>SUM(D6:D36)</f>
        <v>-144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-296.64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37290</v>
      </c>
      <c r="C41" s="48"/>
      <c r="D41" s="138">
        <f>+D40+D39</f>
        <v>174270.36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37290</v>
      </c>
      <c r="B47" s="32"/>
      <c r="C47" s="32"/>
      <c r="D47" s="350">
        <f>+D37</f>
        <v>-144</v>
      </c>
    </row>
    <row r="48" spans="1:4" x14ac:dyDescent="0.2">
      <c r="A48" s="32"/>
      <c r="B48" s="32"/>
      <c r="C48" s="32"/>
      <c r="D48" s="14">
        <f>+D47+D46</f>
        <v>76246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1353</v>
      </c>
      <c r="C8" s="11">
        <v>180</v>
      </c>
      <c r="D8" s="25">
        <f t="shared" si="0"/>
        <v>-1173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4282</v>
      </c>
      <c r="C37" s="11">
        <f>SUM(C6:C36)</f>
        <v>540</v>
      </c>
      <c r="D37" s="25">
        <f>SUM(D6:D36)</f>
        <v>-3742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-7708.52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37290</v>
      </c>
      <c r="C41" s="48"/>
      <c r="D41" s="138">
        <f>+D40+D39</f>
        <v>138899.48000000001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37290</v>
      </c>
      <c r="B47" s="32"/>
      <c r="C47" s="32"/>
      <c r="D47" s="350">
        <f>+D37</f>
        <v>-3742</v>
      </c>
    </row>
    <row r="48" spans="1:4" x14ac:dyDescent="0.2">
      <c r="A48" s="32"/>
      <c r="B48" s="32"/>
      <c r="C48" s="32"/>
      <c r="D48" s="14">
        <f>+D47+D46</f>
        <v>23203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C31" sqref="C31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-21847</v>
      </c>
      <c r="C7" s="11">
        <v>-10000</v>
      </c>
      <c r="D7" s="11">
        <v>-48201</v>
      </c>
      <c r="E7" s="11">
        <v>-47537</v>
      </c>
      <c r="F7" s="11">
        <f t="shared" si="0"/>
        <v>12511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-32387</v>
      </c>
      <c r="C36" s="44">
        <f>SUM(C5:C35)</f>
        <v>-20000</v>
      </c>
      <c r="D36" s="43">
        <f>SUM(D5:D35)</f>
        <v>-108752</v>
      </c>
      <c r="E36" s="43">
        <f>SUM(E5:E35)</f>
        <v>-107094</v>
      </c>
      <c r="F36" s="11">
        <f>SUM(F5:F35)</f>
        <v>14045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28932.7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37290</v>
      </c>
      <c r="B43" s="32"/>
      <c r="C43" s="106"/>
      <c r="D43" s="106"/>
      <c r="E43" s="106"/>
      <c r="F43" s="24">
        <f>+F40+F42</f>
        <v>105501.7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37290</v>
      </c>
      <c r="B49" s="32"/>
      <c r="C49" s="32"/>
      <c r="D49" s="76">
        <f>+F36</f>
        <v>14045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65994.239999999991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-733968</v>
      </c>
      <c r="C35" s="11">
        <f>SUM(C4:C34)</f>
        <v>-730600</v>
      </c>
      <c r="D35" s="11">
        <f>SUM(D4:D34)</f>
        <v>3368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37290</v>
      </c>
      <c r="D40" s="51">
        <f>+D38+D35</f>
        <v>32090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37290</v>
      </c>
      <c r="B46" s="32"/>
      <c r="C46" s="32"/>
      <c r="D46" s="375">
        <f>+D35*'by type_area'!G4</f>
        <v>6938.08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-136730.92000000001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-1819697</v>
      </c>
      <c r="C35" s="11">
        <f>SUM(C4:C34)</f>
        <v>-1830507</v>
      </c>
      <c r="D35" s="11">
        <f>SUM(D4:D34)</f>
        <v>0</v>
      </c>
      <c r="E35" s="11">
        <f>SUM(E4:E34)</f>
        <v>0</v>
      </c>
      <c r="F35" s="11">
        <f>SUM(F4:F34)</f>
        <v>-10810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37290</v>
      </c>
      <c r="D40" s="246"/>
      <c r="E40" s="246"/>
      <c r="F40" s="51">
        <f>+F38+F35</f>
        <v>83202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37290</v>
      </c>
      <c r="B46" s="32"/>
      <c r="C46" s="32"/>
      <c r="D46" s="474">
        <f>+F35*'by type_area'!G4</f>
        <v>-22268.600000000002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287999.40000000002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1" sqref="B2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37287</v>
      </c>
      <c r="F39" s="473"/>
      <c r="G39" s="473"/>
      <c r="H39" s="319">
        <f>+H38+H37</f>
        <v>9867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37287</v>
      </c>
      <c r="E47" s="459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32476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12604</v>
      </c>
      <c r="E10" s="11">
        <v>13033</v>
      </c>
      <c r="F10" s="11">
        <f t="shared" si="5"/>
        <v>173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37290</v>
      </c>
      <c r="I23" s="11">
        <f>+B39</f>
        <v>546591</v>
      </c>
      <c r="J23" s="11">
        <f>+C39</f>
        <v>545863</v>
      </c>
      <c r="K23" s="11">
        <f>+D39</f>
        <v>38117</v>
      </c>
      <c r="L23" s="11">
        <f>+E39</f>
        <v>38446</v>
      </c>
      <c r="M23" s="42">
        <f>+J23-I23+L23-K23</f>
        <v>-399</v>
      </c>
      <c r="N23" s="102">
        <f>+summary!G3</f>
        <v>2.06</v>
      </c>
      <c r="O23" s="502">
        <f>+N23*M23</f>
        <v>-821.94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89401</v>
      </c>
      <c r="N24" s="102"/>
      <c r="O24" s="102">
        <f>SUM(O9:O23)</f>
        <v>567294.4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546591</v>
      </c>
      <c r="C39" s="150">
        <f>SUM(C8:C38)</f>
        <v>545863</v>
      </c>
      <c r="D39" s="150">
        <f>SUM(D8:D38)</f>
        <v>38117</v>
      </c>
      <c r="E39" s="150">
        <f>SUM(E8:E38)</f>
        <v>38446</v>
      </c>
      <c r="F39" s="11">
        <f t="shared" si="5"/>
        <v>-399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37290</v>
      </c>
      <c r="B45" s="32"/>
      <c r="C45" s="106"/>
      <c r="D45" s="106"/>
      <c r="E45" s="106"/>
      <c r="F45" s="24">
        <f>+F44+F39</f>
        <v>17603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37290</v>
      </c>
      <c r="B51" s="32"/>
      <c r="C51" s="32"/>
      <c r="D51" s="350">
        <f>+F39*summary!G3</f>
        <v>-821.94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408432.06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2002-02-04T17:10:29Z</cp:lastPrinted>
  <dcterms:created xsi:type="dcterms:W3CDTF">2000-03-28T16:52:23Z</dcterms:created>
  <dcterms:modified xsi:type="dcterms:W3CDTF">2014-09-03T14:23:03Z</dcterms:modified>
</cp:coreProperties>
</file>