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type_area'!$A$56:$H$93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NGPL!$A$1:$H$39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8" i="8" s="1"/>
  <c r="D30" i="8" s="1"/>
  <c r="D31" i="8" s="1"/>
  <c r="D10" i="8"/>
  <c r="D11" i="8"/>
  <c r="D12" i="8"/>
  <c r="D13" i="8"/>
  <c r="D14" i="8"/>
  <c r="D15" i="8"/>
  <c r="D16" i="8"/>
  <c r="D17" i="8"/>
  <c r="A29" i="8"/>
  <c r="A30" i="8"/>
  <c r="P6" i="88"/>
  <c r="P7" i="88"/>
  <c r="P37" i="88" s="1"/>
  <c r="D47" i="88" s="1"/>
  <c r="D48" i="88" s="1"/>
  <c r="D43" i="80" s="1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A46" i="88"/>
  <c r="A47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A45" i="12"/>
  <c r="A46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D48" i="18" s="1"/>
  <c r="D49" i="18" s="1"/>
  <c r="D28" i="80" s="1"/>
  <c r="A47" i="18"/>
  <c r="A48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H42" i="69"/>
  <c r="H44" i="69"/>
  <c r="A47" i="69"/>
  <c r="A48" i="69"/>
  <c r="H3" i="80"/>
  <c r="F12" i="80"/>
  <c r="F13" i="80"/>
  <c r="F14" i="80"/>
  <c r="F15" i="80"/>
  <c r="F16" i="80"/>
  <c r="F20" i="80"/>
  <c r="F21" i="80"/>
  <c r="F22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F38" i="80"/>
  <c r="F39" i="80"/>
  <c r="F40" i="80"/>
  <c r="F41" i="80"/>
  <c r="F42" i="80"/>
  <c r="F43" i="80"/>
  <c r="F44" i="80"/>
  <c r="F45" i="80"/>
  <c r="F46" i="80"/>
  <c r="F47" i="80"/>
  <c r="D48" i="80"/>
  <c r="F48" i="80"/>
  <c r="H57" i="80"/>
  <c r="F66" i="80"/>
  <c r="F67" i="80"/>
  <c r="F68" i="80"/>
  <c r="F69" i="80"/>
  <c r="F73" i="80"/>
  <c r="F74" i="80"/>
  <c r="F75" i="80"/>
  <c r="F76" i="80"/>
  <c r="F80" i="80"/>
  <c r="F81" i="80"/>
  <c r="F82" i="80"/>
  <c r="F83" i="80"/>
  <c r="A128" i="80"/>
  <c r="D6" i="74"/>
  <c r="D7" i="74"/>
  <c r="D8" i="74"/>
  <c r="J8" i="74"/>
  <c r="J17" i="74" s="1"/>
  <c r="L8" i="74"/>
  <c r="L17" i="74" s="1"/>
  <c r="D9" i="74"/>
  <c r="J9" i="74"/>
  <c r="L9" i="74" s="1"/>
  <c r="D10" i="74"/>
  <c r="J10" i="74"/>
  <c r="L10" i="74" s="1"/>
  <c r="D11" i="74"/>
  <c r="H11" i="74"/>
  <c r="J11" i="74" s="1"/>
  <c r="L11" i="74" s="1"/>
  <c r="D12" i="74"/>
  <c r="H12" i="74"/>
  <c r="J12" i="74"/>
  <c r="L12" i="74" s="1"/>
  <c r="D13" i="74"/>
  <c r="J13" i="74"/>
  <c r="L13" i="74" s="1"/>
  <c r="D14" i="74"/>
  <c r="J14" i="74"/>
  <c r="L14" i="74" s="1"/>
  <c r="D15" i="74"/>
  <c r="D16" i="74"/>
  <c r="D17" i="74"/>
  <c r="D18" i="74"/>
  <c r="D19" i="74"/>
  <c r="H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I19" i="74" s="1"/>
  <c r="J19" i="74" s="1"/>
  <c r="A45" i="74"/>
  <c r="A46" i="74"/>
  <c r="D8" i="72"/>
  <c r="D9" i="72"/>
  <c r="D10" i="72"/>
  <c r="D11" i="72"/>
  <c r="D12" i="72"/>
  <c r="D13" i="72"/>
  <c r="D14" i="72"/>
  <c r="D15" i="72"/>
  <c r="D39" i="72" s="1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A47" i="72"/>
  <c r="A48" i="72"/>
  <c r="D5" i="78"/>
  <c r="D6" i="78"/>
  <c r="D7" i="78"/>
  <c r="B8" i="78"/>
  <c r="D8" i="78" s="1"/>
  <c r="D9" i="78"/>
  <c r="D10" i="78"/>
  <c r="D11" i="78"/>
  <c r="D12" i="78"/>
  <c r="D23" i="78" s="1"/>
  <c r="D24" i="78" s="1"/>
  <c r="D16" i="80" s="1"/>
  <c r="A22" i="78"/>
  <c r="A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A46" i="79"/>
  <c r="A47" i="79"/>
  <c r="F4" i="13"/>
  <c r="K4" i="13"/>
  <c r="M4" i="13" s="1"/>
  <c r="F5" i="13"/>
  <c r="I5" i="13"/>
  <c r="J5" i="13"/>
  <c r="K5" i="13" s="1"/>
  <c r="M5" i="13"/>
  <c r="N5" i="13"/>
  <c r="F6" i="13"/>
  <c r="I6" i="13"/>
  <c r="J6" i="13"/>
  <c r="N6" i="13"/>
  <c r="F7" i="13"/>
  <c r="I7" i="13"/>
  <c r="J7" i="13"/>
  <c r="K7" i="13"/>
  <c r="M7" i="13" s="1"/>
  <c r="N7" i="13"/>
  <c r="F8" i="13"/>
  <c r="I8" i="13"/>
  <c r="J8" i="13"/>
  <c r="K8" i="13" s="1"/>
  <c r="M8" i="13" s="1"/>
  <c r="N8" i="13"/>
  <c r="N10" i="13" s="1"/>
  <c r="F9" i="13"/>
  <c r="I9" i="13"/>
  <c r="J9" i="13"/>
  <c r="K9" i="13" s="1"/>
  <c r="M9" i="13" s="1"/>
  <c r="N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F35" i="13" s="1"/>
  <c r="D47" i="13" s="1"/>
  <c r="D35" i="13"/>
  <c r="E35" i="13"/>
  <c r="F37" i="13"/>
  <c r="F38" i="13" s="1"/>
  <c r="F41" i="13" s="1"/>
  <c r="B27" i="80" s="1"/>
  <c r="A46" i="13"/>
  <c r="A47" i="13"/>
  <c r="D48" i="13"/>
  <c r="D27" i="80" s="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A48" i="71"/>
  <c r="A49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40" i="87"/>
  <c r="A46" i="87"/>
  <c r="D46" i="87"/>
  <c r="A47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H35" i="73"/>
  <c r="J35" i="73"/>
  <c r="J36" i="73" s="1"/>
  <c r="C36" i="73"/>
  <c r="I35" i="73" s="1"/>
  <c r="I36" i="73" s="1"/>
  <c r="D30" i="80" s="1"/>
  <c r="E36" i="73"/>
  <c r="F39" i="73"/>
  <c r="H41" i="73"/>
  <c r="F46" i="73"/>
  <c r="K46" i="73"/>
  <c r="B68" i="73"/>
  <c r="C68" i="73"/>
  <c r="B69" i="73"/>
  <c r="C69" i="73"/>
  <c r="B70" i="73"/>
  <c r="C70" i="73"/>
  <c r="B71" i="73"/>
  <c r="C71" i="73"/>
  <c r="B72" i="73"/>
  <c r="C72" i="73"/>
  <c r="B75" i="73"/>
  <c r="C75" i="73"/>
  <c r="B76" i="73"/>
  <c r="C76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A46" i="86"/>
  <c r="A47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A46" i="85"/>
  <c r="A47" i="85"/>
  <c r="B8" i="20"/>
  <c r="B10" i="20"/>
  <c r="B18" i="20" s="1"/>
  <c r="F39" i="20" s="1"/>
  <c r="F40" i="20" s="1"/>
  <c r="J11" i="20"/>
  <c r="J15" i="20" s="1"/>
  <c r="B13" i="20"/>
  <c r="B14" i="20"/>
  <c r="B15" i="20"/>
  <c r="B17" i="20"/>
  <c r="B31" i="20"/>
  <c r="E38" i="20"/>
  <c r="E39" i="20"/>
  <c r="G39" i="20"/>
  <c r="G40" i="20" s="1"/>
  <c r="C73" i="20" s="1"/>
  <c r="B46" i="20"/>
  <c r="H39" i="20" s="1"/>
  <c r="H40" i="20" s="1"/>
  <c r="B75" i="20"/>
  <c r="C75" i="20"/>
  <c r="B76" i="20"/>
  <c r="C76" i="20"/>
  <c r="B79" i="20"/>
  <c r="C79" i="20"/>
  <c r="B80" i="20"/>
  <c r="C80" i="20"/>
  <c r="B81" i="20"/>
  <c r="C81" i="20"/>
  <c r="B82" i="20"/>
  <c r="C8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F16" i="11"/>
  <c r="AI16" i="11"/>
  <c r="AL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 s="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 s="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 s="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C37" i="11" s="1"/>
  <c r="C45" i="11" s="1"/>
  <c r="C46" i="11" s="1"/>
  <c r="D36" i="11"/>
  <c r="E36" i="11"/>
  <c r="E37" i="11" s="1"/>
  <c r="F36" i="11"/>
  <c r="G36" i="11"/>
  <c r="AC36" i="11"/>
  <c r="AE36" i="11"/>
  <c r="AF36" i="11"/>
  <c r="AI36" i="11"/>
  <c r="AL36" i="11"/>
  <c r="AM36" i="11"/>
  <c r="AN36" i="11"/>
  <c r="AO36" i="11"/>
  <c r="AP36" i="11"/>
  <c r="AA37" i="11"/>
  <c r="AM37" i="11" s="1"/>
  <c r="AC37" i="11"/>
  <c r="AF37" i="11"/>
  <c r="AI37" i="11"/>
  <c r="AL37" i="11"/>
  <c r="AN37" i="11"/>
  <c r="AO37" i="11"/>
  <c r="AP37" i="11"/>
  <c r="H38" i="11"/>
  <c r="AC38" i="11"/>
  <c r="AE38" i="11"/>
  <c r="AF38" i="11" s="1"/>
  <c r="AI38" i="11"/>
  <c r="AL38" i="11"/>
  <c r="AM38" i="11"/>
  <c r="AN38" i="11"/>
  <c r="AO38" i="11"/>
  <c r="C39" i="11"/>
  <c r="B68" i="80" s="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O47" i="11" s="1"/>
  <c r="AK47" i="11"/>
  <c r="AM47" i="11"/>
  <c r="AN47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A46" i="70"/>
  <c r="A47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A45" i="75"/>
  <c r="A46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37" i="22" s="1"/>
  <c r="D47" i="22" s="1"/>
  <c r="D48" i="22" s="1"/>
  <c r="D29" i="80" s="1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J37" i="22"/>
  <c r="F38" i="22"/>
  <c r="I38" i="22"/>
  <c r="A46" i="22"/>
  <c r="A47" i="22"/>
  <c r="F5" i="5"/>
  <c r="F6" i="5"/>
  <c r="F7" i="5"/>
  <c r="F8" i="5"/>
  <c r="F9" i="5"/>
  <c r="F10" i="5"/>
  <c r="F11" i="5"/>
  <c r="O11" i="5"/>
  <c r="P11" i="5"/>
  <c r="P12" i="5" s="1"/>
  <c r="P13" i="5" s="1"/>
  <c r="P14" i="5" s="1"/>
  <c r="F12" i="5"/>
  <c r="O12" i="5"/>
  <c r="F13" i="5"/>
  <c r="O13" i="5"/>
  <c r="F14" i="5"/>
  <c r="O14" i="5"/>
  <c r="F15" i="5"/>
  <c r="O15" i="5"/>
  <c r="P15" i="5"/>
  <c r="P16" i="5" s="1"/>
  <c r="P17" i="5" s="1"/>
  <c r="P18" i="5" s="1"/>
  <c r="F16" i="5"/>
  <c r="O16" i="5"/>
  <c r="F17" i="5"/>
  <c r="O17" i="5"/>
  <c r="F18" i="5"/>
  <c r="O18" i="5"/>
  <c r="F19" i="5"/>
  <c r="O19" i="5"/>
  <c r="F20" i="5"/>
  <c r="O20" i="5"/>
  <c r="F21" i="5"/>
  <c r="O21" i="5"/>
  <c r="F22" i="5"/>
  <c r="O22" i="5"/>
  <c r="F23" i="5"/>
  <c r="O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42" i="5"/>
  <c r="A48" i="5"/>
  <c r="A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A47" i="17"/>
  <c r="A48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A46" i="89"/>
  <c r="A47" i="89"/>
  <c r="D4" i="68"/>
  <c r="D5" i="68"/>
  <c r="D6" i="68"/>
  <c r="D7" i="68"/>
  <c r="D8" i="68"/>
  <c r="D9" i="68"/>
  <c r="D10" i="68"/>
  <c r="D11" i="68"/>
  <c r="D35" i="68" s="1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H3" i="67"/>
  <c r="H34" i="67" s="1"/>
  <c r="H4" i="67"/>
  <c r="H5" i="67"/>
  <c r="H6" i="67"/>
  <c r="H7" i="67"/>
  <c r="H8" i="67"/>
  <c r="H9" i="67"/>
  <c r="H10" i="67"/>
  <c r="N10" i="67"/>
  <c r="P10" i="67" s="1"/>
  <c r="U10" i="67"/>
  <c r="H11" i="67"/>
  <c r="L11" i="67"/>
  <c r="N11" i="67"/>
  <c r="P11" i="67" s="1"/>
  <c r="U11" i="67"/>
  <c r="W11" i="67"/>
  <c r="H12" i="67"/>
  <c r="L12" i="67"/>
  <c r="N12" i="67" s="1"/>
  <c r="P12" i="67" s="1"/>
  <c r="U12" i="67"/>
  <c r="W12" i="67" s="1"/>
  <c r="H13" i="67"/>
  <c r="L13" i="67"/>
  <c r="N13" i="67"/>
  <c r="P13" i="67" s="1"/>
  <c r="U13" i="67"/>
  <c r="W13" i="67" s="1"/>
  <c r="H14" i="67"/>
  <c r="N14" i="67"/>
  <c r="P14" i="67"/>
  <c r="U14" i="67"/>
  <c r="H15" i="67"/>
  <c r="U15" i="67"/>
  <c r="H16" i="67"/>
  <c r="H17" i="67"/>
  <c r="H18" i="67"/>
  <c r="H19" i="67"/>
  <c r="H20" i="67"/>
  <c r="H21" i="67"/>
  <c r="H22" i="67"/>
  <c r="H23" i="67"/>
  <c r="H24" i="67"/>
  <c r="H25" i="67"/>
  <c r="H26" i="67"/>
  <c r="H27" i="67"/>
  <c r="H28" i="67"/>
  <c r="H29" i="67"/>
  <c r="H30" i="67"/>
  <c r="H31" i="67"/>
  <c r="H32" i="67"/>
  <c r="T32" i="67"/>
  <c r="T34" i="67" s="1"/>
  <c r="H33" i="67"/>
  <c r="T33" i="67"/>
  <c r="B34" i="67"/>
  <c r="C34" i="67"/>
  <c r="D34" i="67"/>
  <c r="E34" i="67"/>
  <c r="F34" i="67"/>
  <c r="G34" i="67"/>
  <c r="H37" i="67"/>
  <c r="A43" i="67"/>
  <c r="D43" i="67"/>
  <c r="A44" i="67"/>
  <c r="F44" i="67"/>
  <c r="F45" i="67" s="1"/>
  <c r="D6" i="65"/>
  <c r="D7" i="65"/>
  <c r="D8" i="65"/>
  <c r="D9" i="65"/>
  <c r="D10" i="65"/>
  <c r="D11" i="65"/>
  <c r="D12" i="65"/>
  <c r="D13" i="65"/>
  <c r="D14" i="65"/>
  <c r="D19" i="65"/>
  <c r="A33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 s="1"/>
  <c r="D18" i="77"/>
  <c r="K18" i="77"/>
  <c r="M18" i="77"/>
  <c r="D19" i="77"/>
  <c r="K19" i="77"/>
  <c r="M19" i="77"/>
  <c r="D20" i="77"/>
  <c r="K20" i="77"/>
  <c r="M20" i="77" s="1"/>
  <c r="D21" i="77"/>
  <c r="K21" i="77"/>
  <c r="M21" i="77"/>
  <c r="D22" i="77"/>
  <c r="K22" i="77"/>
  <c r="M22" i="77" s="1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8" i="77"/>
  <c r="A48" i="77"/>
  <c r="A49" i="77"/>
  <c r="F5" i="7"/>
  <c r="Z5" i="7"/>
  <c r="AD5" i="7" s="1"/>
  <c r="AG5" i="7" s="1"/>
  <c r="AG6" i="7" s="1"/>
  <c r="AF5" i="7"/>
  <c r="AH5" i="7" s="1"/>
  <c r="F6" i="7"/>
  <c r="Z6" i="7"/>
  <c r="AD6" i="7"/>
  <c r="AF6" i="7"/>
  <c r="F7" i="7"/>
  <c r="Z7" i="7"/>
  <c r="AD7" i="7" s="1"/>
  <c r="AF7" i="7" s="1"/>
  <c r="F8" i="7"/>
  <c r="Z8" i="7"/>
  <c r="AD8" i="7" s="1"/>
  <c r="AF8" i="7" s="1"/>
  <c r="F9" i="7"/>
  <c r="Z9" i="7"/>
  <c r="AD9" i="7" s="1"/>
  <c r="AF9" i="7" s="1"/>
  <c r="F10" i="7"/>
  <c r="Z10" i="7"/>
  <c r="AD10" i="7"/>
  <c r="AF10" i="7" s="1"/>
  <c r="F11" i="7"/>
  <c r="Z11" i="7"/>
  <c r="AD11" i="7" s="1"/>
  <c r="AF11" i="7" s="1"/>
  <c r="F12" i="7"/>
  <c r="Z12" i="7"/>
  <c r="AD12" i="7"/>
  <c r="AF12" i="7" s="1"/>
  <c r="F13" i="7"/>
  <c r="Z13" i="7"/>
  <c r="AD13" i="7"/>
  <c r="AF13" i="7" s="1"/>
  <c r="F14" i="7"/>
  <c r="Z14" i="7"/>
  <c r="AD14" i="7"/>
  <c r="AF14" i="7" s="1"/>
  <c r="F15" i="7"/>
  <c r="Z15" i="7"/>
  <c r="AD15" i="7" s="1"/>
  <c r="AF15" i="7"/>
  <c r="F16" i="7"/>
  <c r="Z16" i="7"/>
  <c r="AD16" i="7" s="1"/>
  <c r="AF16" i="7" s="1"/>
  <c r="F17" i="7"/>
  <c r="Z17" i="7"/>
  <c r="AD17" i="7" s="1"/>
  <c r="AF17" i="7" s="1"/>
  <c r="F18" i="7"/>
  <c r="AI18" i="7"/>
  <c r="F19" i="7"/>
  <c r="Z19" i="7"/>
  <c r="AD19" i="7" s="1"/>
  <c r="AF19" i="7" s="1"/>
  <c r="AH19" i="7" s="1"/>
  <c r="AH20" i="7" s="1"/>
  <c r="AG19" i="7"/>
  <c r="AI19" i="7"/>
  <c r="F20" i="7"/>
  <c r="Z20" i="7"/>
  <c r="AD20" i="7" s="1"/>
  <c r="AF20" i="7" s="1"/>
  <c r="F21" i="7"/>
  <c r="Z21" i="7"/>
  <c r="AD21" i="7" s="1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 s="1"/>
  <c r="D46" i="16" s="1"/>
  <c r="D37" i="16"/>
  <c r="D38" i="16"/>
  <c r="D40" i="16" s="1"/>
  <c r="A45" i="16"/>
  <c r="A46" i="16"/>
  <c r="D47" i="16"/>
  <c r="D35" i="80" s="1"/>
  <c r="D6" i="81"/>
  <c r="D7" i="81"/>
  <c r="D8" i="81"/>
  <c r="D37" i="81" s="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A45" i="81"/>
  <c r="A46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A45" i="28"/>
  <c r="A46" i="28"/>
  <c r="H4" i="9"/>
  <c r="P4" i="9"/>
  <c r="R4" i="9" s="1"/>
  <c r="R19" i="9" s="1"/>
  <c r="R22" i="9" s="1"/>
  <c r="H5" i="9"/>
  <c r="P5" i="9"/>
  <c r="R5" i="9"/>
  <c r="H6" i="9"/>
  <c r="P6" i="9"/>
  <c r="R6" i="9"/>
  <c r="H7" i="9"/>
  <c r="N7" i="9"/>
  <c r="P7" i="9"/>
  <c r="R7" i="9" s="1"/>
  <c r="H8" i="9"/>
  <c r="P8" i="9"/>
  <c r="R8" i="9" s="1"/>
  <c r="H9" i="9"/>
  <c r="N9" i="9"/>
  <c r="P9" i="9"/>
  <c r="R9" i="9" s="1"/>
  <c r="H10" i="9"/>
  <c r="P10" i="9"/>
  <c r="R10" i="9"/>
  <c r="H11" i="9"/>
  <c r="P11" i="9"/>
  <c r="R11" i="9"/>
  <c r="H12" i="9"/>
  <c r="P12" i="9"/>
  <c r="R12" i="9"/>
  <c r="H13" i="9"/>
  <c r="P13" i="9"/>
  <c r="R13" i="9" s="1"/>
  <c r="H14" i="9"/>
  <c r="P14" i="9"/>
  <c r="R14" i="9"/>
  <c r="H15" i="9"/>
  <c r="P15" i="9"/>
  <c r="R15" i="9"/>
  <c r="H16" i="9"/>
  <c r="P16" i="9"/>
  <c r="R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6" i="9"/>
  <c r="B46" i="9"/>
  <c r="H46" i="9"/>
  <c r="B47" i="9"/>
  <c r="N6" i="93"/>
  <c r="N7" i="93"/>
  <c r="N37" i="93" s="1"/>
  <c r="D49" i="93" s="1"/>
  <c r="D50" i="93" s="1"/>
  <c r="D45" i="80" s="1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8" i="93"/>
  <c r="N41" i="93"/>
  <c r="A48" i="93"/>
  <c r="D48" i="93"/>
  <c r="A49" i="93"/>
  <c r="D5" i="64"/>
  <c r="D6" i="64"/>
  <c r="B7" i="64"/>
  <c r="D7" i="64" s="1"/>
  <c r="D17" i="64" s="1"/>
  <c r="D29" i="64" s="1"/>
  <c r="D30" i="64" s="1"/>
  <c r="D33" i="80" s="1"/>
  <c r="D8" i="64"/>
  <c r="D9" i="64"/>
  <c r="D10" i="64"/>
  <c r="D11" i="64"/>
  <c r="D12" i="64"/>
  <c r="D13" i="64"/>
  <c r="A28" i="64"/>
  <c r="A29" i="64"/>
  <c r="F8" i="15"/>
  <c r="AF8" i="15"/>
  <c r="AJ8" i="15"/>
  <c r="AJ39" i="15" s="1"/>
  <c r="AJ45" i="15" s="1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 s="1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 s="1"/>
  <c r="AV21" i="15"/>
  <c r="F22" i="15"/>
  <c r="M22" i="15"/>
  <c r="O22" i="15" s="1"/>
  <c r="AF22" i="15"/>
  <c r="AJ22" i="15"/>
  <c r="AN22" i="15"/>
  <c r="AQ22" i="15"/>
  <c r="AR22" i="15"/>
  <c r="AV22" i="15"/>
  <c r="F23" i="15"/>
  <c r="H23" i="15"/>
  <c r="I23" i="15"/>
  <c r="J23" i="15"/>
  <c r="AF23" i="15"/>
  <c r="AJ23" i="15"/>
  <c r="AN23" i="15"/>
  <c r="AQ23" i="15"/>
  <c r="AR23" i="15" s="1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 s="1"/>
  <c r="AV26" i="15"/>
  <c r="F27" i="15"/>
  <c r="AF27" i="15"/>
  <c r="AJ27" i="15"/>
  <c r="AN27" i="15"/>
  <c r="AQ27" i="15"/>
  <c r="AR27" i="15"/>
  <c r="AV27" i="15"/>
  <c r="F28" i="15"/>
  <c r="AF28" i="15"/>
  <c r="AI28" i="15"/>
  <c r="AJ28" i="15" s="1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 s="1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K23" i="15" s="1"/>
  <c r="E39" i="15"/>
  <c r="L23" i="15" s="1"/>
  <c r="AD39" i="15"/>
  <c r="AE39" i="15"/>
  <c r="AF39" i="15"/>
  <c r="AF45" i="15" s="1"/>
  <c r="AH39" i="15"/>
  <c r="AI39" i="15"/>
  <c r="AL39" i="15"/>
  <c r="AM39" i="15"/>
  <c r="AP39" i="15"/>
  <c r="AQ39" i="15"/>
  <c r="AT39" i="15"/>
  <c r="AU39" i="15"/>
  <c r="A50" i="15"/>
  <c r="A51" i="15"/>
  <c r="AH52" i="15"/>
  <c r="AH54" i="15" s="1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 s="1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I114" i="15" s="1"/>
  <c r="F126" i="15"/>
  <c r="F127" i="15"/>
  <c r="F128" i="15"/>
  <c r="F133" i="15" s="1"/>
  <c r="C133" i="15" s="1"/>
  <c r="F129" i="15"/>
  <c r="F130" i="15"/>
  <c r="F131" i="15"/>
  <c r="B132" i="15"/>
  <c r="F132" i="15" s="1"/>
  <c r="B133" i="15"/>
  <c r="B136" i="15" s="1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B174" i="15" s="1"/>
  <c r="C168" i="15"/>
  <c r="F169" i="15"/>
  <c r="F170" i="15"/>
  <c r="F171" i="15"/>
  <c r="F172" i="15"/>
  <c r="F173" i="15"/>
  <c r="C174" i="15"/>
  <c r="C175" i="15"/>
  <c r="B176" i="15"/>
  <c r="C176" i="15"/>
  <c r="F176" i="15" s="1"/>
  <c r="B178" i="15"/>
  <c r="C178" i="15"/>
  <c r="B180" i="15"/>
  <c r="C180" i="15"/>
  <c r="D6" i="76"/>
  <c r="D7" i="76"/>
  <c r="D8" i="76"/>
  <c r="D37" i="76" s="1"/>
  <c r="D47" i="76" s="1"/>
  <c r="D48" i="76" s="1"/>
  <c r="D36" i="80" s="1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8" i="76"/>
  <c r="A46" i="76"/>
  <c r="A47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D6" i="92"/>
  <c r="D37" i="92" s="1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A46" i="92"/>
  <c r="A47" i="92"/>
  <c r="D47" i="92"/>
  <c r="D48" i="92" s="1"/>
  <c r="D44" i="80" s="1"/>
  <c r="G3" i="63"/>
  <c r="N23" i="15" s="1"/>
  <c r="J3" i="63"/>
  <c r="G4" i="63"/>
  <c r="D18" i="64" s="1"/>
  <c r="G5" i="63"/>
  <c r="B19" i="20" s="1"/>
  <c r="C19" i="20" s="1"/>
  <c r="C20" i="20" s="1"/>
  <c r="D8" i="63"/>
  <c r="B9" i="63"/>
  <c r="C9" i="63" s="1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2" i="63"/>
  <c r="D33" i="63"/>
  <c r="D34" i="63"/>
  <c r="D35" i="63"/>
  <c r="D36" i="63"/>
  <c r="D37" i="63"/>
  <c r="D38" i="63"/>
  <c r="D39" i="63"/>
  <c r="D43" i="63"/>
  <c r="D44" i="63"/>
  <c r="D45" i="63"/>
  <c r="D46" i="63"/>
  <c r="D47" i="63"/>
  <c r="D48" i="63"/>
  <c r="D49" i="63"/>
  <c r="D50" i="63"/>
  <c r="P50" i="63"/>
  <c r="D51" i="63"/>
  <c r="D52" i="63"/>
  <c r="B84" i="63"/>
  <c r="B85" i="63"/>
  <c r="B95" i="63"/>
  <c r="D6" i="90"/>
  <c r="D7" i="90"/>
  <c r="D8" i="90"/>
  <c r="D37" i="90" s="1"/>
  <c r="D47" i="90" s="1"/>
  <c r="D48" i="90" s="1"/>
  <c r="D14" i="80" s="1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8" i="90"/>
  <c r="A46" i="90"/>
  <c r="A47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9" i="19" s="1"/>
  <c r="D50" i="19" s="1"/>
  <c r="D20" i="80" s="1"/>
  <c r="D40" i="19"/>
  <c r="A48" i="19"/>
  <c r="A49" i="19"/>
  <c r="J4" i="2"/>
  <c r="J5" i="2"/>
  <c r="J6" i="2"/>
  <c r="P6" i="2"/>
  <c r="R6" i="2" s="1"/>
  <c r="J7" i="2"/>
  <c r="P7" i="2"/>
  <c r="R7" i="2"/>
  <c r="J8" i="2"/>
  <c r="P8" i="2"/>
  <c r="R8" i="2" s="1"/>
  <c r="J9" i="2"/>
  <c r="P9" i="2"/>
  <c r="R9" i="2"/>
  <c r="J10" i="2"/>
  <c r="P10" i="2"/>
  <c r="P21" i="2" s="1"/>
  <c r="P23" i="2" s="1"/>
  <c r="R10" i="2"/>
  <c r="J11" i="2"/>
  <c r="P11" i="2"/>
  <c r="R11" i="2"/>
  <c r="J12" i="2"/>
  <c r="P12" i="2"/>
  <c r="R12" i="2" s="1"/>
  <c r="J13" i="2"/>
  <c r="P13" i="2"/>
  <c r="R13" i="2" s="1"/>
  <c r="J14" i="2"/>
  <c r="P14" i="2"/>
  <c r="R14" i="2"/>
  <c r="J15" i="2"/>
  <c r="P15" i="2"/>
  <c r="R15" i="2" s="1"/>
  <c r="J16" i="2"/>
  <c r="P16" i="2"/>
  <c r="R16" i="2"/>
  <c r="J17" i="2"/>
  <c r="N17" i="2"/>
  <c r="O17" i="2"/>
  <c r="P17" i="2"/>
  <c r="R17" i="2" s="1"/>
  <c r="J18" i="2"/>
  <c r="P18" i="2"/>
  <c r="Q18" i="2"/>
  <c r="R18" i="2" s="1"/>
  <c r="J19" i="2"/>
  <c r="J20" i="2"/>
  <c r="J21" i="2"/>
  <c r="J22" i="2"/>
  <c r="J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8" i="2"/>
  <c r="A46" i="2"/>
  <c r="D46" i="2"/>
  <c r="A47" i="2"/>
  <c r="D70" i="2"/>
  <c r="D73" i="2"/>
  <c r="D74" i="2" s="1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8" i="91"/>
  <c r="A48" i="91"/>
  <c r="A49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8" i="83"/>
  <c r="A48" i="83"/>
  <c r="A49" i="83"/>
  <c r="AI5" i="7" l="1"/>
  <c r="AH6" i="7"/>
  <c r="AH21" i="7"/>
  <c r="C72" i="20"/>
  <c r="C83" i="20" s="1"/>
  <c r="B79" i="73"/>
  <c r="C79" i="73"/>
  <c r="B72" i="20"/>
  <c r="D41" i="81"/>
  <c r="D40" i="68"/>
  <c r="I40" i="20"/>
  <c r="I57" i="20" s="1"/>
  <c r="B77" i="73"/>
  <c r="C74" i="20"/>
  <c r="D19" i="64"/>
  <c r="D23" i="64" s="1"/>
  <c r="R21" i="2"/>
  <c r="J37" i="83"/>
  <c r="N39" i="91"/>
  <c r="N43" i="91" s="1"/>
  <c r="D18" i="65"/>
  <c r="D33" i="65" s="1"/>
  <c r="D34" i="65" s="1"/>
  <c r="D26" i="80" s="1"/>
  <c r="E48" i="7"/>
  <c r="E49" i="7" s="1"/>
  <c r="D76" i="80" s="1"/>
  <c r="F41" i="7"/>
  <c r="N39" i="93"/>
  <c r="N43" i="93" s="1"/>
  <c r="D40" i="28"/>
  <c r="D39" i="77"/>
  <c r="D41" i="77" s="1"/>
  <c r="M23" i="77"/>
  <c r="F39" i="22"/>
  <c r="F41" i="22" s="1"/>
  <c r="E39" i="11"/>
  <c r="E45" i="11"/>
  <c r="F45" i="11" s="1"/>
  <c r="N37" i="91"/>
  <c r="D49" i="91" s="1"/>
  <c r="D50" i="91" s="1"/>
  <c r="D40" i="80" s="1"/>
  <c r="S12" i="2"/>
  <c r="D41" i="19"/>
  <c r="D43" i="19" s="1"/>
  <c r="K114" i="15"/>
  <c r="AN39" i="15"/>
  <c r="AR39" i="15"/>
  <c r="AR45" i="15" s="1"/>
  <c r="D37" i="75"/>
  <c r="D46" i="75" s="1"/>
  <c r="D47" i="75" s="1"/>
  <c r="D47" i="80" s="1"/>
  <c r="D68" i="80"/>
  <c r="F46" i="11"/>
  <c r="D75" i="80" s="1"/>
  <c r="M23" i="15"/>
  <c r="H35" i="9"/>
  <c r="E47" i="9" s="1"/>
  <c r="E48" i="9" s="1"/>
  <c r="D32" i="80" s="1"/>
  <c r="AG7" i="7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P16" i="67"/>
  <c r="D37" i="89"/>
  <c r="D47" i="89" s="1"/>
  <c r="D48" i="89" s="1"/>
  <c r="D37" i="80" s="1"/>
  <c r="P19" i="5"/>
  <c r="P20" i="5" s="1"/>
  <c r="P21" i="5" s="1"/>
  <c r="P22" i="5" s="1"/>
  <c r="P23" i="5" s="1"/>
  <c r="C68" i="80"/>
  <c r="E68" i="80" s="1"/>
  <c r="B74" i="73"/>
  <c r="K36" i="73"/>
  <c r="K49" i="73" s="1"/>
  <c r="C78" i="20"/>
  <c r="D39" i="90"/>
  <c r="D41" i="90" s="1"/>
  <c r="AV39" i="15"/>
  <c r="B35" i="80"/>
  <c r="C35" i="80" s="1"/>
  <c r="E35" i="80" s="1"/>
  <c r="B33" i="63"/>
  <c r="C33" i="63" s="1"/>
  <c r="U16" i="67"/>
  <c r="W10" i="67"/>
  <c r="W16" i="67" s="1"/>
  <c r="B73" i="73"/>
  <c r="B81" i="73" s="1"/>
  <c r="C77" i="20"/>
  <c r="D39" i="76"/>
  <c r="D41" i="76" s="1"/>
  <c r="F101" i="15"/>
  <c r="C101" i="15" s="1"/>
  <c r="F39" i="15"/>
  <c r="F36" i="5"/>
  <c r="D49" i="5" s="1"/>
  <c r="D50" i="5" s="1"/>
  <c r="D83" i="80" s="1"/>
  <c r="AP38" i="11"/>
  <c r="D37" i="85"/>
  <c r="D47" i="85" s="1"/>
  <c r="D48" i="85" s="1"/>
  <c r="D38" i="80" s="1"/>
  <c r="F35" i="6"/>
  <c r="D48" i="72"/>
  <c r="D49" i="72" s="1"/>
  <c r="D82" i="80" s="1"/>
  <c r="D42" i="72"/>
  <c r="J35" i="2"/>
  <c r="D47" i="2" s="1"/>
  <c r="D48" i="2" s="1"/>
  <c r="K113" i="15"/>
  <c r="H38" i="67"/>
  <c r="J39" i="17"/>
  <c r="D48" i="17" s="1"/>
  <c r="D49" i="17" s="1"/>
  <c r="D31" i="80" s="1"/>
  <c r="D37" i="86"/>
  <c r="D47" i="86" s="1"/>
  <c r="D48" i="86" s="1"/>
  <c r="D41" i="80" s="1"/>
  <c r="M13" i="13"/>
  <c r="J24" i="74"/>
  <c r="M9" i="74"/>
  <c r="M10" i="74" s="1"/>
  <c r="M11" i="74" s="1"/>
  <c r="M12" i="74" s="1"/>
  <c r="M13" i="74" s="1"/>
  <c r="M14" i="74" s="1"/>
  <c r="D38" i="75"/>
  <c r="D39" i="75" s="1"/>
  <c r="D41" i="75" s="1"/>
  <c r="H36" i="11"/>
  <c r="H39" i="11" s="1"/>
  <c r="C15" i="63" s="1"/>
  <c r="B78" i="73"/>
  <c r="G5" i="80"/>
  <c r="G59" i="80" s="1"/>
  <c r="C37" i="73"/>
  <c r="D38" i="86"/>
  <c r="D39" i="86" s="1"/>
  <c r="D41" i="86" s="1"/>
  <c r="D19" i="8"/>
  <c r="D20" i="8" s="1"/>
  <c r="D24" i="8" s="1"/>
  <c r="P19" i="9"/>
  <c r="F39" i="5"/>
  <c r="D37" i="74"/>
  <c r="D46" i="74" s="1"/>
  <c r="D47" i="74" s="1"/>
  <c r="D12" i="80" s="1"/>
  <c r="F40" i="71"/>
  <c r="J36" i="70"/>
  <c r="G4" i="80"/>
  <c r="G58" i="80" s="1"/>
  <c r="D13" i="78"/>
  <c r="D14" i="78" s="1"/>
  <c r="D18" i="78" s="1"/>
  <c r="P38" i="88"/>
  <c r="P39" i="88" s="1"/>
  <c r="P41" i="88" s="1"/>
  <c r="F40" i="18"/>
  <c r="F41" i="18" s="1"/>
  <c r="F43" i="18" s="1"/>
  <c r="B32" i="20"/>
  <c r="C32" i="20" s="1"/>
  <c r="C33" i="20" s="1"/>
  <c r="AG20" i="7"/>
  <c r="AG21" i="7" s="1"/>
  <c r="N16" i="67"/>
  <c r="J40" i="17"/>
  <c r="J41" i="17" s="1"/>
  <c r="J43" i="17" s="1"/>
  <c r="J35" i="70"/>
  <c r="D47" i="70" s="1"/>
  <c r="D48" i="70" s="1"/>
  <c r="D34" i="80" s="1"/>
  <c r="AC16" i="11"/>
  <c r="AM16" i="11"/>
  <c r="F38" i="87"/>
  <c r="K6" i="13"/>
  <c r="M6" i="13" s="1"/>
  <c r="N11" i="13" s="1"/>
  <c r="D38" i="79"/>
  <c r="D39" i="79" s="1"/>
  <c r="D41" i="79" s="1"/>
  <c r="D38" i="92"/>
  <c r="D39" i="92" s="1"/>
  <c r="D41" i="92" s="1"/>
  <c r="D37" i="77"/>
  <c r="D49" i="77" s="1"/>
  <c r="D50" i="77" s="1"/>
  <c r="D15" i="80" s="1"/>
  <c r="D38" i="89"/>
  <c r="D39" i="89" s="1"/>
  <c r="D41" i="89" s="1"/>
  <c r="B45" i="63" s="1"/>
  <c r="C45" i="63" s="1"/>
  <c r="F35" i="73"/>
  <c r="F37" i="87"/>
  <c r="D47" i="87" s="1"/>
  <c r="D48" i="87" s="1"/>
  <c r="D42" i="80" s="1"/>
  <c r="D37" i="79"/>
  <c r="D47" i="79" s="1"/>
  <c r="D48" i="79" s="1"/>
  <c r="D13" i="80" s="1"/>
  <c r="D38" i="74"/>
  <c r="D39" i="69"/>
  <c r="G3" i="80"/>
  <c r="G57" i="80" s="1"/>
  <c r="AP47" i="11"/>
  <c r="AL47" i="11"/>
  <c r="AL48" i="11" s="1"/>
  <c r="B47" i="20"/>
  <c r="C47" i="20" s="1"/>
  <c r="C48" i="20" s="1"/>
  <c r="D38" i="85"/>
  <c r="D39" i="85" s="1"/>
  <c r="D41" i="85" s="1"/>
  <c r="F36" i="73"/>
  <c r="F39" i="71"/>
  <c r="D49" i="71" s="1"/>
  <c r="D50" i="71" s="1"/>
  <c r="D46" i="80" s="1"/>
  <c r="D38" i="69"/>
  <c r="D48" i="69" s="1"/>
  <c r="D49" i="69" s="1"/>
  <c r="D22" i="80" s="1"/>
  <c r="D37" i="12"/>
  <c r="B48" i="80" l="1"/>
  <c r="C48" i="80" s="1"/>
  <c r="E48" i="80" s="1"/>
  <c r="B19" i="63"/>
  <c r="C19" i="63" s="1"/>
  <c r="B40" i="80"/>
  <c r="C40" i="80" s="1"/>
  <c r="E40" i="80" s="1"/>
  <c r="B35" i="63"/>
  <c r="C35" i="63" s="1"/>
  <c r="F39" i="87"/>
  <c r="F41" i="87" s="1"/>
  <c r="B28" i="80"/>
  <c r="C28" i="80" s="1"/>
  <c r="E28" i="80" s="1"/>
  <c r="B17" i="63"/>
  <c r="C17" i="63" s="1"/>
  <c r="F40" i="5"/>
  <c r="B47" i="80"/>
  <c r="C47" i="80" s="1"/>
  <c r="E47" i="80" s="1"/>
  <c r="B18" i="63"/>
  <c r="C18" i="63" s="1"/>
  <c r="O23" i="15"/>
  <c r="O24" i="15" s="1"/>
  <c r="M24" i="15"/>
  <c r="B102" i="15"/>
  <c r="AN45" i="15"/>
  <c r="B29" i="80"/>
  <c r="C29" i="80" s="1"/>
  <c r="E29" i="80" s="1"/>
  <c r="B11" i="63"/>
  <c r="C11" i="63" s="1"/>
  <c r="B76" i="80"/>
  <c r="C76" i="80" s="1"/>
  <c r="E76" i="80" s="1"/>
  <c r="C48" i="63"/>
  <c r="B48" i="63" s="1"/>
  <c r="M51" i="73"/>
  <c r="M53" i="73" s="1"/>
  <c r="I62" i="20"/>
  <c r="B31" i="80"/>
  <c r="C31" i="80" s="1"/>
  <c r="E31" i="80" s="1"/>
  <c r="B12" i="63"/>
  <c r="C12" i="63" s="1"/>
  <c r="J37" i="70"/>
  <c r="J41" i="70" s="1"/>
  <c r="E37" i="73"/>
  <c r="E38" i="73" s="1"/>
  <c r="C38" i="73"/>
  <c r="C40" i="73" s="1"/>
  <c r="F40" i="6"/>
  <c r="D46" i="6"/>
  <c r="D47" i="6" s="1"/>
  <c r="D67" i="80" s="1"/>
  <c r="D44" i="67"/>
  <c r="D45" i="67" s="1"/>
  <c r="D80" i="80" s="1"/>
  <c r="D46" i="28"/>
  <c r="D47" i="28" s="1"/>
  <c r="D69" i="80" s="1"/>
  <c r="J39" i="83"/>
  <c r="J43" i="83" s="1"/>
  <c r="D49" i="83"/>
  <c r="D50" i="83" s="1"/>
  <c r="D39" i="80" s="1"/>
  <c r="B66" i="80"/>
  <c r="C10" i="63"/>
  <c r="B10" i="63" s="1"/>
  <c r="AI20" i="7"/>
  <c r="C30" i="63"/>
  <c r="B30" i="63" s="1"/>
  <c r="B82" i="80"/>
  <c r="C82" i="80" s="1"/>
  <c r="E82" i="80" s="1"/>
  <c r="B20" i="80"/>
  <c r="B34" i="63"/>
  <c r="C34" i="63" s="1"/>
  <c r="J40" i="2"/>
  <c r="D46" i="68"/>
  <c r="D47" i="68" s="1"/>
  <c r="D66" i="80" s="1"/>
  <c r="D46" i="12"/>
  <c r="D47" i="12" s="1"/>
  <c r="D74" i="80" s="1"/>
  <c r="D40" i="12"/>
  <c r="B44" i="80"/>
  <c r="C44" i="80" s="1"/>
  <c r="E44" i="80" s="1"/>
  <c r="B26" i="63"/>
  <c r="C26" i="63" s="1"/>
  <c r="F41" i="71"/>
  <c r="F43" i="71" s="1"/>
  <c r="B36" i="80"/>
  <c r="C36" i="80" s="1"/>
  <c r="E36" i="80" s="1"/>
  <c r="B38" i="63"/>
  <c r="C38" i="63" s="1"/>
  <c r="B14" i="80"/>
  <c r="C14" i="80" s="1"/>
  <c r="E14" i="80" s="1"/>
  <c r="B50" i="63"/>
  <c r="C50" i="63" s="1"/>
  <c r="C27" i="80"/>
  <c r="E27" i="80" s="1"/>
  <c r="H37" i="9"/>
  <c r="H39" i="9" s="1"/>
  <c r="K13" i="13"/>
  <c r="B81" i="80"/>
  <c r="C81" i="80" s="1"/>
  <c r="E81" i="80" s="1"/>
  <c r="C28" i="63"/>
  <c r="B28" i="63" s="1"/>
  <c r="AI21" i="7"/>
  <c r="B38" i="80"/>
  <c r="C38" i="80" s="1"/>
  <c r="E38" i="80" s="1"/>
  <c r="B14" i="63"/>
  <c r="C14" i="63" s="1"/>
  <c r="B43" i="80"/>
  <c r="C43" i="80" s="1"/>
  <c r="E43" i="80" s="1"/>
  <c r="B21" i="63"/>
  <c r="C21" i="63" s="1"/>
  <c r="F43" i="5"/>
  <c r="C77" i="73"/>
  <c r="B74" i="20"/>
  <c r="C57" i="20"/>
  <c r="F51" i="73" s="1"/>
  <c r="B16" i="80"/>
  <c r="C16" i="80" s="1"/>
  <c r="E16" i="80" s="1"/>
  <c r="B43" i="63"/>
  <c r="B15" i="80"/>
  <c r="C15" i="80" s="1"/>
  <c r="E15" i="80" s="1"/>
  <c r="B44" i="63"/>
  <c r="C44" i="63" s="1"/>
  <c r="F45" i="15"/>
  <c r="D51" i="15"/>
  <c r="D52" i="15" s="1"/>
  <c r="D73" i="80" s="1"/>
  <c r="D77" i="80" s="1"/>
  <c r="C23" i="63"/>
  <c r="B23" i="63" s="1"/>
  <c r="B69" i="80"/>
  <c r="C69" i="80" s="1"/>
  <c r="D17" i="80"/>
  <c r="B45" i="80"/>
  <c r="C45" i="80" s="1"/>
  <c r="E45" i="80" s="1"/>
  <c r="B24" i="63"/>
  <c r="C24" i="63" s="1"/>
  <c r="D46" i="81"/>
  <c r="D47" i="81" s="1"/>
  <c r="D81" i="80" s="1"/>
  <c r="AH7" i="7"/>
  <c r="AI6" i="7"/>
  <c r="D49" i="80"/>
  <c r="B41" i="80"/>
  <c r="C41" i="80" s="1"/>
  <c r="E41" i="80" s="1"/>
  <c r="B20" i="63"/>
  <c r="C20" i="63" s="1"/>
  <c r="D40" i="69"/>
  <c r="D42" i="69" s="1"/>
  <c r="B13" i="80"/>
  <c r="C13" i="80" s="1"/>
  <c r="E13" i="80" s="1"/>
  <c r="B25" i="63"/>
  <c r="C25" i="63" s="1"/>
  <c r="K19" i="74"/>
  <c r="L19" i="74" s="1"/>
  <c r="L24" i="74" s="1"/>
  <c r="L26" i="74" s="1"/>
  <c r="D39" i="74"/>
  <c r="D41" i="74" s="1"/>
  <c r="C78" i="73"/>
  <c r="B73" i="20"/>
  <c r="B80" i="80"/>
  <c r="C13" i="63"/>
  <c r="B13" i="63" s="1"/>
  <c r="AR51" i="15"/>
  <c r="AR48" i="15"/>
  <c r="B75" i="80"/>
  <c r="C75" i="80" s="1"/>
  <c r="E75" i="80" s="1"/>
  <c r="B15" i="63"/>
  <c r="D20" i="65"/>
  <c r="D24" i="65" s="1"/>
  <c r="B33" i="80"/>
  <c r="C33" i="80" s="1"/>
  <c r="E33" i="80" s="1"/>
  <c r="B8" i="63"/>
  <c r="C20" i="80" l="1"/>
  <c r="B74" i="80"/>
  <c r="C74" i="80" s="1"/>
  <c r="E74" i="80" s="1"/>
  <c r="C39" i="63"/>
  <c r="B39" i="63" s="1"/>
  <c r="B67" i="80"/>
  <c r="C67" i="80" s="1"/>
  <c r="E67" i="80" s="1"/>
  <c r="C16" i="63"/>
  <c r="B16" i="63" s="1"/>
  <c r="B26" i="80"/>
  <c r="B36" i="63"/>
  <c r="C36" i="63" s="1"/>
  <c r="B12" i="80"/>
  <c r="B29" i="63"/>
  <c r="C29" i="63" s="1"/>
  <c r="B39" i="80"/>
  <c r="C39" i="80" s="1"/>
  <c r="E39" i="80" s="1"/>
  <c r="B49" i="63"/>
  <c r="C49" i="63" s="1"/>
  <c r="AI7" i="7"/>
  <c r="AH8" i="7"/>
  <c r="B73" i="80"/>
  <c r="C31" i="63"/>
  <c r="B31" i="63" s="1"/>
  <c r="C22" i="63"/>
  <c r="B22" i="63" s="1"/>
  <c r="B83" i="80"/>
  <c r="C83" i="80" s="1"/>
  <c r="E83" i="80" s="1"/>
  <c r="D84" i="80"/>
  <c r="B103" i="15"/>
  <c r="B105" i="15" s="1"/>
  <c r="F105" i="15" s="1"/>
  <c r="F102" i="15"/>
  <c r="F103" i="15" s="1"/>
  <c r="C103" i="15" s="1"/>
  <c r="B46" i="63"/>
  <c r="B42" i="80"/>
  <c r="C42" i="80" s="1"/>
  <c r="E42" i="80" s="1"/>
  <c r="B32" i="80"/>
  <c r="C32" i="80" s="1"/>
  <c r="E32" i="80" s="1"/>
  <c r="B37" i="63"/>
  <c r="C37" i="63" s="1"/>
  <c r="F37" i="73"/>
  <c r="B22" i="80"/>
  <c r="C22" i="80" s="1"/>
  <c r="E22" i="80" s="1"/>
  <c r="B52" i="63"/>
  <c r="C52" i="63" s="1"/>
  <c r="C8" i="63"/>
  <c r="B40" i="63"/>
  <c r="C80" i="80"/>
  <c r="B30" i="80"/>
  <c r="C30" i="80" s="1"/>
  <c r="E30" i="80" s="1"/>
  <c r="C43" i="63"/>
  <c r="N13" i="63"/>
  <c r="C73" i="73"/>
  <c r="B77" i="20"/>
  <c r="D70" i="80"/>
  <c r="D86" i="80"/>
  <c r="C66" i="80"/>
  <c r="E40" i="73"/>
  <c r="F38" i="73"/>
  <c r="B46" i="80"/>
  <c r="C46" i="80" s="1"/>
  <c r="E46" i="80" s="1"/>
  <c r="B27" i="63"/>
  <c r="C27" i="63" s="1"/>
  <c r="E69" i="80"/>
  <c r="C21" i="80"/>
  <c r="C51" i="63"/>
  <c r="B51" i="63" s="1"/>
  <c r="B34" i="80"/>
  <c r="C34" i="80" s="1"/>
  <c r="E34" i="80" s="1"/>
  <c r="B32" i="63"/>
  <c r="C32" i="63" s="1"/>
  <c r="B37" i="80" l="1"/>
  <c r="C46" i="63"/>
  <c r="C37" i="80" s="1"/>
  <c r="E37" i="80" s="1"/>
  <c r="C81" i="73"/>
  <c r="C82" i="73" s="1"/>
  <c r="D21" i="80"/>
  <c r="B21" i="80"/>
  <c r="B23" i="80" s="1"/>
  <c r="C23" i="80"/>
  <c r="E20" i="80"/>
  <c r="B84" i="80"/>
  <c r="B77" i="80"/>
  <c r="C73" i="80"/>
  <c r="B49" i="80"/>
  <c r="C26" i="80"/>
  <c r="B83" i="20"/>
  <c r="B47" i="63" s="1"/>
  <c r="C47" i="63" s="1"/>
  <c r="C53" i="63" s="1"/>
  <c r="C55" i="63" s="1"/>
  <c r="B78" i="20"/>
  <c r="C74" i="73"/>
  <c r="F40" i="73"/>
  <c r="F49" i="73" s="1"/>
  <c r="C70" i="80"/>
  <c r="E66" i="80"/>
  <c r="B70" i="80"/>
  <c r="B86" i="80"/>
  <c r="C12" i="80"/>
  <c r="B17" i="80"/>
  <c r="B51" i="80" s="1"/>
  <c r="AI8" i="7"/>
  <c r="AH9" i="7"/>
  <c r="C40" i="63"/>
  <c r="C84" i="80"/>
  <c r="E80" i="80"/>
  <c r="E84" i="80" s="1"/>
  <c r="E70" i="80" l="1"/>
  <c r="E26" i="80"/>
  <c r="E49" i="80" s="1"/>
  <c r="C49" i="80"/>
  <c r="D23" i="80"/>
  <c r="D51" i="80" s="1"/>
  <c r="AH10" i="7"/>
  <c r="AI9" i="7"/>
  <c r="E21" i="80"/>
  <c r="E23" i="80" s="1"/>
  <c r="B53" i="63"/>
  <c r="B55" i="63" s="1"/>
  <c r="C77" i="80"/>
  <c r="C86" i="80" s="1"/>
  <c r="B89" i="80" s="1"/>
  <c r="E73" i="80"/>
  <c r="E77" i="80" s="1"/>
  <c r="C17" i="80"/>
  <c r="E12" i="80"/>
  <c r="C51" i="80"/>
  <c r="B90" i="80" s="1"/>
  <c r="C61" i="20"/>
  <c r="C62" i="20" s="1"/>
  <c r="F53" i="73"/>
  <c r="E86" i="80" l="1"/>
  <c r="E17" i="80"/>
  <c r="E51" i="80"/>
  <c r="AH11" i="7"/>
  <c r="AI10" i="7"/>
  <c r="AI11" i="7" l="1"/>
  <c r="AH12" i="7"/>
  <c r="AI12" i="7" l="1"/>
  <c r="AH13" i="7"/>
  <c r="AI13" i="7" l="1"/>
  <c r="AH14" i="7"/>
  <c r="AH15" i="7" l="1"/>
  <c r="AI14" i="7"/>
  <c r="AH16" i="7" l="1"/>
  <c r="AI15" i="7"/>
  <c r="AI16" i="7" l="1"/>
  <c r="AH17" i="7"/>
  <c r="AI17" i="7" s="1"/>
</calcChain>
</file>

<file path=xl/sharedStrings.xml><?xml version="1.0" encoding="utf-8"?>
<sst xmlns="http://schemas.openxmlformats.org/spreadsheetml/2006/main" count="1012" uniqueCount="314">
  <si>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</si>
  <si>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</si>
  <si>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</si>
  <si>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</si>
  <si>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</si>
  <si>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</si>
  <si>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</si>
  <si>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</si>
  <si>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</si>
  <si>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</si>
  <si>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</si>
  <si>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</si>
  <si>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</si>
  <si>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</si>
  <si>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</si>
  <si>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</si>
  <si>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</si>
  <si>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</si>
  <si>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</si>
  <si>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</si>
  <si>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</si>
  <si>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</si>
  <si>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</si>
  <si>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</si>
  <si>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</si>
  <si>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</si>
  <si>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</si>
  <si>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</si>
  <si>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</si>
  <si>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</si>
  <si>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</si>
  <si>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</si>
  <si>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</si>
  <si>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</si>
  <si>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</si>
  <si>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</si>
  <si>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</si>
  <si>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</si>
  <si>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</si>
  <si>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</si>
  <si>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</si>
  <si>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</si>
  <si>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</si>
  <si>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</si>
  <si>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</si>
  <si>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</si>
  <si>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</si>
  <si>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</si>
  <si>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</si>
  <si>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</si>
  <si>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</si>
  <si>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</si>
  <si>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</si>
  <si>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</si>
  <si>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</si>
  <si>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</si>
  <si>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</si>
  <si>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</si>
  <si>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</si>
  <si>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</si>
  <si>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</si>
  <si>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</si>
  <si>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</si>
  <si>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</si>
  <si>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</si>
  <si>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</si>
  <si>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</si>
  <si>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</si>
  <si>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</si>
  <si>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</si>
  <si>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</si>
  <si>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</si>
  <si>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</si>
  <si>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</si>
  <si>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</si>
  <si>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</si>
  <si>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</si>
  <si>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</si>
  <si>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</si>
  <si>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</si>
  <si>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</si>
  <si>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</si>
  <si>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</si>
  <si>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</si>
  <si>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</si>
  <si>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</si>
  <si>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</si>
  <si>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</si>
  <si>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</si>
  <si>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</si>
  <si>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</si>
  <si>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</si>
  <si>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</si>
  <si>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</si>
  <si>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</si>
  <si>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</si>
  <si>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</si>
  <si>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</si>
  <si>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</si>
  <si>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</si>
  <si>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</si>
  <si>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</si>
  <si>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</si>
  <si>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</si>
  <si>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</si>
  <si>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</si>
  <si>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</si>
  <si>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</si>
  <si>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</si>
  <si>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</si>
  <si>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</si>
  <si>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</si>
  <si>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</si>
  <si>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</si>
  <si>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</si>
  <si>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</si>
  <si>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</si>
  <si>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</si>
  <si>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</si>
  <si>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</si>
  <si>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</si>
  <si>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</si>
  <si>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</si>
  <si>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</si>
  <si>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</si>
  <si>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</si>
  <si>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</si>
  <si>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</si>
  <si>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</si>
  <si>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</si>
  <si>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</si>
  <si>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</si>
  <si>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</si>
  <si>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</si>
  <si>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</si>
  <si>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</si>
  <si>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</si>
  <si>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</si>
  <si>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</si>
  <si>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</si>
  <si>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</si>
  <si>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</si>
  <si>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</si>
  <si>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</si>
  <si>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</si>
  <si>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</si>
  <si>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</si>
  <si>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</si>
  <si>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</si>
  <si>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</si>
  <si>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</si>
  <si>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</si>
  <si>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</si>
  <si>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</si>
  <si>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</si>
  <si>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</si>
  <si>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</si>
  <si>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</si>
  <si>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</si>
  <si>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</si>
  <si>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</si>
  <si>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</si>
  <si>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</si>
  <si>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</si>
  <si>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</si>
  <si>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</si>
  <si>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</si>
  <si>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</si>
  <si>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</si>
  <si>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</si>
  <si>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</si>
  <si>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</si>
  <si>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</si>
  <si>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</si>
  <si>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</si>
  <si>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</si>
  <si>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</si>
  <si>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</si>
  <si>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</si>
  <si>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</si>
  <si>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</si>
  <si>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</si>
  <si>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</si>
  <si>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</si>
  <si>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</si>
  <si>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</si>
  <si>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</si>
  <si>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</si>
  <si>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</si>
  <si>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</si>
  <si>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</si>
  <si>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</si>
  <si>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</si>
  <si>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</si>
  <si>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</si>
  <si>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</si>
  <si>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</si>
  <si>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</si>
  <si>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</si>
  <si>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</si>
  <si>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</si>
  <si>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</si>
  <si>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</si>
  <si>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</si>
  <si>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</si>
  <si>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</si>
  <si>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</si>
  <si>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</si>
  <si>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</si>
  <si>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</si>
  <si>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</si>
  <si>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</si>
  <si>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</si>
  <si>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</si>
  <si>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</si>
  <si>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</si>
  <si>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</si>
  <si>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</si>
  <si>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</si>
  <si>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</si>
  <si>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</si>
  <si>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</si>
  <si>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</si>
  <si>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</si>
  <si>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</si>
  <si>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</si>
  <si>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</si>
  <si>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</si>
  <si>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</si>
  <si>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</si>
  <si>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</si>
  <si>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</si>
  <si>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</si>
  <si>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</si>
  <si>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</si>
  <si>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</si>
  <si>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</si>
  <si>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</si>
  <si>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</si>
  <si>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</si>
  <si>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</si>
  <si>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</si>
  <si>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</si>
  <si>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</si>
  <si>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</si>
  <si>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</si>
  <si>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</si>
  <si>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inactive</t>
  </si>
  <si>
    <t>Duke Energy Field Services LP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</si>
  <si>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</si>
  <si>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</si>
  <si>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</si>
  <si>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</si>
  <si>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</si>
  <si>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</si>
  <si>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</si>
  <si>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</si>
  <si>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</si>
  <si>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</si>
  <si>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</si>
  <si>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</si>
  <si>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</si>
  <si>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</si>
  <si>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</si>
  <si>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</si>
  <si>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</si>
  <si>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</si>
  <si>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</si>
  <si>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</si>
  <si>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</si>
  <si>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</si>
  <si>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</si>
  <si>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</si>
  <si>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</si>
  <si>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</si>
  <si>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</si>
  <si>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</si>
  <si>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</si>
  <si>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</si>
  <si>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</si>
  <si>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</si>
  <si>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</si>
  <si>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</si>
  <si>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</si>
  <si>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</si>
  <si>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</si>
  <si>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</si>
  <si>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</si>
  <si>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</si>
  <si>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</si>
  <si>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</si>
  <si>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</si>
  <si>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</si>
  <si>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</si>
  <si>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</si>
  <si>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</si>
  <si>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</si>
  <si>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</si>
  <si>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</si>
  <si>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</si>
  <si>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</si>
  <si>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</si>
  <si>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</si>
  <si>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</si>
  <si>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</si>
  <si>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</si>
  <si>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</si>
  <si>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</si>
  <si>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verbal commitment to send $$$</t>
  </si>
  <si>
    <t>discussing netting with DETM</t>
  </si>
  <si>
    <t>Balance as of 12/31/00</t>
  </si>
  <si>
    <t>Cumulative</t>
  </si>
  <si>
    <t>estimated</t>
  </si>
  <si>
    <t xml:space="preserve">Duke Energy Field Services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</si>
</sst>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0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5" fontId="22" fillId="6" borderId="0" xfId="1" applyNumberFormat="1" applyFont="1" applyFill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39" fontId="0" fillId="0" borderId="0" xfId="0" applyNumberFormat="1" applyBorder="1"/>
    <xf numFmtId="0" fontId="22" fillId="0" borderId="0" xfId="0" applyFont="1" applyBorder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166" fontId="22" fillId="7" borderId="0" xfId="1" applyNumberFormat="1" applyFont="1" applyFill="1"/>
    <xf numFmtId="7" fontId="9" fillId="7" borderId="0" xfId="0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7" fontId="35" fillId="7" borderId="1" xfId="1" applyNumberFormat="1" applyFont="1" applyFill="1" applyBorder="1"/>
    <xf numFmtId="5" fontId="33" fillId="7" borderId="1" xfId="0" applyNumberFormat="1" applyFont="1" applyFill="1" applyBorder="1"/>
    <xf numFmtId="5" fontId="25" fillId="7" borderId="1" xfId="1" applyNumberFormat="1" applyFont="1" applyFill="1" applyBorder="1"/>
    <xf numFmtId="166" fontId="9" fillId="7" borderId="0" xfId="1" applyNumberFormat="1" applyFont="1" applyFill="1"/>
    <xf numFmtId="5" fontId="33" fillId="7" borderId="0" xfId="0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166" fontId="3" fillId="7" borderId="0" xfId="1" applyNumberFormat="1" applyFont="1" applyFill="1" applyAlignment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14" fontId="9" fillId="0" borderId="0" xfId="0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72" fontId="3" fillId="0" borderId="0" xfId="1" applyNumberFormat="1" applyFont="1"/>
    <xf numFmtId="172" fontId="9" fillId="0" borderId="0" xfId="1" applyNumberFormat="1" applyFont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  <xf numFmtId="7" fontId="35" fillId="6" borderId="1" xfId="1" applyNumberFormat="1" applyFont="1" applyFill="1" applyBorder="1"/>
    <xf numFmtId="7" fontId="27" fillId="6" borderId="0" xfId="1" applyNumberFormat="1" applyFont="1" applyFill="1"/>
    <xf numFmtId="44" fontId="25" fillId="6" borderId="0" xfId="2" applyFont="1" applyFill="1"/>
    <xf numFmtId="166" fontId="25" fillId="4" borderId="0" xfId="1" applyNumberFormat="1" applyFont="1" applyFill="1"/>
    <xf numFmtId="7" fontId="25" fillId="4" borderId="0" xfId="1" applyNumberFormat="1" applyFont="1" applyFill="1"/>
    <xf numFmtId="166" fontId="22" fillId="4" borderId="0" xfId="1" applyNumberFormat="1" applyFont="1" applyFill="1"/>
    <xf numFmtId="7" fontId="25" fillId="4" borderId="1" xfId="0" applyNumberFormat="1" applyFont="1" applyFill="1" applyBorder="1"/>
    <xf numFmtId="7" fontId="9" fillId="4" borderId="0" xfId="0" applyNumberFormat="1" applyFont="1" applyFill="1"/>
    <xf numFmtId="5" fontId="25" fillId="4" borderId="1" xfId="0" applyNumberFormat="1" applyFont="1" applyFill="1" applyBorder="1"/>
    <xf numFmtId="166" fontId="25" fillId="4" borderId="1" xfId="1" applyNumberFormat="1" applyFont="1" applyFill="1" applyBorder="1"/>
    <xf numFmtId="166" fontId="25" fillId="4" borderId="1" xfId="0" applyNumberFormat="1" applyFont="1" applyFill="1" applyBorder="1"/>
    <xf numFmtId="5" fontId="25" fillId="4" borderId="0" xfId="1" applyNumberFormat="1" applyFont="1" applyFill="1"/>
    <xf numFmtId="5" fontId="22" fillId="4" borderId="0" xfId="1" applyNumberFormat="1" applyFont="1" applyFill="1"/>
    <xf numFmtId="166" fontId="3" fillId="4" borderId="0" xfId="1" applyNumberFormat="1" applyFont="1" applyFill="1"/>
    <xf numFmtId="166" fontId="25" fillId="4" borderId="0" xfId="1" applyNumberFormat="1" applyFont="1" applyFill="1" applyBorder="1"/>
    <xf numFmtId="5" fontId="22" fillId="4" borderId="0" xfId="0" applyNumberFormat="1" applyFont="1" applyFill="1"/>
    <xf numFmtId="37" fontId="25" fillId="4" borderId="0" xfId="1" applyNumberFormat="1" applyFont="1" applyFill="1"/>
    <xf numFmtId="37" fontId="25" fillId="4" borderId="0" xfId="1" applyNumberFormat="1" applyFont="1" applyFill="1" applyBorder="1"/>
    <xf numFmtId="5" fontId="25" fillId="4" borderId="0" xfId="1" applyNumberFormat="1" applyFont="1" applyFill="1" applyAlignment="1"/>
    <xf numFmtId="166" fontId="0" fillId="4" borderId="0" xfId="1" applyNumberFormat="1" applyFont="1" applyFill="1" applyBorder="1"/>
    <xf numFmtId="7" fontId="35" fillId="4" borderId="1" xfId="1" applyNumberFormat="1" applyFont="1" applyFill="1" applyBorder="1"/>
    <xf numFmtId="7" fontId="25" fillId="4" borderId="0" xfId="0" applyNumberFormat="1" applyFont="1" applyFill="1"/>
    <xf numFmtId="0" fontId="0" fillId="4" borderId="0" xfId="0" applyFill="1"/>
    <xf numFmtId="166" fontId="9" fillId="4" borderId="0" xfId="1" applyNumberFormat="1" applyFont="1" applyFill="1"/>
    <xf numFmtId="5" fontId="3" fillId="4" borderId="0" xfId="1" applyNumberFormat="1" applyFont="1" applyFill="1"/>
    <xf numFmtId="5" fontId="25" fillId="4" borderId="0" xfId="0" applyNumberFormat="1" applyFont="1" applyFill="1"/>
    <xf numFmtId="7" fontId="3" fillId="4" borderId="0" xfId="0" applyNumberFormat="1" applyFont="1" applyFill="1"/>
    <xf numFmtId="7" fontId="9" fillId="3" borderId="0" xfId="1" applyNumberFormat="1" applyFont="1" applyFill="1"/>
    <xf numFmtId="5" fontId="25" fillId="3" borderId="1" xfId="0" applyNumberFormat="1" applyFont="1" applyFill="1" applyBorder="1"/>
    <xf numFmtId="166" fontId="22" fillId="3" borderId="0" xfId="1" applyNumberFormat="1" applyFont="1" applyFill="1"/>
    <xf numFmtId="0" fontId="0" fillId="3" borderId="0" xfId="0" applyFill="1"/>
    <xf numFmtId="5" fontId="9" fillId="3" borderId="0" xfId="0" applyNumberFormat="1" applyFont="1" applyFill="1"/>
    <xf numFmtId="7" fontId="9" fillId="3" borderId="0" xfId="0" applyNumberFormat="1" applyFont="1" applyFill="1"/>
    <xf numFmtId="7" fontId="9" fillId="3" borderId="0" xfId="0" quotePrefix="1" applyNumberFormat="1" applyFont="1" applyFill="1"/>
    <xf numFmtId="5" fontId="25" fillId="3" borderId="0" xfId="0" applyNumberFormat="1" applyFont="1" applyFill="1" applyAlignment="1">
      <alignment horizontal="left" indent="2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20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H39">
            <v>2.06</v>
          </cell>
          <cell r="K39">
            <v>2.06</v>
          </cell>
          <cell r="M39">
            <v>2.0499999999999998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8"/>
  <sheetViews>
    <sheetView topLeftCell="A64" workbookViewId="0">
      <selection activeCell="D80" sqref="D80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2"/>
    </row>
    <row r="2" spans="1:32" ht="12.95" customHeight="1" x14ac:dyDescent="0.2">
      <c r="A2" s="34" t="s">
        <v>140</v>
      </c>
      <c r="D2" s="7"/>
      <c r="F2" s="382" t="s">
        <v>78</v>
      </c>
      <c r="G2" s="385"/>
      <c r="H2" s="32"/>
    </row>
    <row r="3" spans="1:32" ht="12.95" customHeight="1" x14ac:dyDescent="0.2">
      <c r="D3" s="7"/>
      <c r="F3" s="383" t="s">
        <v>29</v>
      </c>
      <c r="G3" s="386">
        <f>+summary!G3</f>
        <v>2.06</v>
      </c>
      <c r="H3" s="401">
        <f ca="1">NOW()</f>
        <v>41885.682725925923</v>
      </c>
    </row>
    <row r="4" spans="1:32" ht="12.95" customHeight="1" x14ac:dyDescent="0.2">
      <c r="A4" s="34" t="s">
        <v>145</v>
      </c>
      <c r="C4" s="34" t="s">
        <v>5</v>
      </c>
      <c r="D4" s="7"/>
      <c r="F4" s="384" t="s">
        <v>30</v>
      </c>
      <c r="G4" s="386">
        <f>+summary!G4</f>
        <v>2.0499999999999998</v>
      </c>
      <c r="H4" s="32"/>
    </row>
    <row r="5" spans="1:32" ht="12.95" customHeight="1" x14ac:dyDescent="0.2">
      <c r="D5" s="7"/>
      <c r="F5" s="383" t="s">
        <v>117</v>
      </c>
      <c r="G5" s="386">
        <f>+summary!G5</f>
        <v>2.06</v>
      </c>
      <c r="H5" s="32"/>
    </row>
    <row r="6" spans="1:32" ht="6.95" customHeight="1" x14ac:dyDescent="0.2"/>
    <row r="7" spans="1:32" ht="12.95" customHeight="1" x14ac:dyDescent="0.2">
      <c r="A7" s="399" t="s">
        <v>163</v>
      </c>
      <c r="B7" s="400"/>
      <c r="AD7" s="32"/>
      <c r="AE7" s="32"/>
      <c r="AF7" s="32"/>
    </row>
    <row r="8" spans="1:32" ht="15.95" customHeight="1" outlineLevel="2" x14ac:dyDescent="0.2">
      <c r="A8" s="32"/>
      <c r="B8" s="440" t="s">
        <v>193</v>
      </c>
      <c r="C8" s="397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5" t="s">
        <v>89</v>
      </c>
      <c r="B9" s="390" t="s">
        <v>194</v>
      </c>
      <c r="C9" s="398" t="s">
        <v>187</v>
      </c>
      <c r="D9" s="426" t="s">
        <v>191</v>
      </c>
      <c r="E9" s="39" t="s">
        <v>189</v>
      </c>
      <c r="F9" s="39" t="s">
        <v>146</v>
      </c>
      <c r="G9" s="389" t="s">
        <v>151</v>
      </c>
      <c r="H9" s="366" t="s">
        <v>101</v>
      </c>
      <c r="I9" s="365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5" t="s">
        <v>155</v>
      </c>
    </row>
    <row r="12" spans="1:32" ht="13.5" customHeight="1" outlineLevel="1" x14ac:dyDescent="0.2">
      <c r="A12" s="501" t="s">
        <v>127</v>
      </c>
      <c r="B12" s="345">
        <f>+Calpine!D41</f>
        <v>39997.699999999997</v>
      </c>
      <c r="C12" s="368">
        <f>+B12/$G$4</f>
        <v>19511.073170731706</v>
      </c>
      <c r="D12" s="14">
        <f>+Calpine!D47</f>
        <v>106626</v>
      </c>
      <c r="E12" s="70">
        <f>+C12-D12</f>
        <v>-87114.926829268297</v>
      </c>
      <c r="F12" s="363">
        <f>+Calpine!A41</f>
        <v>37297</v>
      </c>
      <c r="G12" s="203" t="s">
        <v>153</v>
      </c>
      <c r="H12" s="204" t="s">
        <v>99</v>
      </c>
      <c r="I12" s="351"/>
      <c r="J12" s="70"/>
      <c r="K12" s="32"/>
    </row>
    <row r="13" spans="1:32" ht="13.5" customHeight="1" outlineLevel="2" x14ac:dyDescent="0.2">
      <c r="A13" s="248" t="s">
        <v>139</v>
      </c>
      <c r="B13" s="345">
        <f>+'Citizens-Griffith'!D41</f>
        <v>50905.1</v>
      </c>
      <c r="C13" s="367">
        <f>+B13/$G$4</f>
        <v>24831.756097560978</v>
      </c>
      <c r="D13" s="14">
        <f>+'Citizens-Griffith'!D48</f>
        <v>28248</v>
      </c>
      <c r="E13" s="70">
        <f>+C13-D13</f>
        <v>-3416.2439024390223</v>
      </c>
      <c r="F13" s="363">
        <f>+'Citizens-Griffith'!A41</f>
        <v>37293</v>
      </c>
      <c r="G13" s="203" t="s">
        <v>301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278</v>
      </c>
      <c r="B14" s="478">
        <f>+SWGasTrans!D41</f>
        <v>-26512.92</v>
      </c>
      <c r="C14" s="367">
        <f>+B14/G4</f>
        <v>-12933.131707317074</v>
      </c>
      <c r="D14" s="14">
        <f>+SWGasTrans!$D$48</f>
        <v>313</v>
      </c>
      <c r="E14" s="70">
        <f>+C14-D14</f>
        <v>-13246.131707317074</v>
      </c>
      <c r="F14" s="363">
        <f>+SWGasTrans!A41</f>
        <v>37297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5">
        <f>+'NS Steel'!D41</f>
        <v>-284231.3</v>
      </c>
      <c r="C15" s="367">
        <f>+B15/$G$4</f>
        <v>-138649.41463414635</v>
      </c>
      <c r="D15" s="14">
        <f>+'NS Steel'!D50</f>
        <v>-10150</v>
      </c>
      <c r="E15" s="70">
        <f>+C15-D15</f>
        <v>-128499.41463414635</v>
      </c>
      <c r="F15" s="364">
        <f>+'NS Steel'!A41</f>
        <v>37296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">
      <c r="A16" s="501" t="s">
        <v>135</v>
      </c>
      <c r="B16" s="348">
        <f>+Citizens!D18</f>
        <v>-550915.94000000006</v>
      </c>
      <c r="C16" s="369">
        <f>+B16/$G$4</f>
        <v>-268739.48292682931</v>
      </c>
      <c r="D16" s="349">
        <f>+Citizens!D24</f>
        <v>-43206</v>
      </c>
      <c r="E16" s="72">
        <f>+C16-D16</f>
        <v>-225533.48292682931</v>
      </c>
      <c r="F16" s="363">
        <f>+Citizens!A18</f>
        <v>37297</v>
      </c>
      <c r="G16" s="203" t="s">
        <v>301</v>
      </c>
      <c r="H16" s="204" t="s">
        <v>99</v>
      </c>
      <c r="I16" s="418" t="s">
        <v>176</v>
      </c>
      <c r="J16" s="32"/>
      <c r="K16" s="32"/>
      <c r="T16" s="259"/>
    </row>
    <row r="17" spans="1:20" ht="15.95" customHeight="1" outlineLevel="2" x14ac:dyDescent="0.2">
      <c r="A17" s="153" t="s">
        <v>156</v>
      </c>
      <c r="B17" s="387">
        <f>SUBTOTAL(9,B12:B16)</f>
        <v>-770757.3600000001</v>
      </c>
      <c r="C17" s="392">
        <f>SUBTOTAL(9,C12:C16)</f>
        <v>-375979.20000000007</v>
      </c>
      <c r="D17" s="393">
        <f>SUBTOTAL(9,D12:D16)</f>
        <v>81831</v>
      </c>
      <c r="E17" s="394">
        <f>SUBTOTAL(9,E12:E16)</f>
        <v>-457810.20000000007</v>
      </c>
      <c r="F17" s="363"/>
      <c r="G17" s="203"/>
      <c r="H17" s="204"/>
      <c r="I17" s="351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6" t="s">
        <v>57</v>
      </c>
      <c r="G19" s="7"/>
    </row>
    <row r="20" spans="1:20" ht="13.5" customHeight="1" outlineLevel="2" x14ac:dyDescent="0.2">
      <c r="A20" s="248" t="s">
        <v>71</v>
      </c>
      <c r="B20" s="479">
        <f>+transcol!$D$43</f>
        <v>26188.35</v>
      </c>
      <c r="C20" s="367">
        <f>+B20/$G$4</f>
        <v>12774.804878048781</v>
      </c>
      <c r="D20" s="14">
        <f>+transcol!D50</f>
        <v>-43373</v>
      </c>
      <c r="E20" s="70">
        <f>+C20-D20</f>
        <v>56147.804878048781</v>
      </c>
      <c r="F20" s="364">
        <f>+transcol!A43</f>
        <v>37296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501" t="s">
        <v>290</v>
      </c>
      <c r="B21" s="479">
        <f>+C21*G3</f>
        <v>-26059</v>
      </c>
      <c r="C21" s="367">
        <f>+williams!J40</f>
        <v>-12650</v>
      </c>
      <c r="D21" s="14">
        <f>+C21</f>
        <v>-12650</v>
      </c>
      <c r="E21" s="70">
        <f>+C21-D21</f>
        <v>0</v>
      </c>
      <c r="F21" s="364">
        <f>+williams!A40</f>
        <v>37297</v>
      </c>
      <c r="G21" s="203" t="s">
        <v>154</v>
      </c>
      <c r="H21" s="32" t="s">
        <v>291</v>
      </c>
      <c r="I21" s="32"/>
      <c r="J21" s="32"/>
      <c r="K21" s="32"/>
      <c r="T21" s="259"/>
    </row>
    <row r="22" spans="1:20" ht="13.5" customHeight="1" outlineLevel="2" x14ac:dyDescent="0.2">
      <c r="A22" s="501" t="s">
        <v>95</v>
      </c>
      <c r="B22" s="493">
        <f>+burlington!D42</f>
        <v>-15598.96</v>
      </c>
      <c r="C22" s="371">
        <f>+B22/$G$3</f>
        <v>-7572.3106796116499</v>
      </c>
      <c r="D22" s="349">
        <f>+burlington!D49</f>
        <v>-10122</v>
      </c>
      <c r="E22" s="72">
        <f>+C22-D22</f>
        <v>2549.6893203883501</v>
      </c>
      <c r="F22" s="363">
        <f>+burlington!A42</f>
        <v>37290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5" customHeight="1" outlineLevel="2" x14ac:dyDescent="0.2">
      <c r="A23" s="153" t="s">
        <v>158</v>
      </c>
      <c r="B23" s="387">
        <f>SUBTOTAL(9,B20:B22)</f>
        <v>-15469.61</v>
      </c>
      <c r="C23" s="388">
        <f>SUBTOTAL(9,C20:C22)</f>
        <v>-7447.5058015628692</v>
      </c>
      <c r="D23" s="393">
        <f>SUBTOTAL(9,D20:D22)</f>
        <v>-66145</v>
      </c>
      <c r="E23" s="394">
        <f>SUBTOTAL(9,E20:E22)</f>
        <v>58697.494198437133</v>
      </c>
      <c r="F23" s="363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5" t="s">
        <v>159</v>
      </c>
      <c r="B25" s="422"/>
      <c r="C25" s="423"/>
      <c r="D25" s="424"/>
      <c r="E25" s="424"/>
      <c r="F25" s="424"/>
      <c r="G25" s="425"/>
      <c r="H25" s="424"/>
      <c r="I25" s="424"/>
    </row>
    <row r="26" spans="1:20" ht="15.95" customHeight="1" outlineLevel="2" x14ac:dyDescent="0.2">
      <c r="A26" s="501" t="s">
        <v>87</v>
      </c>
      <c r="B26" s="478">
        <f>+NNG!$D$24</f>
        <v>13519.85</v>
      </c>
      <c r="C26" s="367">
        <f>+B26/$G$4</f>
        <v>6595.0487804878057</v>
      </c>
      <c r="D26" s="14">
        <f>+NNG!D34</f>
        <v>4879</v>
      </c>
      <c r="E26" s="70">
        <f t="shared" ref="E26:E48" si="0">+C26-D26</f>
        <v>1716.0487804878057</v>
      </c>
      <c r="F26" s="363">
        <f>+NNG!A24</f>
        <v>37293</v>
      </c>
      <c r="G26" s="204" t="s">
        <v>300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478">
        <f>+Conoco!$F$41</f>
        <v>452477.45</v>
      </c>
      <c r="C27" s="367">
        <f>+B27/$G$4</f>
        <v>220720.70731707319</v>
      </c>
      <c r="D27" s="14">
        <f>+Conoco!D48</f>
        <v>14152</v>
      </c>
      <c r="E27" s="70">
        <f t="shared" si="0"/>
        <v>206568.70731707319</v>
      </c>
      <c r="F27" s="363">
        <f>+Conoco!A41</f>
        <v>37297</v>
      </c>
      <c r="G27" s="32" t="s">
        <v>301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">
      <c r="A28" s="248" t="s">
        <v>3</v>
      </c>
      <c r="B28" s="345">
        <f>+'Amoco Abo'!$F$43</f>
        <v>156601.13</v>
      </c>
      <c r="C28" s="367">
        <f>+B28/$G$4</f>
        <v>76390.795121951232</v>
      </c>
      <c r="D28" s="14">
        <f>+'Amoco Abo'!D49</f>
        <v>-366229</v>
      </c>
      <c r="E28" s="70">
        <f t="shared" si="0"/>
        <v>442619.79512195126</v>
      </c>
      <c r="F28" s="364">
        <f>+'Amoco Abo'!A43</f>
        <v>37296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">
      <c r="A29" s="248" t="s">
        <v>107</v>
      </c>
      <c r="B29" s="478">
        <f>+KN_Westar!F41</f>
        <v>329520.2</v>
      </c>
      <c r="C29" s="367">
        <f>+B29/$G$4</f>
        <v>160741.56097560978</v>
      </c>
      <c r="D29" s="14">
        <f>+KN_Westar!D48</f>
        <v>-36982</v>
      </c>
      <c r="E29" s="70">
        <f t="shared" si="0"/>
        <v>197723.56097560978</v>
      </c>
      <c r="F29" s="364">
        <f>+KN_Westar!A41</f>
        <v>37287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501" t="s">
        <v>248</v>
      </c>
      <c r="B30" s="478">
        <f>+summary!B43</f>
        <v>-550915.94000000006</v>
      </c>
      <c r="C30" s="368">
        <f>+B30/$G$5</f>
        <v>-267434.92233009712</v>
      </c>
      <c r="D30" s="14">
        <f>+DEFS!$I$36+DEFS!$J$36+DEFS!$K$45+DEFS!$K$46+DEFS!$K$47+DEFS!$K$48</f>
        <v>-449015</v>
      </c>
      <c r="E30" s="70">
        <f t="shared" si="0"/>
        <v>181580.07766990288</v>
      </c>
      <c r="F30" s="364">
        <f>+DEFS!A40</f>
        <v>37290</v>
      </c>
      <c r="G30" s="203" t="s">
        <v>153</v>
      </c>
      <c r="H30" s="32" t="s">
        <v>100</v>
      </c>
      <c r="I30" s="32" t="s">
        <v>118</v>
      </c>
      <c r="J30" s="32"/>
      <c r="K30" s="32"/>
    </row>
    <row r="31" spans="1:20" ht="13.5" customHeight="1" outlineLevel="1" x14ac:dyDescent="0.2">
      <c r="A31" s="248" t="s">
        <v>2</v>
      </c>
      <c r="B31" s="478">
        <f>+mewborne!$J$43</f>
        <v>329470</v>
      </c>
      <c r="C31" s="367">
        <f>+B31/$G$4</f>
        <v>160717.07317073172</v>
      </c>
      <c r="D31" s="14">
        <f>+mewborne!D49</f>
        <v>129659</v>
      </c>
      <c r="E31" s="70">
        <f t="shared" si="0"/>
        <v>31058.073170731717</v>
      </c>
      <c r="F31" s="364">
        <f>+mewborne!A43</f>
        <v>37297</v>
      </c>
      <c r="G31" s="203" t="s">
        <v>154</v>
      </c>
      <c r="H31" s="32" t="s">
        <v>99</v>
      </c>
      <c r="I31" s="32"/>
      <c r="J31" s="32"/>
      <c r="K31" s="32"/>
    </row>
    <row r="32" spans="1:20" ht="13.5" customHeight="1" x14ac:dyDescent="0.2">
      <c r="A32" s="248" t="s">
        <v>147</v>
      </c>
      <c r="B32" s="478">
        <f>+PGETX!$H$39</f>
        <v>13077.3</v>
      </c>
      <c r="C32" s="367">
        <f>+B32/$G$4</f>
        <v>6379.1707317073169</v>
      </c>
      <c r="D32" s="14">
        <f>+PGETX!E48</f>
        <v>34042</v>
      </c>
      <c r="E32" s="70">
        <f t="shared" si="0"/>
        <v>-27662.829268292684</v>
      </c>
      <c r="F32" s="364">
        <f>+PGETX!E39</f>
        <v>37296</v>
      </c>
      <c r="G32" s="32" t="s">
        <v>302</v>
      </c>
      <c r="H32" s="32" t="s">
        <v>102</v>
      </c>
      <c r="I32" s="32" t="s">
        <v>175</v>
      </c>
      <c r="J32" s="32"/>
      <c r="K32" s="32"/>
    </row>
    <row r="33" spans="1:11" ht="14.1" customHeight="1" x14ac:dyDescent="0.2">
      <c r="A33" s="248" t="s">
        <v>82</v>
      </c>
      <c r="B33" s="345">
        <f>+PNM!$D$23</f>
        <v>886194.49</v>
      </c>
      <c r="C33" s="367">
        <f>+B33/$G$4</f>
        <v>432289.99512195127</v>
      </c>
      <c r="D33" s="14">
        <f>+PNM!D30</f>
        <v>365026</v>
      </c>
      <c r="E33" s="70">
        <f t="shared" si="0"/>
        <v>67263.995121951273</v>
      </c>
      <c r="F33" s="364">
        <f>+PNM!A23</f>
        <v>37297</v>
      </c>
      <c r="G33" s="32" t="s">
        <v>300</v>
      </c>
      <c r="H33" s="32" t="s">
        <v>115</v>
      </c>
      <c r="I33" s="32"/>
      <c r="J33" s="32"/>
      <c r="K33" s="32"/>
    </row>
    <row r="34" spans="1:11" ht="14.1" customHeight="1" x14ac:dyDescent="0.2">
      <c r="A34" s="32" t="s">
        <v>103</v>
      </c>
      <c r="B34" s="478">
        <f>+EOG!J41</f>
        <v>30994.91</v>
      </c>
      <c r="C34" s="367">
        <f>+B34/$G$4</f>
        <v>15119.468292682928</v>
      </c>
      <c r="D34" s="14">
        <f>+EOG!D48</f>
        <v>-112732</v>
      </c>
      <c r="E34" s="70">
        <f t="shared" si="0"/>
        <v>127851.46829268293</v>
      </c>
      <c r="F34" s="363">
        <f>+EOG!A41</f>
        <v>37297</v>
      </c>
      <c r="G34" s="32" t="s">
        <v>300</v>
      </c>
      <c r="H34" s="32" t="s">
        <v>102</v>
      </c>
      <c r="I34" s="32"/>
      <c r="J34" s="32"/>
      <c r="K34" s="32"/>
    </row>
    <row r="35" spans="1:11" ht="14.1" customHeight="1" x14ac:dyDescent="0.2">
      <c r="A35" s="248" t="s">
        <v>6</v>
      </c>
      <c r="B35" s="345">
        <f>+Oasis!D40</f>
        <v>27079.23</v>
      </c>
      <c r="C35" s="367">
        <f>+B35/G5</f>
        <v>13145.257281553397</v>
      </c>
      <c r="D35" s="14">
        <f>+Oasis!D47</f>
        <v>10954</v>
      </c>
      <c r="E35" s="70">
        <f>+C35-D35</f>
        <v>2191.2572815533968</v>
      </c>
      <c r="F35" s="363">
        <f>+Oasis!A40</f>
        <v>37297</v>
      </c>
      <c r="G35" s="203" t="s">
        <v>154</v>
      </c>
      <c r="H35" s="32" t="s">
        <v>102</v>
      </c>
      <c r="I35" s="32"/>
      <c r="J35" s="32"/>
      <c r="K35" s="32"/>
    </row>
    <row r="36" spans="1:11" ht="14.1" customHeight="1" x14ac:dyDescent="0.2">
      <c r="A36" s="248" t="s">
        <v>131</v>
      </c>
      <c r="B36" s="478">
        <f>+SidR!D41</f>
        <v>10238.459999999999</v>
      </c>
      <c r="C36" s="367">
        <f>+B36/$G$5</f>
        <v>4970.1262135922325</v>
      </c>
      <c r="D36" s="14">
        <f>+SidR!D48</f>
        <v>4766</v>
      </c>
      <c r="E36" s="70">
        <f t="shared" si="0"/>
        <v>204.12621359223249</v>
      </c>
      <c r="F36" s="364">
        <f>+SidR!A41</f>
        <v>37292</v>
      </c>
      <c r="G36" s="203" t="s">
        <v>152</v>
      </c>
      <c r="H36" s="32" t="s">
        <v>102</v>
      </c>
      <c r="I36" s="32"/>
      <c r="J36" s="32"/>
      <c r="K36" s="32"/>
    </row>
    <row r="37" spans="1:11" ht="14.1" customHeight="1" x14ac:dyDescent="0.2">
      <c r="A37" s="501" t="s">
        <v>258</v>
      </c>
      <c r="B37" s="345">
        <f>+summary!$B$46</f>
        <v>-134584.64000000001</v>
      </c>
      <c r="C37" s="367">
        <f>+summary!$C$46</f>
        <v>-65651.043902439036</v>
      </c>
      <c r="D37" s="14">
        <f>+MiVida_Rich!D48</f>
        <v>-45949</v>
      </c>
      <c r="E37" s="70">
        <f>+C37-D37</f>
        <v>-19702.043902439036</v>
      </c>
      <c r="F37" s="364">
        <f>+MiVida_Rich!A41</f>
        <v>37287</v>
      </c>
      <c r="G37" s="203" t="s">
        <v>152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207</v>
      </c>
      <c r="B38" s="345">
        <f>+Dominion!D41</f>
        <v>173721.76</v>
      </c>
      <c r="C38" s="367">
        <f>+B38/$G$5</f>
        <v>84330.951456310679</v>
      </c>
      <c r="D38" s="14">
        <f>+Dominion!D48</f>
        <v>75967</v>
      </c>
      <c r="E38" s="70">
        <f t="shared" si="0"/>
        <v>8363.9514563106786</v>
      </c>
      <c r="F38" s="364">
        <f>+Dominion!A41</f>
        <v>37296</v>
      </c>
      <c r="G38" s="203" t="s">
        <v>300</v>
      </c>
      <c r="H38" s="32" t="s">
        <v>99</v>
      </c>
      <c r="I38" s="32"/>
      <c r="J38" s="32"/>
      <c r="K38" s="32"/>
    </row>
    <row r="39" spans="1:11" ht="14.1" customHeight="1" x14ac:dyDescent="0.2">
      <c r="A39" s="248" t="s">
        <v>204</v>
      </c>
      <c r="B39" s="345">
        <f>+WTGmktg!J43</f>
        <v>-34633.42</v>
      </c>
      <c r="C39" s="367">
        <f>+B39/$G$4</f>
        <v>-16894.351219512195</v>
      </c>
      <c r="D39" s="14">
        <f>+WTGmktg!D50</f>
        <v>-2980</v>
      </c>
      <c r="E39" s="70">
        <f t="shared" si="0"/>
        <v>-13914.351219512195</v>
      </c>
      <c r="F39" s="364">
        <f>+WTGmktg!A43</f>
        <v>37290</v>
      </c>
      <c r="G39" s="203" t="s">
        <v>153</v>
      </c>
      <c r="H39" s="32" t="s">
        <v>115</v>
      </c>
      <c r="I39" s="32"/>
      <c r="J39" s="32"/>
      <c r="K39" s="32"/>
    </row>
    <row r="40" spans="1:11" ht="14.1" customHeight="1" x14ac:dyDescent="0.2">
      <c r="A40" s="248" t="s">
        <v>281</v>
      </c>
      <c r="B40" s="345">
        <f>+'WTG inc'!N43</f>
        <v>23978.959999999999</v>
      </c>
      <c r="C40" s="367">
        <f>+B40/G4</f>
        <v>11697.053658536586</v>
      </c>
      <c r="D40" s="14">
        <f>+'WTG inc'!D50</f>
        <v>7966</v>
      </c>
      <c r="E40" s="70">
        <f>+C40-D40</f>
        <v>3731.0536585365862</v>
      </c>
      <c r="F40" s="364">
        <f>+'WTG inc'!A43</f>
        <v>37296</v>
      </c>
      <c r="G40" s="203" t="s">
        <v>153</v>
      </c>
      <c r="H40" s="32" t="s">
        <v>115</v>
      </c>
      <c r="I40" s="32"/>
      <c r="J40" s="32"/>
      <c r="K40" s="32"/>
    </row>
    <row r="41" spans="1:11" ht="13.5" customHeight="1" x14ac:dyDescent="0.2">
      <c r="A41" s="248" t="s">
        <v>208</v>
      </c>
      <c r="B41" s="345">
        <f>+Devon!D41</f>
        <v>132338.75</v>
      </c>
      <c r="C41" s="367">
        <f>+B41/$G$5</f>
        <v>64242.111650485436</v>
      </c>
      <c r="D41" s="14">
        <f>+Devon!D48</f>
        <v>19984</v>
      </c>
      <c r="E41" s="70">
        <f t="shared" si="0"/>
        <v>44258.111650485436</v>
      </c>
      <c r="F41" s="364">
        <f>+Devon!A41</f>
        <v>37296</v>
      </c>
      <c r="G41" s="203" t="s">
        <v>301</v>
      </c>
      <c r="H41" s="32" t="s">
        <v>99</v>
      </c>
      <c r="I41" s="32"/>
      <c r="J41" s="32"/>
      <c r="K41" s="32"/>
    </row>
    <row r="42" spans="1:11" ht="13.5" customHeight="1" x14ac:dyDescent="0.2">
      <c r="A42" s="248" t="s">
        <v>217</v>
      </c>
      <c r="B42" s="345">
        <f>+crosstex!F41</f>
        <v>-134584.64000000001</v>
      </c>
      <c r="C42" s="367">
        <f>+B42/$G$4</f>
        <v>-65651.043902439036</v>
      </c>
      <c r="D42" s="14">
        <f>+crosstex!D48</f>
        <v>-41644</v>
      </c>
      <c r="E42" s="70">
        <f t="shared" si="0"/>
        <v>-24007.043902439036</v>
      </c>
      <c r="F42" s="364">
        <f>+crosstex!A41</f>
        <v>37296</v>
      </c>
      <c r="G42" s="203" t="s">
        <v>152</v>
      </c>
      <c r="H42" s="32" t="s">
        <v>100</v>
      </c>
      <c r="I42" s="32"/>
      <c r="J42" s="32"/>
      <c r="K42" s="32"/>
    </row>
    <row r="43" spans="1:11" ht="13.5" customHeight="1" x14ac:dyDescent="0.2">
      <c r="A43" s="248" t="s">
        <v>218</v>
      </c>
      <c r="B43" s="345">
        <f>+Amarillo!P41</f>
        <v>91858.28</v>
      </c>
      <c r="C43" s="367">
        <f>+B43/$G$4</f>
        <v>44808.917073170735</v>
      </c>
      <c r="D43" s="14">
        <f>+Amarillo!D48</f>
        <v>38061</v>
      </c>
      <c r="E43" s="70">
        <f t="shared" si="0"/>
        <v>6747.9170731707345</v>
      </c>
      <c r="F43" s="364">
        <f>+Amarillo!A41</f>
        <v>37296</v>
      </c>
      <c r="G43" s="203" t="s">
        <v>301</v>
      </c>
      <c r="H43" s="32" t="s">
        <v>113</v>
      </c>
      <c r="I43" s="32"/>
      <c r="J43" s="32"/>
      <c r="K43" s="32"/>
    </row>
    <row r="44" spans="1:11" ht="13.5" customHeight="1" x14ac:dyDescent="0.2">
      <c r="A44" s="248" t="s">
        <v>296</v>
      </c>
      <c r="B44" s="345">
        <f>+Stratland!$D$41</f>
        <v>48490.31</v>
      </c>
      <c r="C44" s="368">
        <f>+B44/$G$4</f>
        <v>23653.809756097562</v>
      </c>
      <c r="D44" s="14">
        <f>+Stratland!D48</f>
        <v>17403</v>
      </c>
      <c r="E44" s="70">
        <f>+C44-D44</f>
        <v>6250.8097560975621</v>
      </c>
      <c r="F44" s="363">
        <f>+Stratland!A41</f>
        <v>37287</v>
      </c>
      <c r="G44" s="203" t="s">
        <v>300</v>
      </c>
      <c r="H44" s="32" t="s">
        <v>102</v>
      </c>
      <c r="I44" s="32"/>
      <c r="J44" s="32"/>
      <c r="K44" s="32"/>
    </row>
    <row r="45" spans="1:11" ht="13.5" customHeight="1" x14ac:dyDescent="0.2">
      <c r="A45" s="248" t="s">
        <v>307</v>
      </c>
      <c r="B45" s="345">
        <f>+Plains!$N$43</f>
        <v>63241.56</v>
      </c>
      <c r="C45" s="368">
        <f>+B45/$G$4</f>
        <v>30849.541463414636</v>
      </c>
      <c r="D45" s="14">
        <f>+Plains!D50</f>
        <v>22284</v>
      </c>
      <c r="E45" s="70">
        <f>+C45-D45</f>
        <v>8565.5414634146364</v>
      </c>
      <c r="F45" s="363">
        <f>+Plains!A43</f>
        <v>37287</v>
      </c>
      <c r="G45" s="203"/>
      <c r="H45" s="32" t="s">
        <v>100</v>
      </c>
      <c r="I45" s="32"/>
      <c r="J45" s="32"/>
      <c r="K45" s="32"/>
    </row>
    <row r="46" spans="1:11" ht="13.5" customHeight="1" x14ac:dyDescent="0.2">
      <c r="A46" s="248" t="s">
        <v>109</v>
      </c>
      <c r="B46" s="345">
        <f>+Continental!F43</f>
        <v>44498.090000000004</v>
      </c>
      <c r="C46" s="368">
        <f>+B46/$G$4</f>
        <v>21706.385365853661</v>
      </c>
      <c r="D46" s="14">
        <f>+Continental!D50</f>
        <v>5414</v>
      </c>
      <c r="E46" s="70">
        <f t="shared" si="0"/>
        <v>16292.385365853661</v>
      </c>
      <c r="F46" s="364">
        <f>+Continental!A43</f>
        <v>37297</v>
      </c>
      <c r="G46" s="203" t="s">
        <v>154</v>
      </c>
      <c r="H46" s="32" t="s">
        <v>115</v>
      </c>
      <c r="I46" s="32"/>
      <c r="J46" s="32"/>
      <c r="K46" s="32"/>
    </row>
    <row r="47" spans="1:11" ht="13.5" customHeight="1" x14ac:dyDescent="0.2">
      <c r="A47" s="248" t="s">
        <v>129</v>
      </c>
      <c r="B47" s="345">
        <f>+EPFS!D41</f>
        <v>139349.41999999998</v>
      </c>
      <c r="C47" s="368">
        <f>+B47/$G$5</f>
        <v>67645.349514563102</v>
      </c>
      <c r="D47" s="14">
        <f>+EPFS!D47</f>
        <v>80889</v>
      </c>
      <c r="E47" s="70">
        <f t="shared" si="0"/>
        <v>-13243.650485436898</v>
      </c>
      <c r="F47" s="363">
        <f>+EPFS!A41</f>
        <v>37297</v>
      </c>
      <c r="G47" s="203" t="s">
        <v>154</v>
      </c>
      <c r="H47" s="32" t="s">
        <v>102</v>
      </c>
      <c r="I47" s="32"/>
      <c r="J47" s="32"/>
      <c r="K47" s="32"/>
    </row>
    <row r="48" spans="1:11" ht="12.95" customHeight="1" x14ac:dyDescent="0.2">
      <c r="A48" s="501" t="s">
        <v>79</v>
      </c>
      <c r="B48" s="493">
        <f>+Agave!$D$24</f>
        <v>133025.22</v>
      </c>
      <c r="C48" s="369">
        <f>+B48/$G$4</f>
        <v>64890.351219512202</v>
      </c>
      <c r="D48" s="349">
        <f>+Agave!D31</f>
        <v>76190</v>
      </c>
      <c r="E48" s="72">
        <f t="shared" si="0"/>
        <v>-11299.648780487798</v>
      </c>
      <c r="F48" s="363">
        <f>+Agave!A24</f>
        <v>37297</v>
      </c>
      <c r="G48" s="203" t="s">
        <v>301</v>
      </c>
      <c r="H48" s="204" t="s">
        <v>102</v>
      </c>
      <c r="I48" s="32"/>
      <c r="J48" s="32"/>
      <c r="K48" s="32"/>
    </row>
    <row r="49" spans="1:19" ht="17.100000000000001" customHeight="1" x14ac:dyDescent="0.2">
      <c r="A49" s="153" t="s">
        <v>161</v>
      </c>
      <c r="B49" s="387">
        <f>SUBTOTAL(9,B26:B48)</f>
        <v>2244956.7300000004</v>
      </c>
      <c r="C49" s="392">
        <f>SUBTOTAL(9,C26:C48)</f>
        <v>1095262.3128107982</v>
      </c>
      <c r="D49" s="393">
        <f>SUBTOTAL(9,D26:D48)</f>
        <v>-147895</v>
      </c>
      <c r="E49" s="394">
        <f>SUBTOTAL(9,E26:E48)</f>
        <v>1243157.3128107984</v>
      </c>
      <c r="F49" s="363"/>
      <c r="G49" s="352"/>
      <c r="H49" s="32"/>
      <c r="I49" s="204"/>
      <c r="J49" s="32"/>
      <c r="K49" s="32"/>
      <c r="L49" s="32"/>
    </row>
    <row r="50" spans="1:19" ht="12" customHeight="1" x14ac:dyDescent="0.2">
      <c r="A50" s="204"/>
      <c r="H50" s="32"/>
      <c r="I50" s="204"/>
      <c r="J50" s="32"/>
      <c r="K50" s="32"/>
      <c r="L50" s="32"/>
    </row>
    <row r="51" spans="1:19" ht="17.100000000000001" customHeight="1" x14ac:dyDescent="0.2">
      <c r="A51" s="153" t="s">
        <v>162</v>
      </c>
      <c r="B51" s="387">
        <f>SUBTOTAL(9,B12:B48)</f>
        <v>1458729.7599999998</v>
      </c>
      <c r="C51" s="392">
        <f>SUBTOTAL(9,C12:C48)</f>
        <v>711835.60700923519</v>
      </c>
      <c r="D51" s="393">
        <f>SUBTOTAL(9,D12:D48)</f>
        <v>-132209</v>
      </c>
      <c r="E51" s="394">
        <f>SUBTOTAL(9,E12:E48)</f>
        <v>844044.6070092353</v>
      </c>
      <c r="F51" s="363"/>
      <c r="G51" s="204"/>
      <c r="H51" s="32"/>
      <c r="I51" s="204"/>
      <c r="J51" s="32"/>
      <c r="K51" s="32"/>
      <c r="L51" s="32"/>
    </row>
    <row r="52" spans="1:19" ht="12.95" customHeight="1" x14ac:dyDescent="0.2">
      <c r="A52" s="204"/>
      <c r="B52" s="345"/>
      <c r="C52" s="367"/>
      <c r="D52" s="367"/>
      <c r="E52" s="367"/>
      <c r="F52" s="352"/>
      <c r="G52" s="32"/>
      <c r="I52" s="32"/>
      <c r="J52" s="32"/>
      <c r="K52" s="32"/>
      <c r="L52" s="32"/>
    </row>
    <row r="53" spans="1:19" ht="14.1" customHeight="1" x14ac:dyDescent="0.2"/>
    <row r="54" spans="1:19" ht="12.95" customHeight="1" x14ac:dyDescent="0.2"/>
    <row r="55" spans="1:19" ht="13.5" customHeight="1" x14ac:dyDescent="0.2"/>
    <row r="56" spans="1:19" ht="13.5" customHeight="1" outlineLevel="2" x14ac:dyDescent="0.2">
      <c r="A56" s="34" t="s">
        <v>140</v>
      </c>
      <c r="D56" s="7"/>
      <c r="F56" s="382" t="s">
        <v>78</v>
      </c>
      <c r="G56" s="385"/>
      <c r="H56" s="32"/>
    </row>
    <row r="57" spans="1:19" ht="13.5" customHeight="1" outlineLevel="2" x14ac:dyDescent="0.2">
      <c r="D57" s="7"/>
      <c r="F57" s="383" t="s">
        <v>29</v>
      </c>
      <c r="G57" s="386">
        <f>+G3</f>
        <v>2.06</v>
      </c>
      <c r="H57" s="401">
        <f ca="1">NOW()</f>
        <v>41885.682725925923</v>
      </c>
    </row>
    <row r="58" spans="1:19" ht="13.5" customHeight="1" outlineLevel="2" x14ac:dyDescent="0.2">
      <c r="A58" s="34" t="s">
        <v>145</v>
      </c>
      <c r="C58" s="34" t="s">
        <v>5</v>
      </c>
      <c r="D58" s="7"/>
      <c r="F58" s="384" t="s">
        <v>30</v>
      </c>
      <c r="G58" s="386">
        <f>+G4</f>
        <v>2.0499999999999998</v>
      </c>
      <c r="H58" s="32"/>
    </row>
    <row r="59" spans="1:19" ht="13.5" customHeight="1" outlineLevel="1" x14ac:dyDescent="0.2">
      <c r="D59" s="7"/>
      <c r="F59" s="383" t="s">
        <v>117</v>
      </c>
      <c r="G59" s="386">
        <f>+G5</f>
        <v>2.06</v>
      </c>
      <c r="H59" s="32"/>
    </row>
    <row r="60" spans="1:19" ht="13.5" customHeight="1" outlineLevel="2" x14ac:dyDescent="0.2"/>
    <row r="61" spans="1:19" ht="13.5" customHeight="1" outlineLevel="2" x14ac:dyDescent="0.2">
      <c r="A61" s="399" t="s">
        <v>164</v>
      </c>
      <c r="B61" s="400"/>
      <c r="E61" s="12" t="s">
        <v>197</v>
      </c>
    </row>
    <row r="62" spans="1:19" ht="13.5" customHeight="1" outlineLevel="2" x14ac:dyDescent="0.2">
      <c r="A62" s="32"/>
      <c r="B62" s="402" t="s">
        <v>188</v>
      </c>
      <c r="C62" s="402" t="s">
        <v>195</v>
      </c>
      <c r="D62" s="402" t="s">
        <v>192</v>
      </c>
      <c r="E62" s="12" t="s">
        <v>198</v>
      </c>
      <c r="F62" s="2" t="s">
        <v>148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">
      <c r="A63" s="365" t="s">
        <v>89</v>
      </c>
      <c r="B63" s="398" t="s">
        <v>0</v>
      </c>
      <c r="C63" s="377" t="s">
        <v>166</v>
      </c>
      <c r="D63" s="39" t="s">
        <v>196</v>
      </c>
      <c r="E63" s="39" t="s">
        <v>199</v>
      </c>
      <c r="F63" s="39" t="s">
        <v>146</v>
      </c>
      <c r="G63" s="389" t="s">
        <v>151</v>
      </c>
      <c r="H63" s="366" t="s">
        <v>101</v>
      </c>
      <c r="I63" s="365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">
      <c r="B64" s="286"/>
      <c r="C64" s="247"/>
    </row>
    <row r="65" spans="1:11" ht="13.5" customHeight="1" outlineLevel="1" x14ac:dyDescent="0.2">
      <c r="A65" s="365" t="s">
        <v>155</v>
      </c>
      <c r="B65" s="286"/>
      <c r="C65" s="247"/>
      <c r="G65" s="203"/>
    </row>
    <row r="66" spans="1:11" ht="13.5" customHeight="1" outlineLevel="2" x14ac:dyDescent="0.2">
      <c r="A66" s="248" t="s">
        <v>94</v>
      </c>
      <c r="B66" s="502">
        <f>+Mojave!D40</f>
        <v>183249</v>
      </c>
      <c r="C66" s="345">
        <f>+B66*$G$4</f>
        <v>375660.44999999995</v>
      </c>
      <c r="D66" s="47">
        <f>+Mojave!D47</f>
        <v>192220.5</v>
      </c>
      <c r="E66" s="47">
        <f>+C66-D66</f>
        <v>183439.94999999995</v>
      </c>
      <c r="F66" s="364">
        <f>+Mojave!A40</f>
        <v>37296</v>
      </c>
      <c r="G66" s="203" t="s">
        <v>154</v>
      </c>
      <c r="H66" s="32" t="s">
        <v>100</v>
      </c>
      <c r="I66" s="32" t="s">
        <v>169</v>
      </c>
      <c r="J66" s="32"/>
      <c r="K66" s="32"/>
    </row>
    <row r="67" spans="1:11" ht="15" customHeight="1" outlineLevel="2" x14ac:dyDescent="0.2">
      <c r="A67" s="248" t="s">
        <v>32</v>
      </c>
      <c r="B67" s="368">
        <f>+SoCal!F40</f>
        <v>82984</v>
      </c>
      <c r="C67" s="345">
        <f>+B67*$G$4</f>
        <v>170117.19999999998</v>
      </c>
      <c r="D67" s="47">
        <f>+SoCal!D47</f>
        <v>287660.59999999998</v>
      </c>
      <c r="E67" s="47">
        <f>+C67-D67</f>
        <v>-117543.4</v>
      </c>
      <c r="F67" s="364">
        <f>+SoCal!A40</f>
        <v>37297</v>
      </c>
      <c r="G67" s="203" t="s">
        <v>153</v>
      </c>
      <c r="H67" s="32" t="s">
        <v>102</v>
      </c>
      <c r="I67" s="32"/>
      <c r="J67" s="32"/>
      <c r="K67" s="32"/>
    </row>
    <row r="68" spans="1:11" ht="15" customHeight="1" outlineLevel="2" x14ac:dyDescent="0.2">
      <c r="A68" s="248" t="s">
        <v>178</v>
      </c>
      <c r="B68" s="367">
        <f>+'El Paso'!C39</f>
        <v>64269</v>
      </c>
      <c r="C68" s="345">
        <f>+B68*$G$4</f>
        <v>131751.44999999998</v>
      </c>
      <c r="D68" s="47">
        <f>+'El Paso'!C46</f>
        <v>-1582961.01</v>
      </c>
      <c r="E68" s="47">
        <f>+C68-D68</f>
        <v>1714712.46</v>
      </c>
      <c r="F68" s="364">
        <f>+'El Paso'!A39</f>
        <v>37297</v>
      </c>
      <c r="G68" s="419" t="s">
        <v>154</v>
      </c>
      <c r="H68" s="32" t="s">
        <v>100</v>
      </c>
      <c r="I68" s="32" t="s">
        <v>170</v>
      </c>
      <c r="J68" s="32"/>
      <c r="K68" s="32"/>
    </row>
    <row r="69" spans="1:11" ht="15" customHeight="1" outlineLevel="1" x14ac:dyDescent="0.2">
      <c r="A69" s="248" t="s">
        <v>114</v>
      </c>
      <c r="B69" s="369">
        <f>+'PG&amp;E'!D40</f>
        <v>38813</v>
      </c>
      <c r="C69" s="348">
        <f>+B69*$G$4</f>
        <v>79566.649999999994</v>
      </c>
      <c r="D69" s="348">
        <f>+'PG&amp;E'!D47</f>
        <v>-122982.45</v>
      </c>
      <c r="E69" s="348">
        <f>+C69-D69</f>
        <v>202549.09999999998</v>
      </c>
      <c r="F69" s="364">
        <f>+'PG&amp;E'!A40</f>
        <v>37296</v>
      </c>
      <c r="G69" s="203" t="s">
        <v>154</v>
      </c>
      <c r="H69" s="32" t="s">
        <v>102</v>
      </c>
      <c r="I69" s="32"/>
      <c r="J69" s="32"/>
      <c r="K69" s="32"/>
    </row>
    <row r="70" spans="1:11" ht="15" customHeight="1" x14ac:dyDescent="0.2">
      <c r="A70" s="2" t="s">
        <v>156</v>
      </c>
      <c r="B70" s="392">
        <f>SUBTOTAL(9,B66:B69)</f>
        <v>369315</v>
      </c>
      <c r="C70" s="387">
        <f>SUBTOTAL(9,C66:C69)</f>
        <v>757095.74999999988</v>
      </c>
      <c r="D70" s="387">
        <f>SUBTOTAL(9,D66:D69)</f>
        <v>-1226062.3600000001</v>
      </c>
      <c r="E70" s="387">
        <f>SUBTOTAL(9,E66:E69)</f>
        <v>1983158.1099999999</v>
      </c>
      <c r="F70" s="364"/>
      <c r="G70" s="203"/>
      <c r="H70" s="32"/>
      <c r="I70" s="32"/>
      <c r="J70" s="32"/>
      <c r="K70" s="32"/>
    </row>
    <row r="71" spans="1:11" ht="12.95" customHeight="1" x14ac:dyDescent="0.2">
      <c r="B71" s="286"/>
      <c r="C71" s="247"/>
      <c r="G71" s="203"/>
    </row>
    <row r="72" spans="1:11" ht="15" customHeight="1" x14ac:dyDescent="0.2">
      <c r="A72" s="365" t="s">
        <v>57</v>
      </c>
      <c r="B72" s="286"/>
      <c r="C72" s="247"/>
      <c r="G72" s="203"/>
    </row>
    <row r="73" spans="1:11" x14ac:dyDescent="0.2">
      <c r="A73" s="248" t="s">
        <v>23</v>
      </c>
      <c r="B73" s="367">
        <f>+'Red C'!F45</f>
        <v>16688</v>
      </c>
      <c r="C73" s="346">
        <f>+B73*G57</f>
        <v>34377.279999999999</v>
      </c>
      <c r="D73" s="200">
        <f>+'Red C'!D52</f>
        <v>406547.16</v>
      </c>
      <c r="E73" s="47">
        <f>+C73-D73</f>
        <v>-372169.88</v>
      </c>
      <c r="F73" s="363">
        <f>+'Red C'!A45</f>
        <v>37296</v>
      </c>
      <c r="G73" s="203" t="s">
        <v>153</v>
      </c>
      <c r="H73" s="32" t="s">
        <v>115</v>
      </c>
      <c r="I73" s="32"/>
      <c r="J73" s="32"/>
      <c r="K73" s="32"/>
    </row>
    <row r="74" spans="1:11" x14ac:dyDescent="0.2">
      <c r="A74" s="248" t="s">
        <v>289</v>
      </c>
      <c r="B74" s="367">
        <f>+Amoco!D40</f>
        <v>499</v>
      </c>
      <c r="C74" s="345">
        <f>+B74*$G$3</f>
        <v>1027.94</v>
      </c>
      <c r="D74" s="47">
        <f>+Amoco!D47</f>
        <v>336093.82</v>
      </c>
      <c r="E74" s="47">
        <f>+C74-D74</f>
        <v>-335065.88</v>
      </c>
      <c r="F74" s="364">
        <f>+Amoco!A40</f>
        <v>37296</v>
      </c>
      <c r="G74" s="203" t="s">
        <v>153</v>
      </c>
      <c r="H74" s="32" t="s">
        <v>115</v>
      </c>
      <c r="I74" s="32"/>
      <c r="J74" s="32"/>
      <c r="K74" s="32"/>
    </row>
    <row r="75" spans="1:11" x14ac:dyDescent="0.2">
      <c r="A75" s="248" t="s">
        <v>179</v>
      </c>
      <c r="B75" s="367">
        <f>+'El Paso'!E39</f>
        <v>18915</v>
      </c>
      <c r="C75" s="345">
        <f>+B75*$G$3</f>
        <v>38964.9</v>
      </c>
      <c r="D75" s="47">
        <f>+'El Paso'!F46</f>
        <v>-657254.01</v>
      </c>
      <c r="E75" s="47">
        <f>+C75-D75</f>
        <v>696218.91</v>
      </c>
      <c r="F75" s="364">
        <f>+'El Paso'!A39</f>
        <v>37297</v>
      </c>
      <c r="G75" s="419" t="s">
        <v>154</v>
      </c>
      <c r="H75" s="32" t="s">
        <v>100</v>
      </c>
      <c r="I75" s="32"/>
      <c r="J75" s="32"/>
      <c r="K75" s="32"/>
    </row>
    <row r="76" spans="1:11" x14ac:dyDescent="0.2">
      <c r="A76" s="248" t="s">
        <v>1</v>
      </c>
      <c r="B76" s="369">
        <f>+NW!$F$41</f>
        <v>-43515</v>
      </c>
      <c r="C76" s="348">
        <f>+B76*$G$3</f>
        <v>-89640.900000000009</v>
      </c>
      <c r="D76" s="348">
        <f>+NW!E49</f>
        <v>-551113.41999999993</v>
      </c>
      <c r="E76" s="348">
        <f>+C76-D76</f>
        <v>461472.5199999999</v>
      </c>
      <c r="F76" s="363">
        <f>+NW!B41</f>
        <v>37297</v>
      </c>
      <c r="G76" s="203" t="s">
        <v>153</v>
      </c>
      <c r="H76" s="32" t="s">
        <v>115</v>
      </c>
      <c r="I76" s="32"/>
      <c r="J76" s="32"/>
      <c r="K76" s="32"/>
    </row>
    <row r="77" spans="1:11" x14ac:dyDescent="0.2">
      <c r="A77" s="32" t="s">
        <v>157</v>
      </c>
      <c r="B77" s="392">
        <f>SUBTOTAL(9,B73:B76)</f>
        <v>-7413</v>
      </c>
      <c r="C77" s="387">
        <f>SUBTOTAL(9,C73:C76)</f>
        <v>-15270.780000000013</v>
      </c>
      <c r="D77" s="387">
        <f>SUBTOTAL(9,D73:D76)</f>
        <v>-465726.44999999995</v>
      </c>
      <c r="E77" s="387">
        <f>SUBTOTAL(9,E73:E76)</f>
        <v>450455.66999999993</v>
      </c>
      <c r="F77" s="363"/>
      <c r="G77" s="203"/>
      <c r="H77" s="32"/>
      <c r="I77" s="32"/>
      <c r="J77" s="32"/>
      <c r="K77" s="32"/>
    </row>
    <row r="78" spans="1:11" x14ac:dyDescent="0.2">
      <c r="B78" s="286"/>
      <c r="C78" s="247"/>
      <c r="G78" s="203"/>
    </row>
    <row r="79" spans="1:11" x14ac:dyDescent="0.2">
      <c r="A79" s="365" t="s">
        <v>159</v>
      </c>
      <c r="B79" s="286"/>
      <c r="C79" s="247"/>
      <c r="G79" s="203"/>
    </row>
    <row r="80" spans="1:11" x14ac:dyDescent="0.2">
      <c r="A80" s="248" t="s">
        <v>88</v>
      </c>
      <c r="B80" s="367">
        <f>+NGPL!H38</f>
        <v>123284</v>
      </c>
      <c r="C80" s="478">
        <f>+B80*$G$5</f>
        <v>253965.04</v>
      </c>
      <c r="D80" s="47">
        <f>+NGPL!D45</f>
        <v>310794.45</v>
      </c>
      <c r="E80" s="47">
        <f>+C80-D80</f>
        <v>-56829.41</v>
      </c>
      <c r="F80" s="364">
        <f>+NGPL!A38</f>
        <v>37297</v>
      </c>
      <c r="G80" s="203" t="s">
        <v>153</v>
      </c>
      <c r="H80" s="32" t="s">
        <v>115</v>
      </c>
      <c r="I80" s="32"/>
      <c r="J80" s="32"/>
      <c r="K80" s="32"/>
    </row>
    <row r="81" spans="1:12" x14ac:dyDescent="0.2">
      <c r="A81" s="248" t="s">
        <v>142</v>
      </c>
      <c r="B81" s="367">
        <f>+PEPL!D41</f>
        <v>20551</v>
      </c>
      <c r="C81" s="479">
        <f>+B81*$G$4</f>
        <v>42129.549999999996</v>
      </c>
      <c r="D81" s="47">
        <f>+PEPL!D47</f>
        <v>188598.95</v>
      </c>
      <c r="E81" s="47">
        <f>+C81-D81</f>
        <v>-146469.40000000002</v>
      </c>
      <c r="F81" s="364">
        <f>+PEPL!A41</f>
        <v>37297</v>
      </c>
      <c r="G81" s="32" t="s">
        <v>301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">
      <c r="A82" s="248" t="s">
        <v>110</v>
      </c>
      <c r="B82" s="206">
        <f>+CIG!D42</f>
        <v>17587</v>
      </c>
      <c r="C82" s="479">
        <f>+B82*$G$4</f>
        <v>36053.35</v>
      </c>
      <c r="D82" s="200">
        <f>+CIG!D49</f>
        <v>385897</v>
      </c>
      <c r="E82" s="70">
        <f>+C82-D82</f>
        <v>-349843.65</v>
      </c>
      <c r="F82" s="364">
        <f>+CIG!A42</f>
        <v>37290</v>
      </c>
      <c r="G82" s="203" t="s">
        <v>154</v>
      </c>
      <c r="H82" s="32" t="s">
        <v>113</v>
      </c>
      <c r="I82" s="32" t="s">
        <v>180</v>
      </c>
      <c r="J82" s="32"/>
      <c r="K82" s="32"/>
    </row>
    <row r="83" spans="1:12" x14ac:dyDescent="0.2">
      <c r="A83" s="248" t="s">
        <v>31</v>
      </c>
      <c r="B83" s="371">
        <f>+Lonestar!F43</f>
        <v>41892</v>
      </c>
      <c r="C83" s="493">
        <f>+B83*G59</f>
        <v>86297.52</v>
      </c>
      <c r="D83" s="348">
        <f>+Lonestar!D50</f>
        <v>79140.960000000006</v>
      </c>
      <c r="E83" s="348">
        <f>+C83-D83</f>
        <v>7156.5599999999977</v>
      </c>
      <c r="F83" s="363">
        <f>+Lonestar!A43</f>
        <v>37297</v>
      </c>
      <c r="G83" s="32" t="s">
        <v>301</v>
      </c>
      <c r="H83" s="32" t="s">
        <v>102</v>
      </c>
      <c r="I83" s="32"/>
      <c r="J83" s="32"/>
      <c r="K83" s="32"/>
    </row>
    <row r="84" spans="1:12" x14ac:dyDescent="0.2">
      <c r="A84" s="2" t="s">
        <v>160</v>
      </c>
      <c r="B84" s="388">
        <f>SUBTOTAL(9,B80:B83)</f>
        <v>203314</v>
      </c>
      <c r="C84" s="387">
        <f>SUBTOTAL(9,C80:C83)</f>
        <v>418445.46</v>
      </c>
      <c r="D84" s="387">
        <f>SUBTOTAL(9,D80:D83)</f>
        <v>964431.35999999999</v>
      </c>
      <c r="E84" s="387">
        <f>SUBTOTAL(9,E80:E83)</f>
        <v>-545985.90000000014</v>
      </c>
      <c r="F84" s="363"/>
      <c r="H84" s="32"/>
      <c r="I84" s="32"/>
      <c r="J84" s="32"/>
      <c r="K84" s="32"/>
    </row>
    <row r="85" spans="1:12" x14ac:dyDescent="0.2">
      <c r="B85" s="286"/>
      <c r="C85" s="247"/>
    </row>
    <row r="86" spans="1:12" x14ac:dyDescent="0.2">
      <c r="A86" s="2" t="s">
        <v>165</v>
      </c>
      <c r="B86" s="388">
        <f>SUBTOTAL(9,B66:B83)</f>
        <v>565216</v>
      </c>
      <c r="C86" s="387">
        <f>SUBTOTAL(9,C66:C83)</f>
        <v>1160270.43</v>
      </c>
      <c r="D86" s="387">
        <f>SUBTOTAL(9,D66:D83)</f>
        <v>-727357.45000000019</v>
      </c>
      <c r="E86" s="387">
        <f>SUBTOTAL(9,E66:E83)</f>
        <v>1887627.8800000004</v>
      </c>
      <c r="F86" s="363"/>
      <c r="H86" s="32"/>
      <c r="I86" s="32"/>
      <c r="J86" s="32"/>
      <c r="K86" s="32"/>
    </row>
    <row r="87" spans="1:12" x14ac:dyDescent="0.2">
      <c r="A87" s="32"/>
      <c r="B87" s="345"/>
      <c r="C87" s="368"/>
      <c r="D87" s="345"/>
      <c r="E87" s="345"/>
      <c r="F87" s="363"/>
      <c r="H87" s="32"/>
      <c r="I87" s="32"/>
      <c r="J87" s="32"/>
      <c r="K87" s="32"/>
    </row>
    <row r="88" spans="1:12" x14ac:dyDescent="0.2">
      <c r="A88" s="32"/>
      <c r="B88" s="348"/>
      <c r="C88" s="367"/>
      <c r="D88" s="290"/>
      <c r="E88" s="290"/>
      <c r="F88" s="363"/>
      <c r="G88" s="32"/>
      <c r="I88" s="32"/>
      <c r="J88" s="32"/>
      <c r="K88" s="32"/>
      <c r="L88" s="32"/>
    </row>
    <row r="89" spans="1:12" ht="13.5" thickBot="1" x14ac:dyDescent="0.25">
      <c r="A89" s="2" t="s">
        <v>167</v>
      </c>
      <c r="B89" s="395">
        <f>+C86+B51</f>
        <v>2619000.1899999995</v>
      </c>
      <c r="C89" s="206"/>
      <c r="D89" s="345"/>
      <c r="E89" s="345"/>
      <c r="F89" s="352"/>
      <c r="H89" s="32"/>
      <c r="I89" s="32"/>
      <c r="J89" s="32"/>
      <c r="K89" s="32"/>
    </row>
    <row r="90" spans="1:12" ht="13.5" thickTop="1" x14ac:dyDescent="0.2">
      <c r="A90" s="2" t="s">
        <v>168</v>
      </c>
      <c r="B90" s="14">
        <f>+B86+C51</f>
        <v>1277051.6070092353</v>
      </c>
      <c r="C90" s="370"/>
      <c r="D90" s="421"/>
      <c r="E90" s="290"/>
      <c r="F90" s="352"/>
      <c r="G90" s="32"/>
      <c r="H90" s="32"/>
      <c r="I90" s="32"/>
      <c r="J90" s="32"/>
    </row>
    <row r="91" spans="1:12" x14ac:dyDescent="0.2">
      <c r="A91" s="32"/>
      <c r="B91" s="47"/>
      <c r="C91" s="372"/>
      <c r="D91" s="290"/>
      <c r="E91" s="290"/>
      <c r="F91" s="204"/>
      <c r="G91" s="32"/>
      <c r="H91" s="32"/>
      <c r="I91" s="32"/>
      <c r="J91" s="32"/>
    </row>
    <row r="92" spans="1:12" x14ac:dyDescent="0.2">
      <c r="A92" s="32"/>
      <c r="B92" s="47"/>
      <c r="C92" s="69"/>
      <c r="E92" s="32"/>
      <c r="F92" s="32"/>
      <c r="G92" s="32"/>
      <c r="H92" s="32"/>
      <c r="I92" s="32"/>
    </row>
    <row r="93" spans="1:12" x14ac:dyDescent="0.2">
      <c r="A93" s="32"/>
      <c r="B93" s="47"/>
      <c r="C93" s="69"/>
      <c r="D93" s="32"/>
      <c r="E93" s="32"/>
      <c r="F93" s="32"/>
      <c r="G93" s="32"/>
      <c r="H93" s="32"/>
    </row>
    <row r="94" spans="1:12" x14ac:dyDescent="0.2">
      <c r="A94" s="32"/>
      <c r="B94" s="200"/>
      <c r="C94" s="291"/>
      <c r="D94" s="16"/>
      <c r="E94" s="32"/>
      <c r="F94" s="32"/>
      <c r="G94" s="32"/>
      <c r="H94" s="32"/>
    </row>
    <row r="100" spans="1:8" x14ac:dyDescent="0.2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">
      <c r="A101" s="32"/>
      <c r="B101" s="47"/>
      <c r="C101" s="14"/>
      <c r="D101" s="32"/>
      <c r="E101" s="32"/>
      <c r="F101" s="32"/>
      <c r="G101" s="32"/>
      <c r="H101" s="32"/>
    </row>
    <row r="102" spans="1:8" x14ac:dyDescent="0.2">
      <c r="A102" s="32"/>
      <c r="B102" s="47"/>
      <c r="C102" s="14"/>
      <c r="D102" s="32"/>
      <c r="E102" s="32"/>
      <c r="F102" s="32"/>
      <c r="G102" s="32"/>
      <c r="H102" s="32"/>
    </row>
    <row r="103" spans="1:8" x14ac:dyDescent="0.2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">
      <c r="A106" s="32"/>
      <c r="B106" s="200"/>
      <c r="C106" s="361"/>
      <c r="D106" s="32"/>
      <c r="E106" s="32"/>
      <c r="F106" s="32"/>
      <c r="G106" s="32"/>
      <c r="H106" s="32"/>
    </row>
    <row r="107" spans="1:8" x14ac:dyDescent="0.2">
      <c r="A107" s="32"/>
      <c r="B107" s="47"/>
      <c r="C107" s="69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>
        <v>300</v>
      </c>
      <c r="B126" s="47"/>
      <c r="D126" s="32"/>
      <c r="E126" s="32"/>
      <c r="F126" s="32"/>
      <c r="G126" s="32"/>
      <c r="H126" s="32"/>
    </row>
    <row r="127" spans="1:8" x14ac:dyDescent="0.2">
      <c r="A127" s="32">
        <v>35</v>
      </c>
      <c r="B127" s="47"/>
      <c r="D127" s="32"/>
      <c r="E127" s="32"/>
      <c r="F127" s="32"/>
      <c r="G127" s="32"/>
      <c r="H127" s="32"/>
    </row>
    <row r="128" spans="1:8" x14ac:dyDescent="0.2">
      <c r="A128" s="32">
        <f>+A127*A126</f>
        <v>10500</v>
      </c>
      <c r="B128" s="47"/>
      <c r="D128" s="32"/>
      <c r="E128" s="32"/>
      <c r="F128" s="32"/>
      <c r="G128" s="32"/>
      <c r="H128" s="32"/>
    </row>
    <row r="129" spans="1:8" x14ac:dyDescent="0.2">
      <c r="A129" s="32"/>
      <c r="B129" s="47"/>
      <c r="D129" s="32"/>
      <c r="E129" s="32"/>
      <c r="F129" s="32"/>
      <c r="G129" s="32"/>
      <c r="H129" s="32"/>
    </row>
    <row r="130" spans="1:8" x14ac:dyDescent="0.2">
      <c r="A130" s="32"/>
      <c r="B130" s="47"/>
      <c r="D130" s="32"/>
      <c r="E130" s="32"/>
      <c r="F130" s="32"/>
      <c r="G130" s="32"/>
      <c r="H130" s="32"/>
    </row>
    <row r="131" spans="1:8" x14ac:dyDescent="0.2">
      <c r="A131" s="32"/>
      <c r="B131" s="47"/>
      <c r="D131" s="32"/>
      <c r="E131" s="32"/>
      <c r="F131" s="32"/>
      <c r="G131" s="32"/>
      <c r="H131" s="32"/>
    </row>
    <row r="132" spans="1:8" x14ac:dyDescent="0.2">
      <c r="A132" s="32"/>
      <c r="B132" s="47"/>
      <c r="C132" s="69"/>
      <c r="D132" s="32"/>
      <c r="E132" s="32"/>
      <c r="F132" s="32"/>
      <c r="G132" s="32"/>
      <c r="H132" s="32"/>
    </row>
    <row r="133" spans="1:8" x14ac:dyDescent="0.2">
      <c r="A133" s="32"/>
      <c r="B133" s="47"/>
      <c r="C133" s="69"/>
      <c r="D133" s="32"/>
      <c r="E133" s="32"/>
      <c r="F133" s="32"/>
      <c r="G133" s="32"/>
      <c r="H133" s="32"/>
    </row>
    <row r="134" spans="1:8" x14ac:dyDescent="0.2">
      <c r="A134" s="32"/>
      <c r="B134" s="47"/>
      <c r="C134" s="69"/>
      <c r="D134" s="32"/>
      <c r="E134" s="32"/>
      <c r="F134" s="32"/>
      <c r="G134" s="32"/>
      <c r="H134" s="32"/>
    </row>
    <row r="135" spans="1:8" x14ac:dyDescent="0.2">
      <c r="A135" s="32"/>
      <c r="B135" s="47"/>
      <c r="C135" s="69"/>
      <c r="D135" s="32"/>
      <c r="E135" s="32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32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32" workbookViewId="0">
      <selection activeCell="B34" sqref="B34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3" t="s">
        <v>10</v>
      </c>
      <c r="B5" s="428" t="s">
        <v>19</v>
      </c>
      <c r="C5" s="428" t="s">
        <v>20</v>
      </c>
      <c r="D5" s="428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29">
        <v>1</v>
      </c>
      <c r="B6" s="410">
        <v>147304</v>
      </c>
      <c r="C6" s="410">
        <v>158363</v>
      </c>
      <c r="D6" s="307">
        <f>+C6-B6</f>
        <v>11059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29">
        <v>2</v>
      </c>
      <c r="B7" s="436">
        <v>162200</v>
      </c>
      <c r="C7" s="410">
        <v>159898</v>
      </c>
      <c r="D7" s="307">
        <f>+C7-B7</f>
        <v>-2302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29">
        <v>3</v>
      </c>
      <c r="B8" s="436">
        <v>156474</v>
      </c>
      <c r="C8" s="410">
        <v>159849</v>
      </c>
      <c r="D8" s="307">
        <f t="shared" ref="D8:D36" si="0">+C8-B8</f>
        <v>3375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29">
        <v>4</v>
      </c>
      <c r="B9" s="436">
        <v>156008</v>
      </c>
      <c r="C9" s="410">
        <v>154229</v>
      </c>
      <c r="D9" s="307">
        <f t="shared" si="0"/>
        <v>-1779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29">
        <v>5</v>
      </c>
      <c r="B10" s="436">
        <v>152552</v>
      </c>
      <c r="C10" s="410">
        <v>152972</v>
      </c>
      <c r="D10" s="307">
        <f t="shared" si="0"/>
        <v>420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29">
        <v>6</v>
      </c>
      <c r="B11" s="436">
        <v>156411</v>
      </c>
      <c r="C11" s="410">
        <v>154640</v>
      </c>
      <c r="D11" s="307">
        <f t="shared" si="0"/>
        <v>-1771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29">
        <v>7</v>
      </c>
      <c r="B12" s="436">
        <v>159223</v>
      </c>
      <c r="C12" s="410">
        <v>157936</v>
      </c>
      <c r="D12" s="307">
        <f t="shared" si="0"/>
        <v>-1287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29">
        <v>8</v>
      </c>
      <c r="B13" s="436">
        <v>154279</v>
      </c>
      <c r="C13" s="410">
        <v>153799</v>
      </c>
      <c r="D13" s="307">
        <f t="shared" si="0"/>
        <v>-480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29">
        <v>9</v>
      </c>
      <c r="B14" s="410">
        <v>154445</v>
      </c>
      <c r="C14" s="410">
        <v>152757</v>
      </c>
      <c r="D14" s="307">
        <f t="shared" si="0"/>
        <v>-1688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29">
        <v>10</v>
      </c>
      <c r="B15" s="410"/>
      <c r="C15" s="410"/>
      <c r="D15" s="307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29">
        <v>11</v>
      </c>
      <c r="B16" s="410"/>
      <c r="C16" s="410"/>
      <c r="D16" s="307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29">
        <v>12</v>
      </c>
      <c r="B17" s="410"/>
      <c r="C17" s="410"/>
      <c r="D17" s="307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29">
        <v>13</v>
      </c>
      <c r="B18" s="410"/>
      <c r="C18" s="410"/>
      <c r="D18" s="307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29">
        <v>14</v>
      </c>
      <c r="B19" s="410"/>
      <c r="C19" s="410"/>
      <c r="D19" s="307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29">
        <v>15</v>
      </c>
      <c r="B20" s="410"/>
      <c r="C20" s="410"/>
      <c r="D20" s="307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29">
        <v>16</v>
      </c>
      <c r="B21" s="410"/>
      <c r="C21" s="410"/>
      <c r="D21" s="307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29">
        <v>17</v>
      </c>
      <c r="B22" s="436"/>
      <c r="C22" s="410"/>
      <c r="D22" s="307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29">
        <v>18</v>
      </c>
      <c r="B23" s="436"/>
      <c r="C23" s="410"/>
      <c r="D23" s="30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29">
        <v>19</v>
      </c>
      <c r="B24" s="436"/>
      <c r="C24" s="436"/>
      <c r="D24" s="482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29">
        <v>20</v>
      </c>
      <c r="B25" s="436"/>
      <c r="C25" s="436"/>
      <c r="D25" s="482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29">
        <v>21</v>
      </c>
      <c r="B26" s="436"/>
      <c r="C26" s="436"/>
      <c r="D26" s="482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29">
        <v>22</v>
      </c>
      <c r="B27" s="436"/>
      <c r="C27" s="436"/>
      <c r="D27" s="482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29">
        <v>23</v>
      </c>
      <c r="B28" s="436"/>
      <c r="C28" s="436"/>
      <c r="D28" s="482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29">
        <v>24</v>
      </c>
      <c r="B29" s="436"/>
      <c r="C29" s="436"/>
      <c r="D29" s="482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29">
        <v>25</v>
      </c>
      <c r="B30" s="436"/>
      <c r="C30" s="436"/>
      <c r="D30" s="482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29">
        <v>26</v>
      </c>
      <c r="B31" s="410"/>
      <c r="C31" s="410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29">
        <v>27</v>
      </c>
      <c r="B32" s="410"/>
      <c r="C32" s="410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29">
        <v>28</v>
      </c>
      <c r="B33" s="410"/>
      <c r="C33" s="410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29">
        <v>29</v>
      </c>
      <c r="B34" s="410"/>
      <c r="C34" s="410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29">
        <v>30</v>
      </c>
      <c r="B35" s="410"/>
      <c r="C35" s="410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29">
        <v>31</v>
      </c>
      <c r="B36" s="410"/>
      <c r="C36" s="410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29"/>
      <c r="B37" s="410">
        <f>SUM(B6:B36)</f>
        <v>1398896</v>
      </c>
      <c r="C37" s="410">
        <f>SUM(C6:C36)</f>
        <v>1404443</v>
      </c>
      <c r="D37" s="410">
        <f>SUM(D6:D36)</f>
        <v>5547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0"/>
      <c r="B38" s="285"/>
      <c r="C38" s="431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37287</v>
      </c>
      <c r="B39" s="285"/>
      <c r="C39" s="434"/>
      <c r="D39" s="487">
        <v>-5048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37296</v>
      </c>
      <c r="B40" s="285"/>
      <c r="C40" s="435"/>
      <c r="D40" s="307">
        <f>+D39+D37</f>
        <v>499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37287</v>
      </c>
      <c r="B45" s="32"/>
      <c r="C45" s="32"/>
      <c r="D45" s="488">
        <v>324667</v>
      </c>
    </row>
    <row r="46" spans="1:16" x14ac:dyDescent="0.2">
      <c r="A46" s="49">
        <f>+A40</f>
        <v>37296</v>
      </c>
      <c r="B46" s="32"/>
      <c r="C46" s="32"/>
      <c r="D46" s="374">
        <f>+D37*'by type_area'!G3</f>
        <v>11426.82</v>
      </c>
    </row>
    <row r="47" spans="1:16" x14ac:dyDescent="0.2">
      <c r="A47" s="32"/>
      <c r="B47" s="32"/>
      <c r="C47" s="32"/>
      <c r="D47" s="200">
        <f>+D46+D45</f>
        <v>336093.82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7" workbookViewId="0">
      <selection activeCell="C34" sqref="C34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-13510</v>
      </c>
      <c r="C5" s="24">
        <v>-13500</v>
      </c>
      <c r="D5" s="24">
        <f>+C5-B5</f>
        <v>10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-19133</v>
      </c>
      <c r="C6" s="51">
        <v>-19000</v>
      </c>
      <c r="D6" s="24">
        <f t="shared" ref="D6:D36" si="0">+C6-B6</f>
        <v>133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-17376</v>
      </c>
      <c r="C7" s="51">
        <v>-17500</v>
      </c>
      <c r="D7" s="24">
        <f t="shared" si="0"/>
        <v>-124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-2958</v>
      </c>
      <c r="C8" s="51">
        <v>-2500</v>
      </c>
      <c r="D8" s="24">
        <f t="shared" si="0"/>
        <v>458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-6727</v>
      </c>
      <c r="C9" s="24">
        <v>-5000</v>
      </c>
      <c r="D9" s="24">
        <f t="shared" si="0"/>
        <v>1727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-6319</v>
      </c>
      <c r="C11" s="24">
        <v>-5000</v>
      </c>
      <c r="D11" s="24">
        <f t="shared" si="0"/>
        <v>1319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-352</v>
      </c>
      <c r="C12" s="51">
        <v>-6899</v>
      </c>
      <c r="D12" s="24">
        <f t="shared" si="0"/>
        <v>-6547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-6424</v>
      </c>
      <c r="C14" s="24"/>
      <c r="D14" s="24">
        <f t="shared" si="0"/>
        <v>6424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-72799</v>
      </c>
      <c r="C36" s="24">
        <f>SUM(C5:C35)</f>
        <v>-69399</v>
      </c>
      <c r="D36" s="24">
        <f t="shared" si="0"/>
        <v>3400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2.06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7004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37287</v>
      </c>
      <c r="B39"/>
      <c r="C39" s="15"/>
      <c r="D39" s="491">
        <v>20075.23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37297</v>
      </c>
      <c r="B40"/>
      <c r="C40" s="48"/>
      <c r="D40" s="138">
        <f>+D39+D38</f>
        <v>27079.23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149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37287</v>
      </c>
      <c r="B45" s="32"/>
      <c r="C45" s="32"/>
      <c r="D45" s="486">
        <v>7554</v>
      </c>
    </row>
    <row r="46" spans="1:65" x14ac:dyDescent="0.2">
      <c r="A46" s="49">
        <f>+A40</f>
        <v>37297</v>
      </c>
      <c r="B46" s="32"/>
      <c r="C46" s="32"/>
      <c r="D46" s="349">
        <f>+D36</f>
        <v>3400</v>
      </c>
    </row>
    <row r="47" spans="1:65" x14ac:dyDescent="0.2">
      <c r="A47" s="32"/>
      <c r="B47" s="32"/>
      <c r="C47" s="32"/>
      <c r="D47" s="14">
        <f>+D46+D45</f>
        <v>10954</v>
      </c>
    </row>
    <row r="48" spans="1:65" x14ac:dyDescent="0.2">
      <c r="A48" s="139"/>
      <c r="B48" s="119"/>
      <c r="C48" s="140"/>
      <c r="D48" s="140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C38" sqref="C38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332436</v>
      </c>
      <c r="C5" s="90">
        <v>332955</v>
      </c>
      <c r="D5" s="90">
        <f>+C5-B5</f>
        <v>519</v>
      </c>
      <c r="E5" s="275"/>
      <c r="F5" s="273"/>
    </row>
    <row r="6" spans="1:13" x14ac:dyDescent="0.2">
      <c r="A6" s="87">
        <v>78311</v>
      </c>
      <c r="B6" s="90">
        <v>119719</v>
      </c>
      <c r="C6" s="90">
        <v>122000</v>
      </c>
      <c r="D6" s="90">
        <f t="shared" ref="D6:D17" si="0">+C6-B6</f>
        <v>2281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v>319515</v>
      </c>
      <c r="C7" s="90">
        <v>379396</v>
      </c>
      <c r="D7" s="90">
        <f t="shared" si="0"/>
        <v>59881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v>363321</v>
      </c>
      <c r="C8" s="90">
        <v>345210</v>
      </c>
      <c r="D8" s="90">
        <f t="shared" si="0"/>
        <v>-18111</v>
      </c>
      <c r="E8" s="455"/>
      <c r="F8" s="273"/>
    </row>
    <row r="9" spans="1:13" x14ac:dyDescent="0.2">
      <c r="A9" s="87">
        <v>500293</v>
      </c>
      <c r="B9" s="90">
        <v>176889</v>
      </c>
      <c r="C9" s="90">
        <v>202925</v>
      </c>
      <c r="D9" s="90">
        <f t="shared" si="0"/>
        <v>26036</v>
      </c>
      <c r="E9" s="275"/>
      <c r="F9" s="273"/>
    </row>
    <row r="10" spans="1:13" x14ac:dyDescent="0.2">
      <c r="A10" s="87">
        <v>500302</v>
      </c>
      <c r="B10" s="90"/>
      <c r="C10" s="90">
        <v>3030</v>
      </c>
      <c r="D10" s="90">
        <f t="shared" si="0"/>
        <v>3030</v>
      </c>
      <c r="E10" s="275"/>
      <c r="F10" s="273"/>
    </row>
    <row r="11" spans="1:13" x14ac:dyDescent="0.2">
      <c r="A11" s="87">
        <v>500303</v>
      </c>
      <c r="B11" s="90"/>
      <c r="C11" s="90">
        <v>8731</v>
      </c>
      <c r="D11" s="90">
        <f t="shared" si="0"/>
        <v>8731</v>
      </c>
      <c r="E11" s="275"/>
      <c r="F11" s="273"/>
    </row>
    <row r="12" spans="1:13" x14ac:dyDescent="0.2">
      <c r="A12" s="91">
        <v>500305</v>
      </c>
      <c r="B12" s="90">
        <v>507398</v>
      </c>
      <c r="C12" s="90">
        <v>526978</v>
      </c>
      <c r="D12" s="90">
        <f t="shared" si="0"/>
        <v>19580</v>
      </c>
      <c r="E12" s="276"/>
      <c r="F12" s="465"/>
      <c r="G12" s="90"/>
    </row>
    <row r="13" spans="1:13" x14ac:dyDescent="0.2">
      <c r="A13" s="87">
        <v>500307</v>
      </c>
      <c r="B13" s="90">
        <v>33269</v>
      </c>
      <c r="C13" s="90">
        <v>19318</v>
      </c>
      <c r="D13" s="90">
        <f t="shared" si="0"/>
        <v>-13951</v>
      </c>
      <c r="E13" s="275"/>
      <c r="F13" s="273"/>
    </row>
    <row r="14" spans="1:13" x14ac:dyDescent="0.2">
      <c r="A14" s="87">
        <v>500313</v>
      </c>
      <c r="B14" s="90"/>
      <c r="C14" s="90">
        <v>917</v>
      </c>
      <c r="D14" s="90">
        <f t="shared" si="0"/>
        <v>917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v>63195</v>
      </c>
      <c r="C16" s="90"/>
      <c r="D16" s="90">
        <f t="shared" si="0"/>
        <v>-63195</v>
      </c>
      <c r="E16" s="275"/>
      <c r="F16" s="273"/>
    </row>
    <row r="17" spans="1:7" x14ac:dyDescent="0.2">
      <c r="A17" s="87">
        <v>500657</v>
      </c>
      <c r="B17" s="88">
        <v>26180</v>
      </c>
      <c r="C17" s="88">
        <v>6000</v>
      </c>
      <c r="D17" s="94">
        <f t="shared" si="0"/>
        <v>-20180</v>
      </c>
      <c r="E17" s="275"/>
      <c r="F17" s="273"/>
      <c r="G17" s="569"/>
    </row>
    <row r="18" spans="1:7" x14ac:dyDescent="0.2">
      <c r="A18" s="87"/>
      <c r="B18" s="88"/>
      <c r="C18" s="88"/>
      <c r="D18" s="88">
        <f>SUM(D5:D17)</f>
        <v>5538</v>
      </c>
      <c r="E18" s="275"/>
      <c r="F18" s="465"/>
    </row>
    <row r="19" spans="1:7" x14ac:dyDescent="0.2">
      <c r="A19" s="87" t="s">
        <v>81</v>
      </c>
      <c r="B19" s="88"/>
      <c r="C19" s="88"/>
      <c r="D19" s="95">
        <f>+summary!G5</f>
        <v>2.06</v>
      </c>
      <c r="E19" s="277"/>
      <c r="F19" s="465"/>
    </row>
    <row r="20" spans="1:7" x14ac:dyDescent="0.2">
      <c r="A20" s="87"/>
      <c r="B20" s="88"/>
      <c r="C20" s="88"/>
      <c r="D20" s="96">
        <f>+D19*D18</f>
        <v>11408.28</v>
      </c>
      <c r="E20" s="207"/>
      <c r="F20" s="465"/>
    </row>
    <row r="21" spans="1:7" x14ac:dyDescent="0.2">
      <c r="A21" s="87"/>
      <c r="B21" s="88"/>
      <c r="C21" s="88"/>
      <c r="D21" s="96"/>
      <c r="E21" s="207"/>
      <c r="F21" s="201"/>
    </row>
    <row r="22" spans="1:7" x14ac:dyDescent="0.2">
      <c r="A22" s="99">
        <v>37287</v>
      </c>
      <c r="B22" s="88"/>
      <c r="C22" s="88"/>
      <c r="D22" s="594">
        <v>121616.94</v>
      </c>
      <c r="E22" s="207"/>
      <c r="F22" s="466"/>
    </row>
    <row r="23" spans="1:7" x14ac:dyDescent="0.2">
      <c r="A23" s="87"/>
      <c r="B23" s="88"/>
      <c r="C23" s="88"/>
      <c r="D23" s="308"/>
      <c r="E23" s="207"/>
      <c r="F23" s="466"/>
    </row>
    <row r="24" spans="1:7" ht="13.5" thickBot="1" x14ac:dyDescent="0.25">
      <c r="A24" s="99">
        <v>37297</v>
      </c>
      <c r="B24" s="88"/>
      <c r="C24" s="88"/>
      <c r="D24" s="318">
        <f>+D22+D20</f>
        <v>133025.22</v>
      </c>
      <c r="E24" s="207"/>
      <c r="F24" s="466"/>
    </row>
    <row r="25" spans="1:7" ht="13.5" thickTop="1" x14ac:dyDescent="0.2">
      <c r="E25" s="278"/>
    </row>
    <row r="28" spans="1:7" x14ac:dyDescent="0.2">
      <c r="A28" s="32" t="s">
        <v>149</v>
      </c>
      <c r="B28" s="32"/>
      <c r="C28" s="32"/>
      <c r="D28" s="32"/>
      <c r="E28" s="344"/>
    </row>
    <row r="29" spans="1:7" x14ac:dyDescent="0.2">
      <c r="A29" s="49">
        <f>+A22</f>
        <v>37287</v>
      </c>
      <c r="B29" s="32"/>
      <c r="C29" s="32"/>
      <c r="D29" s="579">
        <v>70652</v>
      </c>
    </row>
    <row r="30" spans="1:7" x14ac:dyDescent="0.2">
      <c r="A30" s="49">
        <f>+A24</f>
        <v>37297</v>
      </c>
      <c r="B30" s="32"/>
      <c r="C30" s="32"/>
      <c r="D30" s="349">
        <f>+D18</f>
        <v>5538</v>
      </c>
    </row>
    <row r="31" spans="1:7" x14ac:dyDescent="0.2">
      <c r="A31" s="32"/>
      <c r="B31" s="32"/>
      <c r="C31" s="32"/>
      <c r="D31" s="14">
        <f>+D30+D29</f>
        <v>76190</v>
      </c>
    </row>
    <row r="32" spans="1:7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5" workbookViewId="0">
      <selection activeCell="E38" sqref="E38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5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5" t="s">
        <v>39</v>
      </c>
      <c r="I3" s="4" t="s">
        <v>19</v>
      </c>
      <c r="J3" s="4" t="s">
        <v>20</v>
      </c>
      <c r="K3" s="403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63150</v>
      </c>
      <c r="C4" s="11">
        <v>59999</v>
      </c>
      <c r="D4" s="11"/>
      <c r="E4" s="11"/>
      <c r="F4" s="25">
        <f>+E4+C4-D4-B4</f>
        <v>-3151</v>
      </c>
      <c r="G4" s="25"/>
      <c r="H4" s="405"/>
      <c r="I4" s="14"/>
      <c r="J4" s="14"/>
      <c r="K4" s="14">
        <f t="shared" ref="K4:K9" si="0">+J4-I4</f>
        <v>0</v>
      </c>
      <c r="L4" s="358"/>
      <c r="M4" s="75">
        <f t="shared" ref="M4:M9" si="1">+L4*K4</f>
        <v>0</v>
      </c>
    </row>
    <row r="5" spans="1:14" x14ac:dyDescent="0.2">
      <c r="A5" s="41">
        <v>2</v>
      </c>
      <c r="B5" s="11">
        <v>64643</v>
      </c>
      <c r="C5" s="11">
        <v>60000</v>
      </c>
      <c r="D5" s="11"/>
      <c r="E5" s="11"/>
      <c r="F5" s="25">
        <f t="shared" ref="F5:F34" si="2">+E5+C5-D5-B5</f>
        <v>-4643</v>
      </c>
      <c r="G5" s="25"/>
      <c r="H5" s="405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8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65489</v>
      </c>
      <c r="C6" s="11">
        <v>60000</v>
      </c>
      <c r="D6" s="11"/>
      <c r="E6" s="11"/>
      <c r="F6" s="25">
        <f t="shared" si="2"/>
        <v>-5489</v>
      </c>
      <c r="G6" s="25"/>
      <c r="H6" s="405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8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61296</v>
      </c>
      <c r="C7" s="11">
        <v>60000</v>
      </c>
      <c r="D7" s="11">
        <v>1</v>
      </c>
      <c r="E7" s="11"/>
      <c r="F7" s="25">
        <f t="shared" si="2"/>
        <v>-1297</v>
      </c>
      <c r="G7" s="25"/>
      <c r="H7" s="405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8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57384</v>
      </c>
      <c r="C8" s="11">
        <v>60300</v>
      </c>
      <c r="D8" s="11">
        <v>2</v>
      </c>
      <c r="E8" s="11"/>
      <c r="F8" s="25">
        <f t="shared" si="2"/>
        <v>2914</v>
      </c>
      <c r="G8" s="25"/>
      <c r="H8" s="405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8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38477</v>
      </c>
      <c r="C9" s="11">
        <v>36000</v>
      </c>
      <c r="D9" s="11">
        <v>25769</v>
      </c>
      <c r="E9" s="11">
        <v>24300</v>
      </c>
      <c r="F9" s="25">
        <f t="shared" si="2"/>
        <v>-3946</v>
      </c>
      <c r="G9" s="25"/>
      <c r="H9" s="405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8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37958</v>
      </c>
      <c r="C10" s="11">
        <v>42000</v>
      </c>
      <c r="D10" s="129">
        <v>25600</v>
      </c>
      <c r="E10" s="11">
        <v>30000</v>
      </c>
      <c r="F10" s="25">
        <f t="shared" si="2"/>
        <v>8442</v>
      </c>
      <c r="G10" s="25"/>
      <c r="H10" s="405"/>
      <c r="I10" s="14"/>
      <c r="J10" s="14"/>
      <c r="K10" s="14"/>
      <c r="L10" s="358"/>
      <c r="M10" s="15"/>
      <c r="N10" s="15">
        <f>SUM(N5:N9)</f>
        <v>489002.35</v>
      </c>
    </row>
    <row r="11" spans="1:14" x14ac:dyDescent="0.2">
      <c r="A11" s="41">
        <v>8</v>
      </c>
      <c r="B11" s="11">
        <v>39372</v>
      </c>
      <c r="C11" s="11">
        <v>37811</v>
      </c>
      <c r="D11" s="11">
        <v>25610</v>
      </c>
      <c r="E11" s="11">
        <v>29173</v>
      </c>
      <c r="F11" s="25">
        <f>+E11+C11-D11-B11</f>
        <v>2002</v>
      </c>
      <c r="G11" s="25"/>
      <c r="H11" s="405"/>
      <c r="I11" s="14"/>
      <c r="J11" s="14"/>
      <c r="K11" s="15"/>
      <c r="L11" s="358"/>
      <c r="M11" s="15"/>
      <c r="N11" s="15">
        <f>SUM(M5:M9)</f>
        <v>489002.35000000003</v>
      </c>
    </row>
    <row r="12" spans="1:14" x14ac:dyDescent="0.2">
      <c r="A12" s="41">
        <v>9</v>
      </c>
      <c r="B12" s="11">
        <v>38862</v>
      </c>
      <c r="C12" s="11">
        <v>38855</v>
      </c>
      <c r="D12" s="11">
        <v>26702</v>
      </c>
      <c r="E12" s="11">
        <v>30000</v>
      </c>
      <c r="F12" s="25">
        <f>+E12+C12-D12-B12</f>
        <v>3291</v>
      </c>
      <c r="G12" s="25"/>
      <c r="H12" s="405"/>
      <c r="I12" s="24"/>
      <c r="J12" s="24"/>
      <c r="K12" s="110"/>
      <c r="L12" s="407"/>
      <c r="M12" s="110"/>
    </row>
    <row r="13" spans="1:14" x14ac:dyDescent="0.2">
      <c r="A13" s="41">
        <v>10</v>
      </c>
      <c r="B13" s="129">
        <v>37175</v>
      </c>
      <c r="C13" s="11">
        <v>38855</v>
      </c>
      <c r="D13" s="129">
        <v>29335</v>
      </c>
      <c r="E13" s="11">
        <v>30000</v>
      </c>
      <c r="F13" s="25">
        <f t="shared" si="2"/>
        <v>2345</v>
      </c>
      <c r="G13" s="25"/>
      <c r="I13" s="24"/>
      <c r="J13" s="24"/>
      <c r="K13" s="24">
        <f>SUM(K4:K12)</f>
        <v>135930</v>
      </c>
      <c r="L13" s="407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503806</v>
      </c>
      <c r="C35" s="11">
        <f>SUM(C4:C34)</f>
        <v>493820</v>
      </c>
      <c r="D35" s="11">
        <f>SUM(D4:D34)</f>
        <v>133019</v>
      </c>
      <c r="E35" s="11">
        <f>SUM(E4:E34)</f>
        <v>143473</v>
      </c>
      <c r="F35" s="11">
        <f>+E35-D35+C35-B35</f>
        <v>468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90">
        <f>+summary!G4</f>
        <v>2.0499999999999998</v>
      </c>
    </row>
    <row r="38" spans="1:7" x14ac:dyDescent="0.2">
      <c r="C38" s="48"/>
      <c r="D38" s="47"/>
      <c r="E38" s="48"/>
      <c r="F38" s="46">
        <f>+F37*F35</f>
        <v>959.39999999999986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37287</v>
      </c>
      <c r="C40" s="460"/>
      <c r="D40" s="111"/>
      <c r="E40" s="460"/>
      <c r="F40" s="576">
        <v>451518.05</v>
      </c>
      <c r="G40" s="25"/>
    </row>
    <row r="41" spans="1:7" x14ac:dyDescent="0.2">
      <c r="A41" s="57">
        <v>37297</v>
      </c>
      <c r="C41" s="106"/>
      <c r="D41" s="106"/>
      <c r="E41" s="106"/>
      <c r="F41" s="106">
        <f>+F38+F40</f>
        <v>452477.45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37287</v>
      </c>
      <c r="D46" s="489">
        <v>13684</v>
      </c>
      <c r="E46" s="11"/>
      <c r="F46" s="11"/>
      <c r="G46" s="25"/>
    </row>
    <row r="47" spans="1:7" x14ac:dyDescent="0.2">
      <c r="A47" s="49">
        <f>+A41</f>
        <v>37297</v>
      </c>
      <c r="D47" s="349">
        <f>+F35</f>
        <v>468</v>
      </c>
      <c r="E47" s="11"/>
      <c r="F47" s="11"/>
      <c r="G47" s="25"/>
    </row>
    <row r="48" spans="1:7" x14ac:dyDescent="0.2">
      <c r="D48" s="14">
        <f>+D47+D46</f>
        <v>14152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2" workbookViewId="0">
      <selection activeCell="E15" sqref="E15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182397</v>
      </c>
      <c r="C5" s="11">
        <v>183686</v>
      </c>
      <c r="D5" s="11"/>
      <c r="E5" s="11">
        <v>-2731</v>
      </c>
      <c r="F5" s="11">
        <f>+C5+E5-B5-D5</f>
        <v>-1442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175528</v>
      </c>
      <c r="C6" s="11">
        <v>177265</v>
      </c>
      <c r="D6" s="11"/>
      <c r="E6" s="11">
        <v>-2777</v>
      </c>
      <c r="F6" s="11">
        <f t="shared" ref="F6:F35" si="2">+C6+E6-B6-D6</f>
        <v>-1040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182010</v>
      </c>
      <c r="C7" s="11">
        <v>183753</v>
      </c>
      <c r="D7" s="11"/>
      <c r="E7" s="11">
        <v>-2998</v>
      </c>
      <c r="F7" s="11">
        <f t="shared" si="2"/>
        <v>-1255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180954</v>
      </c>
      <c r="C8" s="11">
        <v>183876</v>
      </c>
      <c r="D8" s="11"/>
      <c r="E8" s="11">
        <v>-2864</v>
      </c>
      <c r="F8" s="11">
        <f t="shared" si="2"/>
        <v>58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177596</v>
      </c>
      <c r="C9" s="11">
        <v>179509</v>
      </c>
      <c r="D9" s="11"/>
      <c r="E9" s="11">
        <v>-3150</v>
      </c>
      <c r="F9" s="11">
        <f t="shared" si="2"/>
        <v>-1237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173864</v>
      </c>
      <c r="C10" s="11">
        <v>175668</v>
      </c>
      <c r="D10" s="11"/>
      <c r="E10" s="11">
        <v>-2646</v>
      </c>
      <c r="F10" s="11">
        <f t="shared" si="2"/>
        <v>-842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191389</v>
      </c>
      <c r="C11" s="11">
        <v>193580</v>
      </c>
      <c r="D11" s="11"/>
      <c r="E11" s="11">
        <v>-2646</v>
      </c>
      <c r="F11" s="11">
        <f t="shared" si="2"/>
        <v>-455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>
        <v>200987</v>
      </c>
      <c r="C12" s="11">
        <v>204150</v>
      </c>
      <c r="D12" s="11"/>
      <c r="E12" s="11">
        <v>-2646</v>
      </c>
      <c r="F12" s="11">
        <f t="shared" si="2"/>
        <v>517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167359</v>
      </c>
      <c r="C13" s="11">
        <v>168959</v>
      </c>
      <c r="D13" s="11"/>
      <c r="E13" s="11">
        <v>-2646</v>
      </c>
      <c r="F13" s="11">
        <f t="shared" si="2"/>
        <v>-1046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167917</v>
      </c>
      <c r="C14" s="11">
        <v>168981</v>
      </c>
      <c r="D14" s="11"/>
      <c r="E14" s="11">
        <v>-2646</v>
      </c>
      <c r="F14" s="11">
        <f t="shared" si="2"/>
        <v>-1582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1800001</v>
      </c>
      <c r="C36" s="11">
        <f>SUM(C5:C35)</f>
        <v>1819427</v>
      </c>
      <c r="D36" s="11">
        <f>SUM(D5:D35)</f>
        <v>0</v>
      </c>
      <c r="E36" s="11">
        <f>SUM(E5:E35)</f>
        <v>-27750</v>
      </c>
      <c r="F36" s="11">
        <f>SUM(F5:F35)</f>
        <v>-8324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37287</v>
      </c>
      <c r="F39" s="584">
        <v>-35191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37297</v>
      </c>
      <c r="F41" s="332">
        <f>+F39+F36</f>
        <v>-43515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37287</v>
      </c>
      <c r="C47" s="32"/>
      <c r="D47" s="32"/>
      <c r="E47" s="586">
        <v>-533965.98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37297</v>
      </c>
      <c r="C48" s="32"/>
      <c r="D48" s="32"/>
      <c r="E48" s="374">
        <f>+F36*'by type_area'!G3</f>
        <v>-17147.439999999999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-551113.41999999993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37" workbookViewId="0">
      <selection activeCell="D48" sqref="D48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75695</v>
      </c>
      <c r="C8" s="11">
        <v>78800</v>
      </c>
      <c r="D8" s="11">
        <f>+C8-B8</f>
        <v>3105</v>
      </c>
      <c r="E8" s="10"/>
      <c r="F8" s="11"/>
      <c r="G8" s="11"/>
      <c r="H8" s="11"/>
    </row>
    <row r="9" spans="1:8" x14ac:dyDescent="0.2">
      <c r="A9" s="10">
        <v>2</v>
      </c>
      <c r="B9" s="11">
        <v>94691</v>
      </c>
      <c r="C9" s="11">
        <v>93799</v>
      </c>
      <c r="D9" s="11">
        <f t="shared" ref="D9:D38" si="0">+C9-B9</f>
        <v>-892</v>
      </c>
      <c r="E9" s="10"/>
      <c r="F9" s="11"/>
      <c r="G9" s="11"/>
      <c r="H9" s="11"/>
    </row>
    <row r="10" spans="1:8" x14ac:dyDescent="0.2">
      <c r="A10" s="10">
        <v>3</v>
      </c>
      <c r="B10" s="11">
        <v>94498</v>
      </c>
      <c r="C10" s="11">
        <v>93799</v>
      </c>
      <c r="D10" s="11">
        <f t="shared" si="0"/>
        <v>-699</v>
      </c>
      <c r="E10" s="10"/>
      <c r="F10" s="11"/>
      <c r="G10" s="11"/>
      <c r="H10" s="11"/>
    </row>
    <row r="11" spans="1:8" x14ac:dyDescent="0.2">
      <c r="A11" s="10">
        <v>4</v>
      </c>
      <c r="B11" s="11">
        <v>94115</v>
      </c>
      <c r="C11" s="11">
        <v>93799</v>
      </c>
      <c r="D11" s="11">
        <f t="shared" si="0"/>
        <v>-316</v>
      </c>
      <c r="E11" s="10"/>
      <c r="F11" s="11"/>
      <c r="G11" s="11"/>
      <c r="H11" s="11"/>
    </row>
    <row r="12" spans="1:8" x14ac:dyDescent="0.2">
      <c r="A12" s="10">
        <v>5</v>
      </c>
      <c r="B12" s="11">
        <v>111473</v>
      </c>
      <c r="C12" s="11">
        <v>110461</v>
      </c>
      <c r="D12" s="11">
        <f t="shared" si="0"/>
        <v>-1012</v>
      </c>
      <c r="E12" s="10"/>
      <c r="F12" s="11"/>
      <c r="G12" s="11"/>
      <c r="H12" s="11"/>
    </row>
    <row r="13" spans="1:8" x14ac:dyDescent="0.2">
      <c r="A13" s="10">
        <v>6</v>
      </c>
      <c r="B13" s="11">
        <v>94006</v>
      </c>
      <c r="C13" s="11">
        <v>93799</v>
      </c>
      <c r="D13" s="11">
        <f t="shared" si="0"/>
        <v>-207</v>
      </c>
      <c r="E13" s="10"/>
      <c r="F13" s="11"/>
      <c r="G13" s="11"/>
      <c r="H13" s="11"/>
    </row>
    <row r="14" spans="1:8" x14ac:dyDescent="0.2">
      <c r="A14" s="10">
        <v>7</v>
      </c>
      <c r="B14" s="11">
        <v>94007</v>
      </c>
      <c r="C14" s="11">
        <v>93799</v>
      </c>
      <c r="D14" s="11">
        <f t="shared" si="0"/>
        <v>-208</v>
      </c>
      <c r="E14" s="10"/>
      <c r="F14" s="11"/>
      <c r="G14" s="11"/>
      <c r="H14" s="11"/>
    </row>
    <row r="15" spans="1:8" x14ac:dyDescent="0.2">
      <c r="A15" s="10">
        <v>8</v>
      </c>
      <c r="B15" s="11">
        <v>96300</v>
      </c>
      <c r="C15" s="11">
        <v>96299</v>
      </c>
      <c r="D15" s="11">
        <f t="shared" si="0"/>
        <v>-1</v>
      </c>
      <c r="E15" s="10"/>
      <c r="F15" s="11"/>
      <c r="G15" s="11"/>
      <c r="H15" s="11"/>
    </row>
    <row r="16" spans="1:8" x14ac:dyDescent="0.2">
      <c r="A16" s="10">
        <v>9</v>
      </c>
      <c r="B16" s="11">
        <v>94782</v>
      </c>
      <c r="C16" s="11">
        <v>93799</v>
      </c>
      <c r="D16" s="11">
        <f t="shared" si="0"/>
        <v>-983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849567</v>
      </c>
      <c r="C39" s="11">
        <f>SUM(C8:C38)</f>
        <v>848354</v>
      </c>
      <c r="D39" s="11">
        <f>SUM(D8:D38)</f>
        <v>-1213</v>
      </c>
      <c r="E39" s="10"/>
      <c r="F39" s="11"/>
      <c r="G39" s="11"/>
      <c r="H39" s="11"/>
    </row>
    <row r="40" spans="1:8" x14ac:dyDescent="0.2">
      <c r="A40" s="26"/>
      <c r="D40" s="75">
        <f>+summary!G4</f>
        <v>2.0499999999999998</v>
      </c>
      <c r="E40" s="26"/>
      <c r="H40" s="75"/>
    </row>
    <row r="41" spans="1:8" x14ac:dyDescent="0.2">
      <c r="D41" s="195">
        <f>+D40*D39</f>
        <v>-2486.6499999999996</v>
      </c>
      <c r="F41" s="247"/>
      <c r="H41" s="195"/>
    </row>
    <row r="42" spans="1:8" x14ac:dyDescent="0.2">
      <c r="A42" s="57">
        <v>37287</v>
      </c>
      <c r="D42" s="608">
        <v>28675</v>
      </c>
      <c r="E42" s="57"/>
      <c r="H42" s="195"/>
    </row>
    <row r="43" spans="1:8" x14ac:dyDescent="0.2">
      <c r="A43" s="57">
        <v>37296</v>
      </c>
      <c r="D43" s="196">
        <f>+D42+D41</f>
        <v>26188.35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149</v>
      </c>
      <c r="B47" s="32"/>
      <c r="C47" s="32"/>
      <c r="D47" s="32"/>
    </row>
    <row r="48" spans="1:8" x14ac:dyDescent="0.2">
      <c r="A48" s="49">
        <f>+A42</f>
        <v>37287</v>
      </c>
      <c r="B48" s="32"/>
      <c r="C48" s="32"/>
      <c r="D48" s="603">
        <v>-42160</v>
      </c>
    </row>
    <row r="49" spans="1:4" x14ac:dyDescent="0.2">
      <c r="A49" s="49">
        <f>+A43</f>
        <v>37296</v>
      </c>
      <c r="B49" s="32"/>
      <c r="C49" s="32"/>
      <c r="D49" s="349">
        <f>+D39</f>
        <v>-1213</v>
      </c>
    </row>
    <row r="50" spans="1:4" x14ac:dyDescent="0.2">
      <c r="A50" s="32"/>
      <c r="B50" s="32"/>
      <c r="C50" s="32"/>
      <c r="D50" s="14">
        <f>+D49+D48</f>
        <v>-43373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topLeftCell="A37" workbookViewId="0">
      <selection activeCell="B43" sqref="B43"/>
    </sheetView>
  </sheetViews>
  <sheetFormatPr defaultRowHeight="12.75" x14ac:dyDescent="0.2"/>
  <cols>
    <col min="1" max="1" width="11" style="32" customWidth="1"/>
    <col min="2" max="2" width="12" style="15" bestFit="1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37287</v>
      </c>
      <c r="C5" s="595">
        <v>1529476.6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250</v>
      </c>
      <c r="J6" s="15"/>
    </row>
    <row r="7" spans="1:14" x14ac:dyDescent="0.2">
      <c r="A7" s="57">
        <v>37297</v>
      </c>
      <c r="I7" s="3" t="s">
        <v>256</v>
      </c>
      <c r="J7" s="15"/>
    </row>
    <row r="8" spans="1:14" x14ac:dyDescent="0.2">
      <c r="A8" s="248">
        <v>50895</v>
      </c>
      <c r="B8" s="339">
        <f>2085-2011</f>
        <v>74</v>
      </c>
      <c r="J8" s="15"/>
    </row>
    <row r="9" spans="1:14" x14ac:dyDescent="0.2">
      <c r="A9" s="248">
        <v>60874</v>
      </c>
      <c r="B9" s="339">
        <v>933</v>
      </c>
      <c r="J9" s="15"/>
    </row>
    <row r="10" spans="1:14" x14ac:dyDescent="0.2">
      <c r="A10" s="248">
        <v>78169</v>
      </c>
      <c r="B10" s="339">
        <f>147010-136849-17950</f>
        <v>-7789</v>
      </c>
      <c r="I10" s="87" t="s">
        <v>251</v>
      </c>
      <c r="J10" s="481" t="s">
        <v>27</v>
      </c>
      <c r="K10" s="87" t="s">
        <v>252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1">
        <f>+C40</f>
        <v>855876.1</v>
      </c>
      <c r="K11" s="87" t="s">
        <v>253</v>
      </c>
      <c r="L11" s="87"/>
      <c r="M11" s="87"/>
      <c r="N11" s="87"/>
    </row>
    <row r="12" spans="1:14" ht="20.100000000000001" customHeight="1" x14ac:dyDescent="0.2">
      <c r="A12" s="248">
        <v>500248</v>
      </c>
      <c r="B12" s="341"/>
      <c r="I12" s="87">
        <v>24693</v>
      </c>
      <c r="J12" s="445">
        <v>275313.71999999997</v>
      </c>
      <c r="K12" s="87" t="s">
        <v>254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>
        <f>4964-2506</f>
        <v>2458</v>
      </c>
      <c r="I13" s="87">
        <v>21665</v>
      </c>
      <c r="J13" s="445">
        <v>73449.16</v>
      </c>
      <c r="K13" s="87" t="s">
        <v>255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>
        <f>1191-1198</f>
        <v>-7</v>
      </c>
      <c r="I14" s="87">
        <v>22664</v>
      </c>
      <c r="J14" s="448">
        <v>23612.35</v>
      </c>
      <c r="K14" s="87" t="s">
        <v>257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>
        <f>1340-5995</f>
        <v>-4655</v>
      </c>
      <c r="I15" s="87"/>
      <c r="J15" s="445">
        <f>SUM(J11:J14)</f>
        <v>1228251.3299999998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>
        <v>-1</v>
      </c>
      <c r="I16" s="87"/>
      <c r="J16" s="445"/>
      <c r="K16" s="87"/>
      <c r="L16" s="87"/>
      <c r="M16" s="87"/>
      <c r="N16" s="87"/>
    </row>
    <row r="17" spans="1:14" x14ac:dyDescent="0.2">
      <c r="A17" s="280">
        <v>500267</v>
      </c>
      <c r="B17" s="340">
        <f>536201-551901</f>
        <v>-15700</v>
      </c>
      <c r="I17" s="87"/>
      <c r="J17" s="445"/>
      <c r="K17" s="87"/>
      <c r="L17" s="87"/>
      <c r="M17" s="87"/>
      <c r="N17" s="87"/>
    </row>
    <row r="18" spans="1:14" x14ac:dyDescent="0.2">
      <c r="B18" s="14">
        <f>SUM(B8:B17)</f>
        <v>-24687</v>
      </c>
      <c r="I18" s="87"/>
      <c r="J18" s="445"/>
      <c r="K18" s="87"/>
      <c r="L18" s="87"/>
      <c r="M18" s="87"/>
      <c r="N18" s="87"/>
    </row>
    <row r="19" spans="1:14" x14ac:dyDescent="0.2">
      <c r="B19" s="15">
        <f>+summary!G5</f>
        <v>2.06</v>
      </c>
      <c r="C19" s="199">
        <f>+B19*B18</f>
        <v>-50855.22</v>
      </c>
      <c r="G19" s="32"/>
      <c r="H19" s="379"/>
      <c r="I19" s="327"/>
      <c r="J19" s="445"/>
      <c r="K19" s="87"/>
      <c r="L19" s="87"/>
      <c r="M19" s="87"/>
      <c r="N19" s="87"/>
    </row>
    <row r="20" spans="1:14" x14ac:dyDescent="0.2">
      <c r="C20" s="321">
        <f>+C19+C5</f>
        <v>1478621.3800000001</v>
      </c>
      <c r="E20" s="15"/>
      <c r="G20" s="32"/>
      <c r="H20" s="379"/>
      <c r="I20" s="327"/>
      <c r="J20" s="445"/>
      <c r="K20" s="87"/>
      <c r="L20" s="87"/>
      <c r="M20" s="87"/>
      <c r="N20" s="87"/>
    </row>
    <row r="21" spans="1:14" x14ac:dyDescent="0.2">
      <c r="E21" s="15"/>
      <c r="G21" s="32"/>
      <c r="H21" s="379"/>
      <c r="I21" s="327"/>
      <c r="J21" s="445"/>
      <c r="K21" s="87"/>
      <c r="L21" s="87"/>
      <c r="M21" s="87"/>
      <c r="N21" s="87"/>
    </row>
    <row r="22" spans="1:14" x14ac:dyDescent="0.2">
      <c r="A22" s="32" t="s">
        <v>86</v>
      </c>
      <c r="G22" s="32"/>
      <c r="H22" s="379"/>
      <c r="I22" s="327"/>
      <c r="J22" s="445"/>
      <c r="K22" s="87"/>
      <c r="L22" s="87"/>
      <c r="M22" s="87"/>
      <c r="N22" s="87"/>
    </row>
    <row r="23" spans="1:14" x14ac:dyDescent="0.2">
      <c r="A23" s="2" t="s">
        <v>73</v>
      </c>
      <c r="G23" s="32"/>
      <c r="H23" s="379"/>
      <c r="I23" s="327"/>
      <c r="J23" s="445"/>
      <c r="K23" s="87"/>
      <c r="L23" s="87"/>
      <c r="M23" s="87"/>
      <c r="N23" s="87"/>
    </row>
    <row r="24" spans="1:14" x14ac:dyDescent="0.2">
      <c r="G24" s="32"/>
      <c r="H24" s="379"/>
      <c r="I24" s="327"/>
      <c r="J24" s="445"/>
      <c r="K24" s="87"/>
      <c r="L24" s="87"/>
      <c r="M24" s="87"/>
      <c r="N24" s="87"/>
    </row>
    <row r="25" spans="1:14" x14ac:dyDescent="0.2">
      <c r="G25" s="32"/>
      <c r="H25" s="379"/>
      <c r="I25" s="327"/>
      <c r="J25" s="445"/>
      <c r="K25" s="87"/>
      <c r="L25" s="87"/>
      <c r="M25" s="87"/>
      <c r="N25" s="87"/>
    </row>
    <row r="26" spans="1:14" x14ac:dyDescent="0.2">
      <c r="A26" s="198">
        <v>37287</v>
      </c>
      <c r="C26" s="525">
        <v>275313.71999999997</v>
      </c>
      <c r="G26" s="32"/>
      <c r="H26" s="15"/>
      <c r="I26" s="327"/>
      <c r="J26" s="445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5"/>
      <c r="K27" s="87"/>
      <c r="L27" s="87"/>
      <c r="M27" s="87"/>
      <c r="N27" s="87"/>
    </row>
    <row r="28" spans="1:14" x14ac:dyDescent="0.2">
      <c r="A28" s="57">
        <v>37297</v>
      </c>
      <c r="G28" s="32"/>
      <c r="H28" s="15"/>
      <c r="I28" s="87"/>
      <c r="J28" s="445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5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5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5"/>
      <c r="K31" s="87"/>
      <c r="L31" s="87"/>
      <c r="M31" s="87"/>
      <c r="N31" s="87"/>
    </row>
    <row r="32" spans="1:14" x14ac:dyDescent="0.2">
      <c r="B32" s="15">
        <f>+summary!G4</f>
        <v>2.0499999999999998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149</v>
      </c>
      <c r="F37" s="351">
        <v>24268</v>
      </c>
      <c r="G37" s="351">
        <v>24693</v>
      </c>
      <c r="H37" s="351">
        <v>24361</v>
      </c>
    </row>
    <row r="38" spans="1:9" x14ac:dyDescent="0.2">
      <c r="A38" s="32" t="s">
        <v>74</v>
      </c>
      <c r="E38" s="49">
        <f>+A5</f>
        <v>37287</v>
      </c>
      <c r="F38" s="579">
        <v>377700</v>
      </c>
      <c r="G38" s="523">
        <v>117857</v>
      </c>
      <c r="H38" s="516">
        <v>193435</v>
      </c>
      <c r="I38" s="14"/>
    </row>
    <row r="39" spans="1:9" x14ac:dyDescent="0.2">
      <c r="E39" s="49">
        <f>+A7</f>
        <v>37297</v>
      </c>
      <c r="F39" s="349">
        <f>+B18</f>
        <v>-24687</v>
      </c>
      <c r="G39" s="349">
        <f>+B31</f>
        <v>0</v>
      </c>
      <c r="H39" s="349">
        <f>+B46</f>
        <v>1749</v>
      </c>
      <c r="I39" s="14"/>
    </row>
    <row r="40" spans="1:9" x14ac:dyDescent="0.2">
      <c r="A40" s="49">
        <v>37287</v>
      </c>
      <c r="C40" s="525">
        <v>855876.1</v>
      </c>
      <c r="F40" s="14">
        <f>+F39+F38</f>
        <v>353013</v>
      </c>
      <c r="G40" s="14">
        <f>+G39+G38</f>
        <v>117857</v>
      </c>
      <c r="H40" s="14">
        <f>+H39+H38</f>
        <v>195184</v>
      </c>
      <c r="I40" s="14">
        <f>+H40+G40+F40</f>
        <v>666054</v>
      </c>
    </row>
    <row r="41" spans="1:9" x14ac:dyDescent="0.2">
      <c r="G41" s="32"/>
      <c r="H41" s="15"/>
      <c r="I41" s="32"/>
    </row>
    <row r="42" spans="1:9" x14ac:dyDescent="0.2">
      <c r="A42" s="245">
        <v>37297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v>842</v>
      </c>
      <c r="G44" s="32"/>
      <c r="H44" s="380"/>
      <c r="I44" s="14"/>
    </row>
    <row r="45" spans="1:9" x14ac:dyDescent="0.2">
      <c r="A45" s="32">
        <v>500392</v>
      </c>
      <c r="B45" s="250">
        <v>907</v>
      </c>
      <c r="G45" s="32"/>
      <c r="H45" s="380"/>
      <c r="I45" s="14"/>
    </row>
    <row r="46" spans="1:9" x14ac:dyDescent="0.2">
      <c r="B46" s="14">
        <f>SUM(B43:B45)</f>
        <v>1749</v>
      </c>
      <c r="G46" s="32"/>
      <c r="H46" s="380"/>
      <c r="I46" s="14"/>
    </row>
    <row r="47" spans="1:9" x14ac:dyDescent="0.2">
      <c r="B47" s="199">
        <f>+summary!G5</f>
        <v>2.06</v>
      </c>
      <c r="C47" s="199">
        <f>+B47*B46</f>
        <v>3602.94</v>
      </c>
      <c r="H47" s="380"/>
      <c r="I47" s="14"/>
    </row>
    <row r="48" spans="1:9" x14ac:dyDescent="0.2">
      <c r="C48" s="321">
        <f>+C47+C40</f>
        <v>859479.03999999992</v>
      </c>
      <c r="E48" s="204"/>
      <c r="H48" s="380"/>
      <c r="I48" s="14"/>
    </row>
    <row r="49" spans="1:9" x14ac:dyDescent="0.2">
      <c r="E49" s="213"/>
      <c r="H49" s="380"/>
      <c r="I49" s="14"/>
    </row>
    <row r="50" spans="1:9" x14ac:dyDescent="0.2">
      <c r="E50" s="204"/>
      <c r="H50" s="380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526">
        <v>73445.08</v>
      </c>
      <c r="D53" s="32" t="s">
        <v>119</v>
      </c>
      <c r="E53" s="50"/>
      <c r="H53" s="380">
        <v>21665</v>
      </c>
      <c r="I53" s="523">
        <v>36401</v>
      </c>
    </row>
    <row r="54" spans="1:9" x14ac:dyDescent="0.2">
      <c r="A54" s="32">
        <v>22664</v>
      </c>
      <c r="B54" s="15" t="s">
        <v>137</v>
      </c>
      <c r="C54" s="527">
        <v>23612.35</v>
      </c>
      <c r="D54" s="32" t="s">
        <v>120</v>
      </c>
      <c r="H54" s="380">
        <v>22664</v>
      </c>
      <c r="I54" s="528">
        <v>18932</v>
      </c>
    </row>
    <row r="55" spans="1:9" x14ac:dyDescent="0.2">
      <c r="H55" s="381"/>
      <c r="I55" s="16"/>
    </row>
    <row r="56" spans="1:9" x14ac:dyDescent="0.2">
      <c r="C56" s="420"/>
    </row>
    <row r="57" spans="1:9" x14ac:dyDescent="0.2">
      <c r="C57" s="315">
        <f>+C54+C53+C48+C33+C20</f>
        <v>2710471.5700000003</v>
      </c>
      <c r="I57" s="14">
        <f>SUM(I40:I54)</f>
        <v>721387</v>
      </c>
    </row>
    <row r="61" spans="1:9" x14ac:dyDescent="0.2">
      <c r="C61" s="15">
        <f>+DEFS!F49</f>
        <v>-2827925.9400000004</v>
      </c>
    </row>
    <row r="62" spans="1:9" x14ac:dyDescent="0.2">
      <c r="C62" s="15">
        <f>+C61+C57</f>
        <v>-117454.37000000011</v>
      </c>
      <c r="I62" s="31">
        <f>+I57+DEFS!K49</f>
        <v>272372</v>
      </c>
    </row>
    <row r="70" spans="1:4" x14ac:dyDescent="0.2">
      <c r="C70" s="14"/>
    </row>
    <row r="71" spans="1:4" x14ac:dyDescent="0.2">
      <c r="C71" s="14"/>
    </row>
    <row r="72" spans="1:4" x14ac:dyDescent="0.2">
      <c r="A72" s="32">
        <v>24268</v>
      </c>
      <c r="B72" s="15">
        <f>+C20</f>
        <v>1478621.3800000001</v>
      </c>
      <c r="C72" s="14">
        <f>+F40</f>
        <v>353013</v>
      </c>
    </row>
    <row r="73" spans="1:4" x14ac:dyDescent="0.2">
      <c r="A73" s="32">
        <v>24693</v>
      </c>
      <c r="B73" s="15">
        <f>+C33</f>
        <v>275313.71999999997</v>
      </c>
      <c r="C73" s="14">
        <f>+G40</f>
        <v>117857</v>
      </c>
    </row>
    <row r="74" spans="1:4" x14ac:dyDescent="0.2">
      <c r="A74" s="32">
        <v>24361</v>
      </c>
      <c r="B74" s="15">
        <f>+C48</f>
        <v>859479.03999999992</v>
      </c>
      <c r="C74" s="14">
        <f>+H40</f>
        <v>195184</v>
      </c>
    </row>
    <row r="75" spans="1:4" x14ac:dyDescent="0.2">
      <c r="A75" s="32">
        <v>21665</v>
      </c>
      <c r="B75" s="15">
        <f>+C53</f>
        <v>73445.08</v>
      </c>
      <c r="C75" s="14">
        <f>+I53</f>
        <v>36401</v>
      </c>
    </row>
    <row r="76" spans="1:4" x14ac:dyDescent="0.2">
      <c r="A76" s="32">
        <v>22664</v>
      </c>
      <c r="B76" s="15">
        <f>+C54</f>
        <v>23612.35</v>
      </c>
      <c r="C76" s="14">
        <f>+I54</f>
        <v>18932</v>
      </c>
    </row>
    <row r="77" spans="1:4" x14ac:dyDescent="0.2">
      <c r="A77" s="32">
        <v>23995</v>
      </c>
      <c r="B77" s="15">
        <f>+DEFS!C40</f>
        <v>-1035385.61</v>
      </c>
      <c r="C77" s="14">
        <f>+DEFS!I36</f>
        <v>-183967</v>
      </c>
      <c r="D77" s="16"/>
    </row>
    <row r="78" spans="1:4" x14ac:dyDescent="0.2">
      <c r="A78" s="32">
        <v>22051</v>
      </c>
      <c r="B78" s="15">
        <f>+DEFS!E40</f>
        <v>-620169.80000000005</v>
      </c>
      <c r="C78" s="14">
        <f>+DEFS!J36</f>
        <v>-151846</v>
      </c>
    </row>
    <row r="79" spans="1:4" x14ac:dyDescent="0.2">
      <c r="A79" s="32">
        <v>20379</v>
      </c>
      <c r="B79" s="15">
        <f>+DEFS!F45</f>
        <v>-51695.87</v>
      </c>
      <c r="C79" s="14">
        <f>+DEFS!K45</f>
        <v>2979</v>
      </c>
    </row>
    <row r="80" spans="1:4" x14ac:dyDescent="0.2">
      <c r="A80" s="32">
        <v>26357</v>
      </c>
      <c r="B80" s="15">
        <f>+DEFS!F46</f>
        <v>-14194.820000000007</v>
      </c>
      <c r="C80" s="14">
        <f>+DEFS!K46</f>
        <v>1955</v>
      </c>
    </row>
    <row r="81" spans="1:3" x14ac:dyDescent="0.2">
      <c r="A81" s="32">
        <v>21544</v>
      </c>
      <c r="B81" s="15">
        <f>+DEFS!F47</f>
        <v>61340.160000000003</v>
      </c>
      <c r="C81" s="14">
        <f>+DEFS!K47</f>
        <v>36108</v>
      </c>
    </row>
    <row r="82" spans="1:3" x14ac:dyDescent="0.2">
      <c r="A82" s="32">
        <v>24532</v>
      </c>
      <c r="B82" s="15">
        <f>+DEFS!F48</f>
        <v>-1167820</v>
      </c>
      <c r="C82" s="14">
        <f>+DEFS!K48</f>
        <v>-154244</v>
      </c>
    </row>
    <row r="83" spans="1:3" x14ac:dyDescent="0.2">
      <c r="B83" s="15">
        <f>SUM(B72:B82)</f>
        <v>-117454.36999999965</v>
      </c>
      <c r="C83" s="16">
        <f>SUM(C72:C82)</f>
        <v>272372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33" workbookViewId="0">
      <selection activeCell="E40" sqref="E40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">
      <c r="A4" s="10">
        <v>1</v>
      </c>
      <c r="B4" s="11"/>
      <c r="C4" s="11"/>
      <c r="D4" s="11">
        <v>34592</v>
      </c>
      <c r="E4" s="11">
        <v>34133</v>
      </c>
      <c r="F4" s="11">
        <f>+E4+C4-D4-B4</f>
        <v>-459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34669</v>
      </c>
      <c r="E5" s="11">
        <v>34133</v>
      </c>
      <c r="F5" s="11">
        <f t="shared" ref="F5:F34" si="0">+E5+C5-D5-B5</f>
        <v>-536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34620</v>
      </c>
      <c r="E6" s="11">
        <v>33692</v>
      </c>
      <c r="F6" s="11">
        <f t="shared" si="0"/>
        <v>-928</v>
      </c>
      <c r="G6" s="11"/>
      <c r="I6" s="11"/>
      <c r="J6" s="24"/>
    </row>
    <row r="7" spans="1:10" x14ac:dyDescent="0.2">
      <c r="A7" s="10">
        <v>4</v>
      </c>
      <c r="B7" s="11"/>
      <c r="C7" s="11"/>
      <c r="D7" s="129"/>
      <c r="E7" s="11"/>
      <c r="F7" s="11">
        <f t="shared" si="0"/>
        <v>0</v>
      </c>
      <c r="G7" s="11"/>
      <c r="I7" s="11"/>
      <c r="J7" s="24"/>
    </row>
    <row r="8" spans="1:10" x14ac:dyDescent="0.2">
      <c r="A8" s="10">
        <v>5</v>
      </c>
      <c r="B8" s="11"/>
      <c r="C8" s="11"/>
      <c r="D8" s="11"/>
      <c r="E8" s="11"/>
      <c r="F8" s="11">
        <f t="shared" si="0"/>
        <v>0</v>
      </c>
      <c r="G8" s="11"/>
      <c r="I8" s="11"/>
      <c r="J8" s="24"/>
    </row>
    <row r="9" spans="1:10" x14ac:dyDescent="0.2">
      <c r="A9" s="10">
        <v>6</v>
      </c>
      <c r="B9" s="11"/>
      <c r="C9" s="11"/>
      <c r="D9" s="11"/>
      <c r="E9" s="11"/>
      <c r="F9" s="11">
        <f t="shared" si="0"/>
        <v>0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1">
        <v>23995</v>
      </c>
      <c r="J33" s="351">
        <v>22051</v>
      </c>
      <c r="K33" s="351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37287</v>
      </c>
      <c r="I34" s="579">
        <v>-183967</v>
      </c>
      <c r="J34" s="579">
        <v>-149923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103881</v>
      </c>
      <c r="E35" s="11">
        <f>SUM(E4:E34)</f>
        <v>101958</v>
      </c>
      <c r="F35" s="11">
        <f>SUM(F4:F34)</f>
        <v>-1923</v>
      </c>
      <c r="G35" s="11"/>
      <c r="H35" s="49">
        <f>+A40</f>
        <v>37290</v>
      </c>
      <c r="I35" s="349">
        <f>+C36</f>
        <v>0</v>
      </c>
      <c r="J35" s="349">
        <f>+E36</f>
        <v>-1923</v>
      </c>
      <c r="K35" s="206"/>
      <c r="L35" s="14"/>
    </row>
    <row r="36" spans="1:13" x14ac:dyDescent="0.2">
      <c r="C36" s="25">
        <f>+C35-B35</f>
        <v>0</v>
      </c>
      <c r="E36" s="25">
        <f>+E35-D35</f>
        <v>-1923</v>
      </c>
      <c r="F36" s="25">
        <f>+E36+C36</f>
        <v>-1923</v>
      </c>
      <c r="H36" s="32"/>
      <c r="I36" s="14">
        <f>+I35+I34</f>
        <v>-183967</v>
      </c>
      <c r="J36" s="14">
        <f>+J35+J34</f>
        <v>-151846</v>
      </c>
      <c r="K36" s="14">
        <f>+J36+I36</f>
        <v>-335813</v>
      </c>
      <c r="L36" s="14"/>
    </row>
    <row r="37" spans="1:13" x14ac:dyDescent="0.2">
      <c r="C37" s="313">
        <f>+summary!G5</f>
        <v>2.06</v>
      </c>
      <c r="E37" s="104">
        <f>+C37</f>
        <v>2.06</v>
      </c>
      <c r="F37" s="138">
        <f>+F36*E37</f>
        <v>-3961.38</v>
      </c>
    </row>
    <row r="38" spans="1:13" x14ac:dyDescent="0.2">
      <c r="C38" s="138">
        <f>+C37*C36</f>
        <v>0</v>
      </c>
      <c r="E38" s="136">
        <f>+E37*E36</f>
        <v>-3961.38</v>
      </c>
      <c r="F38" s="138">
        <f>+E38+C38</f>
        <v>-3961.38</v>
      </c>
    </row>
    <row r="39" spans="1:13" x14ac:dyDescent="0.2">
      <c r="A39" s="57">
        <v>37287</v>
      </c>
      <c r="B39" s="2" t="s">
        <v>45</v>
      </c>
      <c r="C39" s="598">
        <v>-1035385.61</v>
      </c>
      <c r="D39" s="320"/>
      <c r="E39" s="585">
        <v>-616208.42000000004</v>
      </c>
      <c r="F39" s="319">
        <f>+E39+C39</f>
        <v>-1651594.03</v>
      </c>
    </row>
    <row r="40" spans="1:13" x14ac:dyDescent="0.2">
      <c r="A40" s="57">
        <v>37290</v>
      </c>
      <c r="B40" s="2" t="s">
        <v>45</v>
      </c>
      <c r="C40" s="314">
        <f>+C39+C38</f>
        <v>-1035385.61</v>
      </c>
      <c r="D40" s="252"/>
      <c r="E40" s="314">
        <f>+E39+E38</f>
        <v>-620169.80000000005</v>
      </c>
      <c r="F40" s="314">
        <f>+E40+C40</f>
        <v>-1655555.4100000001</v>
      </c>
      <c r="H40" s="131"/>
    </row>
    <row r="41" spans="1:13" x14ac:dyDescent="0.2">
      <c r="C41" s="329"/>
      <c r="D41" s="246"/>
      <c r="E41" s="246"/>
      <c r="H41" s="31">
        <f>+C39+E39+F45+F46+F47+F48</f>
        <v>-2823964.5600000005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  <c r="F43" s="596"/>
    </row>
    <row r="44" spans="1:13" x14ac:dyDescent="0.2">
      <c r="C44" s="246"/>
      <c r="D44" s="246"/>
      <c r="E44" s="12">
        <v>22864</v>
      </c>
      <c r="F44" s="595">
        <v>0</v>
      </c>
      <c r="G44" s="249" t="s">
        <v>47</v>
      </c>
      <c r="J44" s="12">
        <v>22864</v>
      </c>
      <c r="K44" s="443"/>
    </row>
    <row r="45" spans="1:13" x14ac:dyDescent="0.2">
      <c r="C45" s="246"/>
      <c r="D45" s="246"/>
      <c r="E45" s="12">
        <v>20379</v>
      </c>
      <c r="F45" s="595">
        <v>-51695.87</v>
      </c>
      <c r="G45" s="249" t="s">
        <v>122</v>
      </c>
      <c r="J45" s="12">
        <v>20379</v>
      </c>
      <c r="K45" s="597">
        <v>2979</v>
      </c>
      <c r="M45" s="14"/>
    </row>
    <row r="46" spans="1:13" x14ac:dyDescent="0.2">
      <c r="C46" s="246"/>
      <c r="D46" s="246"/>
      <c r="E46" s="12">
        <v>26357</v>
      </c>
      <c r="F46" s="600">
        <f>44144.84-58339.66</f>
        <v>-14194.820000000007</v>
      </c>
      <c r="G46" s="249" t="s">
        <v>123</v>
      </c>
      <c r="J46" s="12">
        <v>26357</v>
      </c>
      <c r="K46" s="597">
        <f>26521-24566</f>
        <v>1955</v>
      </c>
    </row>
    <row r="47" spans="1:13" x14ac:dyDescent="0.2">
      <c r="C47" s="246"/>
      <c r="D47" s="246"/>
      <c r="E47" s="12">
        <v>21544</v>
      </c>
      <c r="F47" s="595">
        <v>61340.160000000003</v>
      </c>
      <c r="G47" s="249" t="s">
        <v>124</v>
      </c>
      <c r="J47" s="12">
        <v>21544</v>
      </c>
      <c r="K47" s="597">
        <v>36108</v>
      </c>
    </row>
    <row r="48" spans="1:13" x14ac:dyDescent="0.2">
      <c r="C48" s="246"/>
      <c r="D48" s="246"/>
      <c r="E48" s="12">
        <v>24532</v>
      </c>
      <c r="F48" s="599">
        <v>-1167820</v>
      </c>
      <c r="G48" s="249" t="s">
        <v>121</v>
      </c>
      <c r="J48" s="12">
        <v>24532</v>
      </c>
      <c r="K48" s="579">
        <v>-154244</v>
      </c>
    </row>
    <row r="49" spans="3:13" x14ac:dyDescent="0.2">
      <c r="C49" s="246"/>
      <c r="D49" s="246"/>
      <c r="F49" s="330">
        <f>SUM(F40:F48)</f>
        <v>-2827925.9400000004</v>
      </c>
      <c r="G49" s="246"/>
      <c r="K49" s="14">
        <f>SUM(K36:K48)</f>
        <v>-449015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2710471.5700000003</v>
      </c>
      <c r="M51" s="14">
        <f>+Duke!I57</f>
        <v>721387</v>
      </c>
    </row>
    <row r="53" spans="3:13" x14ac:dyDescent="0.2">
      <c r="F53" s="104">
        <f>+F51+F49</f>
        <v>-117454.37000000011</v>
      </c>
      <c r="M53" s="16">
        <f>+M51+K49</f>
        <v>272372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4"/>
    </row>
    <row r="63" spans="3:13" x14ac:dyDescent="0.2">
      <c r="F63" s="344"/>
    </row>
    <row r="64" spans="3:13" x14ac:dyDescent="0.2">
      <c r="F64" s="344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-154244</v>
      </c>
      <c r="C69" s="247">
        <f>+F48</f>
        <v>-1167820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-183967</v>
      </c>
      <c r="C73" s="247">
        <f>+C40</f>
        <v>-1035385.61</v>
      </c>
    </row>
    <row r="74" spans="1:3" x14ac:dyDescent="0.2">
      <c r="A74">
        <v>22051</v>
      </c>
      <c r="B74" s="31">
        <f>+J36</f>
        <v>-151846</v>
      </c>
      <c r="C74" s="247">
        <f>+E40</f>
        <v>-620169.80000000005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195184</v>
      </c>
      <c r="C77" s="259">
        <f>+Duke!C48</f>
        <v>859479.03999999992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353013</v>
      </c>
      <c r="C79" s="259">
        <f>+Duke!C20</f>
        <v>1478621.3800000001</v>
      </c>
    </row>
    <row r="81" spans="2:3" x14ac:dyDescent="0.2">
      <c r="B81" s="31">
        <f>SUM(B68:B80)</f>
        <v>272372</v>
      </c>
      <c r="C81" s="259">
        <f>SUM(C68:C80)</f>
        <v>-117454.37000000011</v>
      </c>
    </row>
    <row r="82" spans="2:3" x14ac:dyDescent="0.2">
      <c r="C82">
        <f>+C81/B81</f>
        <v>-0.43122776937423857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13" workbookViewId="0">
      <selection activeCell="D17" sqref="D17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4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4835</v>
      </c>
      <c r="C8" s="11">
        <v>5511</v>
      </c>
      <c r="D8" s="11">
        <v>5</v>
      </c>
      <c r="E8" s="11">
        <v>6</v>
      </c>
      <c r="F8" s="129">
        <v>825</v>
      </c>
      <c r="G8" s="11">
        <v>581</v>
      </c>
      <c r="H8" s="11">
        <v>1458</v>
      </c>
      <c r="I8" s="11">
        <v>895</v>
      </c>
      <c r="J8" s="25">
        <f t="shared" ref="J8:J38" si="0">+C8-B8+E8-D8+G8-F8+I8-H8</f>
        <v>-130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5871</v>
      </c>
      <c r="C9" s="11">
        <v>5511</v>
      </c>
      <c r="D9" s="11">
        <v>20</v>
      </c>
      <c r="E9" s="11">
        <v>6</v>
      </c>
      <c r="F9" s="129">
        <v>860</v>
      </c>
      <c r="G9" s="11">
        <v>581</v>
      </c>
      <c r="H9" s="11">
        <v>1510</v>
      </c>
      <c r="I9" s="11">
        <v>895</v>
      </c>
      <c r="J9" s="25">
        <f t="shared" si="0"/>
        <v>-1268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5772</v>
      </c>
      <c r="C10" s="11">
        <v>5511</v>
      </c>
      <c r="D10" s="11">
        <v>9</v>
      </c>
      <c r="E10" s="11">
        <v>6</v>
      </c>
      <c r="F10" s="129">
        <v>927</v>
      </c>
      <c r="G10" s="11">
        <v>581</v>
      </c>
      <c r="H10" s="11">
        <v>1471</v>
      </c>
      <c r="I10" s="11">
        <v>895</v>
      </c>
      <c r="J10" s="25">
        <f t="shared" si="0"/>
        <v>-1186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5788</v>
      </c>
      <c r="C11" s="11">
        <v>5511</v>
      </c>
      <c r="D11" s="11">
        <v>29</v>
      </c>
      <c r="E11" s="11">
        <v>6</v>
      </c>
      <c r="F11" s="129">
        <v>944</v>
      </c>
      <c r="G11" s="11">
        <v>581</v>
      </c>
      <c r="H11" s="11">
        <v>1445</v>
      </c>
      <c r="I11" s="11">
        <v>895</v>
      </c>
      <c r="J11" s="25">
        <f t="shared" si="0"/>
        <v>-1213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5337</v>
      </c>
      <c r="C12" s="11">
        <v>5511</v>
      </c>
      <c r="D12" s="11">
        <v>3</v>
      </c>
      <c r="E12" s="11">
        <v>6</v>
      </c>
      <c r="F12" s="129">
        <v>925</v>
      </c>
      <c r="G12" s="11">
        <v>581</v>
      </c>
      <c r="H12" s="11">
        <v>1425</v>
      </c>
      <c r="I12" s="11">
        <v>895</v>
      </c>
      <c r="J12" s="25">
        <f t="shared" si="0"/>
        <v>-697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5250</v>
      </c>
      <c r="C13" s="11">
        <v>6011</v>
      </c>
      <c r="D13" s="11">
        <v>142</v>
      </c>
      <c r="E13" s="11">
        <v>6</v>
      </c>
      <c r="F13" s="129">
        <v>913</v>
      </c>
      <c r="G13" s="11">
        <v>581</v>
      </c>
      <c r="H13" s="11">
        <v>1797</v>
      </c>
      <c r="I13" s="11">
        <v>895</v>
      </c>
      <c r="J13" s="25">
        <f t="shared" si="0"/>
        <v>-609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5202</v>
      </c>
      <c r="C14" s="11">
        <v>6011</v>
      </c>
      <c r="D14" s="11">
        <v>41</v>
      </c>
      <c r="E14" s="11">
        <v>6</v>
      </c>
      <c r="F14" s="129">
        <v>915</v>
      </c>
      <c r="G14" s="11">
        <v>581</v>
      </c>
      <c r="H14" s="11">
        <v>1586</v>
      </c>
      <c r="I14" s="129">
        <v>895</v>
      </c>
      <c r="J14" s="25">
        <f t="shared" si="0"/>
        <v>-251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5313</v>
      </c>
      <c r="C15" s="11">
        <v>6011</v>
      </c>
      <c r="D15" s="11">
        <v>1</v>
      </c>
      <c r="E15" s="11">
        <v>6</v>
      </c>
      <c r="F15" s="129">
        <v>912</v>
      </c>
      <c r="G15" s="11">
        <v>581</v>
      </c>
      <c r="H15" s="11">
        <v>1516</v>
      </c>
      <c r="I15" s="11">
        <v>895</v>
      </c>
      <c r="J15" s="25">
        <f t="shared" si="0"/>
        <v>-249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5045</v>
      </c>
      <c r="C16" s="11">
        <v>6011</v>
      </c>
      <c r="D16" s="11">
        <v>1</v>
      </c>
      <c r="E16" s="11">
        <v>6</v>
      </c>
      <c r="F16" s="129">
        <v>911</v>
      </c>
      <c r="G16" s="11">
        <v>581</v>
      </c>
      <c r="H16" s="11">
        <v>1472</v>
      </c>
      <c r="I16" s="11">
        <v>895</v>
      </c>
      <c r="J16" s="25">
        <f t="shared" si="0"/>
        <v>64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5415</v>
      </c>
      <c r="C17" s="11">
        <v>6011</v>
      </c>
      <c r="D17" s="11">
        <v>1</v>
      </c>
      <c r="E17" s="11">
        <v>6</v>
      </c>
      <c r="F17" s="129">
        <v>861</v>
      </c>
      <c r="G17" s="11">
        <v>581</v>
      </c>
      <c r="H17" s="11">
        <v>1437</v>
      </c>
      <c r="I17" s="11">
        <v>895</v>
      </c>
      <c r="J17" s="25">
        <f t="shared" si="0"/>
        <v>-221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29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53828</v>
      </c>
      <c r="C39" s="11">
        <f t="shared" si="1"/>
        <v>57610</v>
      </c>
      <c r="D39" s="11">
        <f t="shared" si="1"/>
        <v>252</v>
      </c>
      <c r="E39" s="11">
        <f t="shared" si="1"/>
        <v>60</v>
      </c>
      <c r="F39" s="129">
        <f t="shared" si="1"/>
        <v>8993</v>
      </c>
      <c r="G39" s="11">
        <f t="shared" si="1"/>
        <v>5810</v>
      </c>
      <c r="H39" s="11">
        <f t="shared" si="1"/>
        <v>15117</v>
      </c>
      <c r="I39" s="11">
        <f t="shared" si="1"/>
        <v>8950</v>
      </c>
      <c r="J39" s="25">
        <f t="shared" si="1"/>
        <v>-5760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2.0499999999999998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-11807.999999999998</v>
      </c>
      <c r="L41"/>
      <c r="R41" s="138"/>
      <c r="X41" s="138"/>
    </row>
    <row r="42" spans="1:24" x14ac:dyDescent="0.2">
      <c r="A42" s="57">
        <v>37287</v>
      </c>
      <c r="C42" s="15"/>
      <c r="J42" s="582">
        <v>341278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37297</v>
      </c>
      <c r="C43" s="48"/>
      <c r="J43" s="138">
        <f>+J42+J41</f>
        <v>329470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149</v>
      </c>
      <c r="B46" s="32"/>
      <c r="C46" s="32"/>
      <c r="D46" s="32"/>
      <c r="L46"/>
    </row>
    <row r="47" spans="1:24" x14ac:dyDescent="0.2">
      <c r="A47" s="49">
        <f>+A42</f>
        <v>37287</v>
      </c>
      <c r="B47" s="32"/>
      <c r="C47" s="32"/>
      <c r="D47" s="579">
        <v>135419</v>
      </c>
      <c r="L47"/>
    </row>
    <row r="48" spans="1:24" x14ac:dyDescent="0.2">
      <c r="A48" s="49">
        <f>+A43</f>
        <v>37297</v>
      </c>
      <c r="B48" s="32"/>
      <c r="C48" s="32"/>
      <c r="D48" s="349">
        <f>+J39</f>
        <v>-5760</v>
      </c>
      <c r="L48"/>
    </row>
    <row r="49" spans="1:12" x14ac:dyDescent="0.2">
      <c r="A49" s="32"/>
      <c r="B49" s="32"/>
      <c r="C49" s="32"/>
      <c r="D49" s="14">
        <f>+D48+D47</f>
        <v>129659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3" workbookViewId="0">
      <selection activeCell="D47" sqref="D47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3" t="s">
        <v>10</v>
      </c>
      <c r="B7" s="428" t="s">
        <v>19</v>
      </c>
      <c r="C7" s="428" t="s">
        <v>20</v>
      </c>
      <c r="D7" s="428" t="s">
        <v>19</v>
      </c>
      <c r="E7" s="428" t="s">
        <v>20</v>
      </c>
      <c r="F7" s="428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29">
        <v>1</v>
      </c>
      <c r="B8" s="410"/>
      <c r="C8" s="410"/>
      <c r="D8" s="410">
        <v>-218</v>
      </c>
      <c r="E8" s="410"/>
      <c r="F8" s="307">
        <f>+C8-B8+E8-D8</f>
        <v>218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29">
        <v>2</v>
      </c>
      <c r="B9" s="410"/>
      <c r="C9" s="410"/>
      <c r="D9" s="410">
        <v>-105</v>
      </c>
      <c r="E9" s="410"/>
      <c r="F9" s="307">
        <f t="shared" ref="F9:F38" si="0">+C9-B9+E9-D9</f>
        <v>105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29">
        <v>3</v>
      </c>
      <c r="B10" s="410"/>
      <c r="C10" s="410"/>
      <c r="D10" s="410">
        <v>-155</v>
      </c>
      <c r="E10" s="410"/>
      <c r="F10" s="307">
        <f t="shared" si="0"/>
        <v>155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29">
        <v>4</v>
      </c>
      <c r="B11" s="410"/>
      <c r="C11" s="410"/>
      <c r="D11" s="410">
        <v>-323</v>
      </c>
      <c r="E11" s="410"/>
      <c r="F11" s="307">
        <f t="shared" si="0"/>
        <v>323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29">
        <v>5</v>
      </c>
      <c r="B12" s="410"/>
      <c r="C12" s="410"/>
      <c r="D12" s="410">
        <v>-385</v>
      </c>
      <c r="E12" s="410"/>
      <c r="F12" s="307">
        <f t="shared" si="0"/>
        <v>385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29">
        <v>6</v>
      </c>
      <c r="B13" s="410"/>
      <c r="C13" s="410"/>
      <c r="D13" s="410">
        <v>-239</v>
      </c>
      <c r="E13" s="410"/>
      <c r="F13" s="307">
        <f t="shared" si="0"/>
        <v>239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29">
        <v>7</v>
      </c>
      <c r="B14" s="410"/>
      <c r="C14" s="410"/>
      <c r="D14" s="410">
        <v>-142</v>
      </c>
      <c r="E14" s="410"/>
      <c r="F14" s="307">
        <f t="shared" si="0"/>
        <v>142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29">
        <v>8</v>
      </c>
      <c r="B15" s="410"/>
      <c r="C15" s="410"/>
      <c r="D15" s="410">
        <v>-161</v>
      </c>
      <c r="E15" s="410"/>
      <c r="F15" s="307">
        <f t="shared" si="0"/>
        <v>161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29">
        <v>9</v>
      </c>
      <c r="B16" s="410"/>
      <c r="C16" s="410"/>
      <c r="D16" s="410">
        <v>-402</v>
      </c>
      <c r="E16" s="410"/>
      <c r="F16" s="307">
        <f t="shared" si="0"/>
        <v>402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29">
        <v>10</v>
      </c>
      <c r="B17" s="410"/>
      <c r="C17" s="410"/>
      <c r="D17" s="410"/>
      <c r="E17" s="410"/>
      <c r="F17" s="30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29">
        <v>11</v>
      </c>
      <c r="B18" s="410"/>
      <c r="C18" s="410"/>
      <c r="D18" s="410"/>
      <c r="E18" s="410"/>
      <c r="F18" s="30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29">
        <v>12</v>
      </c>
      <c r="B19" s="410"/>
      <c r="C19" s="410"/>
      <c r="D19" s="410"/>
      <c r="E19" s="410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29">
        <v>13</v>
      </c>
      <c r="B20" s="410"/>
      <c r="C20" s="410"/>
      <c r="D20" s="410"/>
      <c r="E20" s="410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29">
        <v>14</v>
      </c>
      <c r="B21" s="410"/>
      <c r="C21" s="410"/>
      <c r="D21" s="410"/>
      <c r="E21" s="410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29">
        <v>15</v>
      </c>
      <c r="B22" s="410"/>
      <c r="C22" s="410"/>
      <c r="D22" s="410"/>
      <c r="E22" s="410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29">
        <v>16</v>
      </c>
      <c r="B23" s="410"/>
      <c r="C23" s="410"/>
      <c r="D23" s="410"/>
      <c r="E23" s="410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29">
        <v>17</v>
      </c>
      <c r="B24" s="410"/>
      <c r="C24" s="410"/>
      <c r="D24" s="410"/>
      <c r="E24" s="410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29">
        <v>18</v>
      </c>
      <c r="B25" s="410"/>
      <c r="C25" s="410"/>
      <c r="D25" s="410"/>
      <c r="E25" s="410"/>
      <c r="F25" s="30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29">
        <v>19</v>
      </c>
      <c r="B26" s="410"/>
      <c r="C26" s="410"/>
      <c r="D26" s="410"/>
      <c r="E26" s="410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29">
        <v>20</v>
      </c>
      <c r="B27" s="436"/>
      <c r="C27" s="410"/>
      <c r="D27" s="410"/>
      <c r="E27" s="410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29">
        <v>21</v>
      </c>
      <c r="B28" s="410"/>
      <c r="C28" s="410"/>
      <c r="D28" s="410"/>
      <c r="E28" s="410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29">
        <v>22</v>
      </c>
      <c r="B29" s="410"/>
      <c r="C29" s="410"/>
      <c r="D29" s="410"/>
      <c r="E29" s="410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29">
        <v>23</v>
      </c>
      <c r="B30" s="410"/>
      <c r="C30" s="410"/>
      <c r="D30" s="410"/>
      <c r="E30" s="410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29">
        <v>24</v>
      </c>
      <c r="B31" s="410"/>
      <c r="C31" s="410"/>
      <c r="D31" s="410"/>
      <c r="E31" s="410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29">
        <v>25</v>
      </c>
      <c r="B32" s="410"/>
      <c r="C32" s="410"/>
      <c r="D32" s="410"/>
      <c r="E32" s="410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29">
        <v>26</v>
      </c>
      <c r="B33" s="410"/>
      <c r="C33" s="410"/>
      <c r="D33" s="410"/>
      <c r="E33" s="410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29">
        <v>27</v>
      </c>
      <c r="B34" s="410"/>
      <c r="C34" s="410"/>
      <c r="D34" s="410"/>
      <c r="E34" s="410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29">
        <v>28</v>
      </c>
      <c r="B35" s="410"/>
      <c r="C35" s="410"/>
      <c r="D35" s="410"/>
      <c r="E35" s="410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29">
        <v>29</v>
      </c>
      <c r="B36" s="410"/>
      <c r="C36" s="410"/>
      <c r="D36" s="410"/>
      <c r="E36" s="410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29">
        <v>30</v>
      </c>
      <c r="B37" s="410"/>
      <c r="C37" s="410"/>
      <c r="D37" s="410"/>
      <c r="E37" s="410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29">
        <v>31</v>
      </c>
      <c r="B38" s="410"/>
      <c r="C38" s="410"/>
      <c r="D38" s="410"/>
      <c r="E38" s="410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29"/>
      <c r="B39" s="410">
        <f>SUM(B8:B38)</f>
        <v>0</v>
      </c>
      <c r="C39" s="410">
        <f>SUM(C8:C38)</f>
        <v>0</v>
      </c>
      <c r="D39" s="410">
        <f>SUM(D8:D38)</f>
        <v>-2130</v>
      </c>
      <c r="E39" s="410">
        <f>SUM(E8:E38)</f>
        <v>0</v>
      </c>
      <c r="F39" s="410">
        <f>SUM(F8:F38)</f>
        <v>2130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0"/>
      <c r="B40" s="285"/>
      <c r="C40" s="431"/>
      <c r="D40" s="431"/>
      <c r="E40" s="431"/>
      <c r="F40" s="432">
        <f>+summary!G4</f>
        <v>2.0499999999999998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3">
        <f>+F40*F39</f>
        <v>4366.5</v>
      </c>
      <c r="J41" s="138"/>
      <c r="N41" s="138"/>
      <c r="R41" s="138"/>
      <c r="V41" s="138"/>
      <c r="Z41" s="138"/>
    </row>
    <row r="42" spans="1:26" ht="15" customHeight="1" x14ac:dyDescent="0.2">
      <c r="A42" s="56">
        <v>37287</v>
      </c>
      <c r="B42" s="285"/>
      <c r="C42" s="434"/>
      <c r="D42" s="434"/>
      <c r="E42" s="434"/>
      <c r="F42" s="575">
        <v>152234.63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37296</v>
      </c>
      <c r="B43" s="285"/>
      <c r="C43" s="435"/>
      <c r="D43" s="435"/>
      <c r="E43" s="435"/>
      <c r="F43" s="416">
        <f>+F42+F41</f>
        <v>156601.13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149</v>
      </c>
      <c r="B46" s="32"/>
      <c r="C46" s="32"/>
      <c r="D46" s="32"/>
      <c r="E46" s="11"/>
    </row>
    <row r="47" spans="1:26" x14ac:dyDescent="0.2">
      <c r="A47" s="49">
        <f>+A42</f>
        <v>37287</v>
      </c>
      <c r="B47" s="32"/>
      <c r="C47" s="32"/>
      <c r="D47" s="486">
        <v>-368359</v>
      </c>
      <c r="E47" s="11"/>
    </row>
    <row r="48" spans="1:26" x14ac:dyDescent="0.2">
      <c r="A48" s="49">
        <f>+A43</f>
        <v>37296</v>
      </c>
      <c r="B48" s="32"/>
      <c r="C48" s="32"/>
      <c r="D48" s="349">
        <f>+F39</f>
        <v>2130</v>
      </c>
      <c r="E48" s="11"/>
    </row>
    <row r="49" spans="1:5" x14ac:dyDescent="0.2">
      <c r="A49" s="32"/>
      <c r="B49" s="32"/>
      <c r="C49" s="32"/>
      <c r="D49" s="14">
        <f>+D48+D47</f>
        <v>-366229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17"/>
  <sheetViews>
    <sheetView tabSelected="1" topLeftCell="A3" workbookViewId="0">
      <selection activeCell="C50" sqref="C50"/>
    </sheetView>
  </sheetViews>
  <sheetFormatPr defaultRowHeight="12.75" x14ac:dyDescent="0.2"/>
  <cols>
    <col min="1" max="1" width="25.85546875" style="285" customWidth="1"/>
    <col min="2" max="2" width="11.140625" style="555" bestFit="1" customWidth="1"/>
    <col min="3" max="3" width="9.7109375" style="556" customWidth="1"/>
    <col min="4" max="4" width="5.140625" style="557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59" bestFit="1" customWidth="1"/>
    <col min="15" max="15" width="9" style="560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2" t="s">
        <v>78</v>
      </c>
      <c r="G2" s="558"/>
    </row>
    <row r="3" spans="1:33" ht="15" customHeight="1" x14ac:dyDescent="0.2">
      <c r="F3" s="561" t="s">
        <v>29</v>
      </c>
      <c r="G3" s="562">
        <f>+'[3]1001'!$K$39</f>
        <v>2.06</v>
      </c>
      <c r="J3" s="373">
        <f ca="1">NOW()</f>
        <v>41885.682725925923</v>
      </c>
    </row>
    <row r="4" spans="1:33" ht="15" customHeight="1" x14ac:dyDescent="0.2">
      <c r="A4" s="34" t="s">
        <v>145</v>
      </c>
      <c r="C4" s="34" t="s">
        <v>5</v>
      </c>
      <c r="F4" s="563" t="s">
        <v>30</v>
      </c>
      <c r="G4" s="564">
        <f>+'[3]1001'!$M$39</f>
        <v>2.0499999999999998</v>
      </c>
    </row>
    <row r="5" spans="1:33" ht="15" customHeight="1" x14ac:dyDescent="0.2">
      <c r="B5" s="565"/>
      <c r="F5" s="561" t="s">
        <v>117</v>
      </c>
      <c r="G5" s="562">
        <f>+'[3]1001'!$H$39</f>
        <v>2.06</v>
      </c>
    </row>
    <row r="6" spans="1:33" ht="12" customHeight="1" x14ac:dyDescent="0.2">
      <c r="C6" s="439"/>
    </row>
    <row r="7" spans="1:33" ht="15" customHeight="1" x14ac:dyDescent="0.2">
      <c r="A7" s="334" t="s">
        <v>89</v>
      </c>
      <c r="B7" s="335" t="s">
        <v>16</v>
      </c>
      <c r="C7" s="336" t="s">
        <v>0</v>
      </c>
      <c r="D7" s="5" t="s">
        <v>146</v>
      </c>
      <c r="E7" s="334" t="s">
        <v>90</v>
      </c>
      <c r="F7" s="337" t="s">
        <v>299</v>
      </c>
      <c r="G7" s="337" t="s">
        <v>101</v>
      </c>
      <c r="H7" s="334" t="s">
        <v>98</v>
      </c>
    </row>
    <row r="8" spans="1:33" ht="15" customHeight="1" x14ac:dyDescent="0.2">
      <c r="A8" s="32" t="s">
        <v>82</v>
      </c>
      <c r="B8" s="345">
        <f>+PNM!$D$23</f>
        <v>886194.49</v>
      </c>
      <c r="C8" s="275">
        <f>+B8/$G$4</f>
        <v>432289.99512195127</v>
      </c>
      <c r="D8" s="364">
        <f>+PNM!A23</f>
        <v>37297</v>
      </c>
      <c r="E8" s="32" t="s">
        <v>85</v>
      </c>
      <c r="F8" s="32" t="s">
        <v>300</v>
      </c>
      <c r="G8" s="32" t="s">
        <v>115</v>
      </c>
      <c r="H8" s="32"/>
      <c r="I8" s="32"/>
      <c r="J8" s="32"/>
      <c r="K8" s="32"/>
      <c r="L8" s="32"/>
      <c r="M8" s="32"/>
      <c r="N8" s="379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32" t="s">
        <v>80</v>
      </c>
      <c r="B9" s="345">
        <f>+Conoco!$F$41</f>
        <v>452477.45</v>
      </c>
      <c r="C9" s="275">
        <f>+B9/$G$4</f>
        <v>220720.70731707319</v>
      </c>
      <c r="D9" s="363">
        <f>+Conoco!A41</f>
        <v>37297</v>
      </c>
      <c r="E9" s="32" t="s">
        <v>85</v>
      </c>
      <c r="F9" s="32" t="s">
        <v>301</v>
      </c>
      <c r="G9" s="32" t="s">
        <v>113</v>
      </c>
      <c r="H9" s="32" t="s">
        <v>143</v>
      </c>
      <c r="I9" s="32"/>
      <c r="J9" s="32"/>
      <c r="K9" s="32"/>
      <c r="L9" s="32"/>
      <c r="M9" s="32"/>
      <c r="N9" s="379"/>
      <c r="O9" s="70"/>
      <c r="P9" s="32"/>
      <c r="Q9" s="32"/>
      <c r="R9" s="32"/>
      <c r="S9" s="32"/>
      <c r="T9" s="32"/>
      <c r="U9" s="15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94</v>
      </c>
      <c r="B10" s="345">
        <f>+C10*$G$4</f>
        <v>375660.44999999995</v>
      </c>
      <c r="C10" s="275">
        <f>+Mojave!D40</f>
        <v>183249</v>
      </c>
      <c r="D10" s="364">
        <f>+Mojave!A40</f>
        <v>37296</v>
      </c>
      <c r="E10" s="32" t="s">
        <v>84</v>
      </c>
      <c r="F10" s="32" t="s">
        <v>154</v>
      </c>
      <c r="G10" s="32" t="s">
        <v>100</v>
      </c>
      <c r="H10" s="32"/>
      <c r="I10" s="32"/>
      <c r="J10" s="32"/>
      <c r="K10" s="32"/>
      <c r="L10" s="32"/>
      <c r="M10" s="32"/>
      <c r="N10" s="379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32" t="s">
        <v>107</v>
      </c>
      <c r="B11" s="345">
        <f>+KN_Westar!F41</f>
        <v>329520.2</v>
      </c>
      <c r="C11" s="275">
        <f>+B11/$G$4</f>
        <v>160741.56097560978</v>
      </c>
      <c r="D11" s="364">
        <f>+KN_Westar!A41</f>
        <v>37287</v>
      </c>
      <c r="E11" s="32" t="s">
        <v>85</v>
      </c>
      <c r="F11" s="32" t="s">
        <v>154</v>
      </c>
      <c r="G11" s="32" t="s">
        <v>100</v>
      </c>
      <c r="H11" s="32"/>
      <c r="I11" s="32"/>
      <c r="J11" s="32"/>
      <c r="K11" s="32"/>
      <c r="L11" s="32"/>
      <c r="M11" s="32"/>
      <c r="N11" s="379"/>
      <c r="O11" s="7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32" t="s">
        <v>2</v>
      </c>
      <c r="B12" s="345">
        <f>+mewborne!$J$43</f>
        <v>329470</v>
      </c>
      <c r="C12" s="275">
        <f>+B12/$G$4</f>
        <v>160717.07317073172</v>
      </c>
      <c r="D12" s="364">
        <f>+mewborne!A43</f>
        <v>37297</v>
      </c>
      <c r="E12" s="32" t="s">
        <v>85</v>
      </c>
      <c r="F12" s="32" t="s">
        <v>300</v>
      </c>
      <c r="G12" s="32" t="s">
        <v>99</v>
      </c>
      <c r="H12" s="32"/>
      <c r="I12" s="32"/>
      <c r="J12" s="32"/>
      <c r="K12" s="32"/>
      <c r="L12" s="32"/>
      <c r="M12" s="32"/>
      <c r="N12" s="379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3.5" customHeight="1" x14ac:dyDescent="0.2">
      <c r="A13" s="32" t="s">
        <v>88</v>
      </c>
      <c r="B13" s="345">
        <f>+C13*$G$5</f>
        <v>253965.04</v>
      </c>
      <c r="C13" s="275">
        <f>+NGPL!H38</f>
        <v>123284</v>
      </c>
      <c r="D13" s="364">
        <f>+NGPL!A38</f>
        <v>37297</v>
      </c>
      <c r="E13" s="204" t="s">
        <v>84</v>
      </c>
      <c r="F13" s="32" t="s">
        <v>153</v>
      </c>
      <c r="G13" s="32" t="s">
        <v>115</v>
      </c>
      <c r="H13" s="32"/>
      <c r="I13" s="32"/>
      <c r="J13" s="32"/>
      <c r="K13" s="32"/>
      <c r="L13" s="32"/>
      <c r="M13" s="32"/>
      <c r="N13" s="379" t="e">
        <f>+#REF!+#REF!+B43</f>
        <v>#REF!</v>
      </c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3.5" customHeight="1" x14ac:dyDescent="0.2">
      <c r="A14" s="32" t="s">
        <v>207</v>
      </c>
      <c r="B14" s="345">
        <f>+Dominion!D41</f>
        <v>173721.76</v>
      </c>
      <c r="C14" s="275">
        <f>+B14/$G$5</f>
        <v>84330.951456310679</v>
      </c>
      <c r="D14" s="364">
        <f>+Dominion!A41</f>
        <v>37296</v>
      </c>
      <c r="E14" s="32" t="s">
        <v>85</v>
      </c>
      <c r="F14" s="32" t="s">
        <v>300</v>
      </c>
      <c r="G14" s="32" t="s">
        <v>99</v>
      </c>
      <c r="H14" s="32"/>
      <c r="I14" s="32"/>
      <c r="J14" s="32"/>
      <c r="K14" s="32"/>
      <c r="L14" s="32"/>
      <c r="M14" s="32"/>
      <c r="N14" s="379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204" t="s">
        <v>33</v>
      </c>
      <c r="B15" s="345">
        <f>+'El Paso'!C39*summary!G4+'El Paso'!E39*summary!G3</f>
        <v>170716.34999999998</v>
      </c>
      <c r="C15" s="275">
        <f>+'El Paso'!H39</f>
        <v>83184</v>
      </c>
      <c r="D15" s="363">
        <f>+'El Paso'!A39</f>
        <v>37297</v>
      </c>
      <c r="E15" s="204" t="s">
        <v>84</v>
      </c>
      <c r="F15" s="204" t="s">
        <v>154</v>
      </c>
      <c r="G15" s="204" t="s">
        <v>100</v>
      </c>
      <c r="H15" s="204"/>
      <c r="I15" s="32"/>
      <c r="J15" s="32"/>
      <c r="K15" s="32"/>
      <c r="L15" s="32"/>
      <c r="M15" s="32"/>
      <c r="N15" s="379"/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204" t="s">
        <v>32</v>
      </c>
      <c r="B16" s="345">
        <f>+C16*$G$4</f>
        <v>170117.19999999998</v>
      </c>
      <c r="C16" s="206">
        <f>+SoCal!F40</f>
        <v>82984</v>
      </c>
      <c r="D16" s="363">
        <f>+SoCal!A40</f>
        <v>37297</v>
      </c>
      <c r="E16" s="204" t="s">
        <v>84</v>
      </c>
      <c r="F16" s="204" t="s">
        <v>153</v>
      </c>
      <c r="G16" s="204" t="s">
        <v>102</v>
      </c>
      <c r="H16" s="32"/>
      <c r="I16" s="32"/>
      <c r="J16" s="32"/>
      <c r="K16" s="32"/>
      <c r="L16" s="32"/>
      <c r="M16" s="32"/>
      <c r="N16" s="379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32" t="s">
        <v>3</v>
      </c>
      <c r="B17" s="345">
        <f>+'Amoco Abo'!$F$43</f>
        <v>156601.13</v>
      </c>
      <c r="C17" s="275">
        <f>+B17/$G$4</f>
        <v>76390.795121951232</v>
      </c>
      <c r="D17" s="364">
        <f>+'Amoco Abo'!A43</f>
        <v>37296</v>
      </c>
      <c r="E17" s="32" t="s">
        <v>85</v>
      </c>
      <c r="F17" s="32" t="s">
        <v>153</v>
      </c>
      <c r="G17" s="32" t="s">
        <v>115</v>
      </c>
      <c r="H17" s="32"/>
      <c r="I17" s="32"/>
      <c r="J17" s="32"/>
      <c r="K17" s="32"/>
      <c r="L17" s="32"/>
      <c r="M17" s="32"/>
      <c r="N17" s="379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32" t="s">
        <v>129</v>
      </c>
      <c r="B18" s="345">
        <f>+EPFS!D41</f>
        <v>139349.41999999998</v>
      </c>
      <c r="C18" s="206">
        <f>+B18/$G$5</f>
        <v>67645.349514563102</v>
      </c>
      <c r="D18" s="363">
        <f>+EPFS!A41</f>
        <v>37297</v>
      </c>
      <c r="E18" s="32" t="s">
        <v>85</v>
      </c>
      <c r="F18" s="32" t="s">
        <v>154</v>
      </c>
      <c r="G18" s="32" t="s">
        <v>102</v>
      </c>
      <c r="H18" s="32"/>
      <c r="I18" s="32"/>
      <c r="J18" s="32"/>
      <c r="K18" s="32"/>
      <c r="L18" s="32"/>
      <c r="M18" s="32"/>
      <c r="N18" s="379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442" t="s">
        <v>79</v>
      </c>
      <c r="B19" s="503">
        <f>+Agave!$D$24</f>
        <v>133025.22</v>
      </c>
      <c r="C19" s="462">
        <f>+B19/$G$4</f>
        <v>64890.351219512202</v>
      </c>
      <c r="D19" s="461">
        <f>+Agave!A24</f>
        <v>37297</v>
      </c>
      <c r="E19" s="442" t="s">
        <v>85</v>
      </c>
      <c r="F19" s="442" t="s">
        <v>301</v>
      </c>
      <c r="G19" s="442" t="s">
        <v>102</v>
      </c>
      <c r="H19" s="442"/>
      <c r="I19" s="32"/>
      <c r="J19" s="32"/>
      <c r="K19" s="32"/>
      <c r="L19" s="32"/>
      <c r="M19" s="32"/>
      <c r="N19" s="379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32" t="s">
        <v>210</v>
      </c>
      <c r="B20" s="345">
        <f>+Devon!D41</f>
        <v>132338.75</v>
      </c>
      <c r="C20" s="275">
        <f>+B20/$G$5</f>
        <v>64242.111650485436</v>
      </c>
      <c r="D20" s="364">
        <f>+Devon!A41</f>
        <v>37296</v>
      </c>
      <c r="E20" s="32" t="s">
        <v>85</v>
      </c>
      <c r="F20" s="32" t="s">
        <v>301</v>
      </c>
      <c r="G20" s="32" t="s">
        <v>99</v>
      </c>
      <c r="H20" s="32"/>
      <c r="I20" s="32"/>
      <c r="J20" s="32"/>
      <c r="K20" s="32"/>
      <c r="L20" s="32"/>
      <c r="M20" s="32" t="s">
        <v>244</v>
      </c>
      <c r="N20" s="379">
        <v>23995</v>
      </c>
      <c r="O20" s="70">
        <v>-1023166</v>
      </c>
      <c r="P20" s="32" t="s">
        <v>246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3.5" customHeight="1" x14ac:dyDescent="0.2">
      <c r="A21" s="32" t="s">
        <v>218</v>
      </c>
      <c r="B21" s="345">
        <f>+Amarillo!P41</f>
        <v>91858.28</v>
      </c>
      <c r="C21" s="275">
        <f>+B21/$G$4</f>
        <v>44808.917073170735</v>
      </c>
      <c r="D21" s="364">
        <f>+Amarillo!A41</f>
        <v>37296</v>
      </c>
      <c r="E21" s="32" t="s">
        <v>85</v>
      </c>
      <c r="F21" s="32" t="s">
        <v>301</v>
      </c>
      <c r="G21" s="32" t="s">
        <v>113</v>
      </c>
      <c r="H21" s="32"/>
      <c r="I21" s="32"/>
      <c r="J21" s="32"/>
      <c r="K21" s="32"/>
      <c r="L21" s="32"/>
      <c r="M21" s="32" t="s">
        <v>244</v>
      </c>
      <c r="N21" s="379">
        <v>22864</v>
      </c>
      <c r="O21" s="70">
        <v>-58339.66</v>
      </c>
      <c r="P21" s="32" t="s">
        <v>247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2.95" customHeight="1" x14ac:dyDescent="0.2">
      <c r="A22" s="32" t="s">
        <v>31</v>
      </c>
      <c r="B22" s="345">
        <f>+C22*$G$5</f>
        <v>86297.52</v>
      </c>
      <c r="C22" s="275">
        <f>+Lonestar!F43</f>
        <v>41892</v>
      </c>
      <c r="D22" s="363">
        <f>+Lonestar!A43</f>
        <v>37297</v>
      </c>
      <c r="E22" s="32" t="s">
        <v>84</v>
      </c>
      <c r="F22" s="32" t="s">
        <v>301</v>
      </c>
      <c r="G22" s="32" t="s">
        <v>102</v>
      </c>
      <c r="H22" s="32"/>
      <c r="I22" s="15"/>
      <c r="J22" s="32"/>
      <c r="K22" s="32"/>
      <c r="L22" s="32"/>
      <c r="M22" s="32" t="s">
        <v>244</v>
      </c>
      <c r="N22" s="379">
        <v>20379</v>
      </c>
      <c r="O22" s="70">
        <v>-51695.87</v>
      </c>
      <c r="P22" s="32" t="s">
        <v>247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32" t="s">
        <v>114</v>
      </c>
      <c r="B23" s="345">
        <f>+C23*$G$4</f>
        <v>79566.649999999994</v>
      </c>
      <c r="C23" s="206">
        <f>+'PG&amp;E'!D40</f>
        <v>38813</v>
      </c>
      <c r="D23" s="364">
        <f>+'PG&amp;E'!A40</f>
        <v>37296</v>
      </c>
      <c r="E23" s="32" t="s">
        <v>84</v>
      </c>
      <c r="F23" s="32" t="s">
        <v>154</v>
      </c>
      <c r="G23" s="32" t="s">
        <v>102</v>
      </c>
      <c r="H23" s="32"/>
      <c r="I23" s="204"/>
      <c r="J23" s="32"/>
      <c r="K23" s="32"/>
      <c r="L23" s="32"/>
      <c r="M23" s="32" t="s">
        <v>244</v>
      </c>
      <c r="N23" s="379">
        <v>26357</v>
      </c>
      <c r="O23" s="70">
        <v>44144.84</v>
      </c>
      <c r="P23" s="32" t="s">
        <v>247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ht="13.5" customHeight="1" x14ac:dyDescent="0.2">
      <c r="A24" s="204" t="s">
        <v>307</v>
      </c>
      <c r="B24" s="345">
        <f>+Plains!$N$43</f>
        <v>63241.56</v>
      </c>
      <c r="C24" s="206">
        <f>+B24/$G$4</f>
        <v>30849.541463414636</v>
      </c>
      <c r="D24" s="363">
        <f>+Plains!A43</f>
        <v>37287</v>
      </c>
      <c r="E24" s="204" t="s">
        <v>85</v>
      </c>
      <c r="F24" s="204"/>
      <c r="G24" s="204" t="s">
        <v>100</v>
      </c>
      <c r="H24" s="204" t="s">
        <v>308</v>
      </c>
      <c r="I24" s="32"/>
      <c r="J24" s="32"/>
      <c r="K24" s="32"/>
      <c r="L24" s="32"/>
      <c r="M24" s="32" t="s">
        <v>244</v>
      </c>
      <c r="N24" s="379">
        <v>21544</v>
      </c>
      <c r="O24" s="70">
        <v>61340.160000000003</v>
      </c>
      <c r="P24" s="32" t="s">
        <v>247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 s="566" customFormat="1" ht="13.5" customHeight="1" x14ac:dyDescent="0.2">
      <c r="A25" s="204" t="s">
        <v>139</v>
      </c>
      <c r="B25" s="345">
        <f>+'Citizens-Griffith'!D41</f>
        <v>50905.1</v>
      </c>
      <c r="C25" s="275">
        <f t="shared" ref="C25:C35" si="0">+B25/$G$4</f>
        <v>24831.756097560978</v>
      </c>
      <c r="D25" s="363">
        <f>+'Citizens-Griffith'!A41</f>
        <v>37293</v>
      </c>
      <c r="E25" s="204" t="s">
        <v>85</v>
      </c>
      <c r="F25" s="204" t="s">
        <v>301</v>
      </c>
      <c r="G25" s="204" t="s">
        <v>99</v>
      </c>
      <c r="H25" s="204"/>
      <c r="I25" s="204"/>
      <c r="J25" s="204"/>
      <c r="K25" s="204"/>
      <c r="L25" s="204"/>
      <c r="M25" s="204"/>
      <c r="N25" s="469"/>
      <c r="O25" s="273"/>
      <c r="P25" s="273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</row>
    <row r="26" spans="1:33" s="566" customFormat="1" ht="13.5" customHeight="1" x14ac:dyDescent="0.2">
      <c r="A26" s="32" t="s">
        <v>298</v>
      </c>
      <c r="B26" s="345">
        <f>+Stratland!$D$41</f>
        <v>48490.31</v>
      </c>
      <c r="C26" s="275">
        <f t="shared" si="0"/>
        <v>23653.809756097562</v>
      </c>
      <c r="D26" s="363">
        <f>+Stratland!A41</f>
        <v>37287</v>
      </c>
      <c r="E26" s="32" t="s">
        <v>85</v>
      </c>
      <c r="F26" s="32" t="s">
        <v>300</v>
      </c>
      <c r="G26" s="32" t="s">
        <v>102</v>
      </c>
      <c r="H26" s="32"/>
      <c r="I26" s="204"/>
      <c r="J26" s="204"/>
      <c r="K26" s="204"/>
      <c r="L26" s="204"/>
      <c r="M26" s="204" t="s">
        <v>245</v>
      </c>
      <c r="N26" s="469">
        <v>24361</v>
      </c>
      <c r="O26" s="273">
        <v>811179.69</v>
      </c>
      <c r="P26" s="204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</row>
    <row r="27" spans="1:33" s="566" customFormat="1" ht="13.5" customHeight="1" x14ac:dyDescent="0.2">
      <c r="A27" s="204" t="s">
        <v>109</v>
      </c>
      <c r="B27" s="345">
        <f>+Continental!F43</f>
        <v>44498.090000000004</v>
      </c>
      <c r="C27" s="206">
        <f t="shared" si="0"/>
        <v>21706.385365853661</v>
      </c>
      <c r="D27" s="363">
        <f>+Continental!A43</f>
        <v>37297</v>
      </c>
      <c r="E27" s="204" t="s">
        <v>85</v>
      </c>
      <c r="F27" s="204" t="s">
        <v>154</v>
      </c>
      <c r="G27" s="204" t="s">
        <v>115</v>
      </c>
      <c r="H27" s="204"/>
      <c r="I27" s="204"/>
      <c r="J27" s="204"/>
      <c r="K27" s="204"/>
      <c r="L27" s="204"/>
      <c r="M27" s="204"/>
      <c r="N27" s="469"/>
      <c r="O27" s="273"/>
      <c r="P27" s="273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ht="13.5" customHeight="1" x14ac:dyDescent="0.2">
      <c r="A28" s="204" t="s">
        <v>142</v>
      </c>
      <c r="B28" s="346">
        <f>+C28*$G$4</f>
        <v>42129.549999999996</v>
      </c>
      <c r="C28" s="347">
        <f>+PEPL!D41</f>
        <v>20551</v>
      </c>
      <c r="D28" s="363">
        <f>+PEPL!A41</f>
        <v>37297</v>
      </c>
      <c r="E28" s="204" t="s">
        <v>84</v>
      </c>
      <c r="F28" s="204" t="s">
        <v>301</v>
      </c>
      <c r="G28" s="204" t="s">
        <v>100</v>
      </c>
      <c r="H28" s="32"/>
      <c r="I28" s="204"/>
      <c r="J28" s="32"/>
      <c r="K28" s="32"/>
      <c r="L28" s="32"/>
      <c r="M28" s="32" t="s">
        <v>244</v>
      </c>
      <c r="N28" s="379">
        <v>26357</v>
      </c>
      <c r="O28" s="70">
        <v>44144.84</v>
      </c>
      <c r="P28" s="32" t="s">
        <v>247</v>
      </c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</row>
    <row r="29" spans="1:33" s="566" customFormat="1" ht="13.5" customHeight="1" x14ac:dyDescent="0.2">
      <c r="A29" s="204" t="s">
        <v>127</v>
      </c>
      <c r="B29" s="345">
        <f>+Calpine!D41</f>
        <v>39997.699999999997</v>
      </c>
      <c r="C29" s="206">
        <f>+B29/$G$4</f>
        <v>19511.073170731706</v>
      </c>
      <c r="D29" s="363">
        <f>+Calpine!A41</f>
        <v>37297</v>
      </c>
      <c r="E29" s="204" t="s">
        <v>85</v>
      </c>
      <c r="F29" s="204" t="s">
        <v>153</v>
      </c>
      <c r="G29" s="204" t="s">
        <v>99</v>
      </c>
      <c r="H29" s="204"/>
      <c r="I29" s="204"/>
      <c r="J29" s="204"/>
      <c r="K29" s="204"/>
      <c r="L29" s="204"/>
      <c r="M29" s="204"/>
      <c r="N29" s="469"/>
      <c r="O29" s="273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</row>
    <row r="30" spans="1:33" ht="15" customHeight="1" x14ac:dyDescent="0.2">
      <c r="A30" s="32" t="s">
        <v>110</v>
      </c>
      <c r="B30" s="345">
        <f>+C30*$G$4</f>
        <v>36053.35</v>
      </c>
      <c r="C30" s="275">
        <f>+CIG!D42</f>
        <v>17587</v>
      </c>
      <c r="D30" s="364">
        <f>+CIG!A42</f>
        <v>37290</v>
      </c>
      <c r="E30" s="204" t="s">
        <v>84</v>
      </c>
      <c r="F30" s="32" t="s">
        <v>154</v>
      </c>
      <c r="G30" s="32" t="s">
        <v>113</v>
      </c>
      <c r="H30" s="32"/>
      <c r="I30" s="32"/>
      <c r="J30" s="32"/>
      <c r="K30" s="32"/>
      <c r="L30" s="32"/>
      <c r="M30" s="32"/>
      <c r="N30" s="379"/>
      <c r="O30" s="70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ht="13.5" customHeight="1" x14ac:dyDescent="0.2">
      <c r="A31" s="32" t="s">
        <v>23</v>
      </c>
      <c r="B31" s="345">
        <f>+C31*$G$3</f>
        <v>34377.279999999999</v>
      </c>
      <c r="C31" s="347">
        <f>+'Red C'!$F$45</f>
        <v>16688</v>
      </c>
      <c r="D31" s="363">
        <f>+'Red C'!A45</f>
        <v>37296</v>
      </c>
      <c r="E31" s="204" t="s">
        <v>84</v>
      </c>
      <c r="F31" s="32" t="s">
        <v>153</v>
      </c>
      <c r="G31" s="32" t="s">
        <v>115</v>
      </c>
      <c r="H31" s="32"/>
      <c r="I31" s="32"/>
      <c r="J31" s="32"/>
      <c r="K31" s="32"/>
      <c r="L31" s="32"/>
      <c r="M31" s="32"/>
      <c r="N31" s="379"/>
      <c r="O31" s="70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spans="1:33" s="566" customFormat="1" ht="13.5" customHeight="1" x14ac:dyDescent="0.2">
      <c r="A32" s="32" t="s">
        <v>103</v>
      </c>
      <c r="B32" s="345">
        <f>+EOG!$J$41</f>
        <v>30994.91</v>
      </c>
      <c r="C32" s="275">
        <f t="shared" si="0"/>
        <v>15119.468292682928</v>
      </c>
      <c r="D32" s="363">
        <f>+EOG!A41</f>
        <v>37297</v>
      </c>
      <c r="E32" s="32" t="s">
        <v>85</v>
      </c>
      <c r="F32" s="32" t="s">
        <v>300</v>
      </c>
      <c r="G32" s="32" t="s">
        <v>102</v>
      </c>
      <c r="H32" s="32"/>
      <c r="I32" s="204"/>
      <c r="J32" s="204"/>
      <c r="K32" s="204"/>
      <c r="L32" s="204"/>
      <c r="M32" s="204"/>
      <c r="N32" s="469"/>
      <c r="O32" s="273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4"/>
      <c r="AD32" s="204"/>
      <c r="AE32" s="204"/>
      <c r="AF32" s="204"/>
      <c r="AG32" s="204"/>
    </row>
    <row r="33" spans="1:33" ht="13.5" customHeight="1" x14ac:dyDescent="0.2">
      <c r="A33" s="32" t="s">
        <v>6</v>
      </c>
      <c r="B33" s="345">
        <f>+Oasis!$D$40</f>
        <v>27079.23</v>
      </c>
      <c r="C33" s="206">
        <f>+B33/$G$5</f>
        <v>13145.257281553397</v>
      </c>
      <c r="D33" s="364">
        <f>+Oasis!A40</f>
        <v>37297</v>
      </c>
      <c r="E33" s="32" t="s">
        <v>85</v>
      </c>
      <c r="F33" s="32" t="s">
        <v>154</v>
      </c>
      <c r="G33" s="32" t="s">
        <v>102</v>
      </c>
      <c r="H33" s="32"/>
      <c r="I33" s="32"/>
      <c r="J33" s="32"/>
      <c r="K33" s="32"/>
      <c r="L33" s="32"/>
      <c r="M33" s="32"/>
      <c r="N33" s="379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3.5" customHeight="1" x14ac:dyDescent="0.2">
      <c r="A34" s="204" t="s">
        <v>71</v>
      </c>
      <c r="B34" s="346">
        <f>+transcol!$D$43</f>
        <v>26188.35</v>
      </c>
      <c r="C34" s="347">
        <f t="shared" si="0"/>
        <v>12774.804878048781</v>
      </c>
      <c r="D34" s="363">
        <f>+transcol!A43</f>
        <v>37296</v>
      </c>
      <c r="E34" s="204" t="s">
        <v>85</v>
      </c>
      <c r="F34" s="204" t="s">
        <v>153</v>
      </c>
      <c r="G34" s="204" t="s">
        <v>115</v>
      </c>
      <c r="H34" s="32"/>
      <c r="I34" s="32"/>
      <c r="J34" s="32"/>
      <c r="K34" s="32"/>
      <c r="L34" s="32"/>
      <c r="M34" s="32"/>
      <c r="N34" s="379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ht="13.5" customHeight="1" x14ac:dyDescent="0.2">
      <c r="A35" s="32" t="s">
        <v>281</v>
      </c>
      <c r="B35" s="345">
        <f>+'WTG inc'!N43</f>
        <v>23978.959999999999</v>
      </c>
      <c r="C35" s="275">
        <f t="shared" si="0"/>
        <v>11697.053658536586</v>
      </c>
      <c r="D35" s="364">
        <f>+'WTG inc'!A43</f>
        <v>37296</v>
      </c>
      <c r="E35" s="32" t="s">
        <v>85</v>
      </c>
      <c r="F35" s="32" t="s">
        <v>153</v>
      </c>
      <c r="G35" s="32" t="s">
        <v>115</v>
      </c>
      <c r="H35" s="204"/>
      <c r="I35" s="32"/>
      <c r="J35" s="32"/>
      <c r="K35" s="32"/>
      <c r="L35" s="32"/>
      <c r="M35" s="32"/>
      <c r="N35" s="379"/>
      <c r="O35" s="70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</row>
    <row r="36" spans="1:33" s="566" customFormat="1" ht="13.5" customHeight="1" x14ac:dyDescent="0.2">
      <c r="A36" s="204" t="s">
        <v>87</v>
      </c>
      <c r="B36" s="345">
        <f>+NNG!$D$24</f>
        <v>13519.85</v>
      </c>
      <c r="C36" s="275">
        <f>+B36/$G$4</f>
        <v>6595.0487804878057</v>
      </c>
      <c r="D36" s="363">
        <f>+NNG!A24</f>
        <v>37293</v>
      </c>
      <c r="E36" s="204" t="s">
        <v>85</v>
      </c>
      <c r="F36" s="204" t="s">
        <v>300</v>
      </c>
      <c r="G36" s="204" t="s">
        <v>100</v>
      </c>
      <c r="H36" s="204"/>
      <c r="I36" s="204"/>
      <c r="J36" s="204"/>
      <c r="K36" s="204"/>
      <c r="L36" s="204"/>
      <c r="M36" s="204"/>
      <c r="N36" s="469"/>
      <c r="O36" s="273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</row>
    <row r="37" spans="1:33" ht="13.5" customHeight="1" x14ac:dyDescent="0.2">
      <c r="A37" s="204" t="s">
        <v>147</v>
      </c>
      <c r="B37" s="345">
        <f>+PGETX!$H$39</f>
        <v>13077.3</v>
      </c>
      <c r="C37" s="275">
        <f>+B37/$G$4</f>
        <v>6379.1707317073169</v>
      </c>
      <c r="D37" s="363">
        <f>+PGETX!E39</f>
        <v>37296</v>
      </c>
      <c r="E37" s="204" t="s">
        <v>85</v>
      </c>
      <c r="F37" s="204" t="s">
        <v>154</v>
      </c>
      <c r="G37" s="204" t="s">
        <v>102</v>
      </c>
      <c r="H37" s="204"/>
      <c r="I37" s="32"/>
      <c r="J37" s="32"/>
      <c r="K37" s="32"/>
      <c r="L37" s="32"/>
      <c r="M37" s="32"/>
      <c r="N37" s="379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2.95" customHeight="1" x14ac:dyDescent="0.2">
      <c r="A38" s="32" t="s">
        <v>131</v>
      </c>
      <c r="B38" s="345">
        <f>+SidR!D41</f>
        <v>10238.459999999999</v>
      </c>
      <c r="C38" s="275">
        <f>+B38/$G$5</f>
        <v>4970.1262135922325</v>
      </c>
      <c r="D38" s="364">
        <f>+SidR!A41</f>
        <v>37292</v>
      </c>
      <c r="E38" s="32" t="s">
        <v>85</v>
      </c>
      <c r="F38" s="32" t="s">
        <v>152</v>
      </c>
      <c r="G38" s="32" t="s">
        <v>102</v>
      </c>
      <c r="H38" s="32"/>
      <c r="I38" s="32"/>
      <c r="J38" s="32"/>
      <c r="K38" s="32"/>
      <c r="L38" s="32"/>
      <c r="M38" s="32"/>
      <c r="N38" s="379"/>
      <c r="O38" s="70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3.5" customHeight="1" x14ac:dyDescent="0.2">
      <c r="A39" s="32" t="s">
        <v>289</v>
      </c>
      <c r="B39" s="348">
        <f>+C39*$G$3</f>
        <v>1027.94</v>
      </c>
      <c r="C39" s="71">
        <f>+Amoco!D40</f>
        <v>499</v>
      </c>
      <c r="D39" s="364">
        <f>+Amoco!A40</f>
        <v>37296</v>
      </c>
      <c r="E39" s="32" t="s">
        <v>84</v>
      </c>
      <c r="F39" s="32" t="s">
        <v>153</v>
      </c>
      <c r="G39" s="32" t="s">
        <v>115</v>
      </c>
      <c r="H39" s="32"/>
      <c r="I39" s="32"/>
      <c r="J39" s="32"/>
      <c r="K39" s="32"/>
      <c r="L39" s="32"/>
      <c r="M39" s="32"/>
      <c r="N39" s="379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8" customHeight="1" x14ac:dyDescent="0.2">
      <c r="A40" s="32" t="s">
        <v>96</v>
      </c>
      <c r="B40" s="47">
        <f>SUM(B8:B39)</f>
        <v>4466677.8499999996</v>
      </c>
      <c r="C40" s="69">
        <f>SUM(C8:C39)</f>
        <v>2176742.3083116268</v>
      </c>
      <c r="D40" s="203"/>
      <c r="E40" s="32"/>
      <c r="F40" s="32"/>
      <c r="G40" s="32"/>
      <c r="H40" s="32"/>
      <c r="I40" s="32"/>
      <c r="J40" s="32"/>
      <c r="K40" s="32"/>
      <c r="L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">
      <c r="A41" s="32"/>
      <c r="B41" s="47"/>
      <c r="C41" s="69"/>
      <c r="D41" s="203"/>
      <c r="E41" s="32"/>
      <c r="F41" s="350"/>
      <c r="G41" s="350"/>
      <c r="H41" s="32"/>
      <c r="I41" s="32"/>
      <c r="J41" s="32"/>
      <c r="K41" s="32"/>
      <c r="L41" s="32"/>
      <c r="M41" s="32"/>
      <c r="N41" s="379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5" customHeight="1" x14ac:dyDescent="0.2">
      <c r="A42" s="334" t="s">
        <v>89</v>
      </c>
      <c r="B42" s="335" t="s">
        <v>16</v>
      </c>
      <c r="C42" s="336" t="s">
        <v>0</v>
      </c>
      <c r="D42" s="343" t="s">
        <v>146</v>
      </c>
      <c r="E42" s="334" t="s">
        <v>90</v>
      </c>
      <c r="F42" s="337" t="s">
        <v>101</v>
      </c>
      <c r="G42" s="337" t="s">
        <v>101</v>
      </c>
      <c r="H42" s="334" t="s">
        <v>98</v>
      </c>
      <c r="I42" s="32"/>
      <c r="J42" s="32"/>
      <c r="K42" s="32"/>
      <c r="L42" s="32"/>
      <c r="M42" s="32"/>
      <c r="N42" s="379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5" customHeight="1" x14ac:dyDescent="0.2">
      <c r="A43" s="204" t="s">
        <v>135</v>
      </c>
      <c r="B43" s="345">
        <f>+Citizens!D18</f>
        <v>-550915.94000000006</v>
      </c>
      <c r="C43" s="206">
        <f>+B43/$G$4</f>
        <v>-268739.48292682931</v>
      </c>
      <c r="D43" s="363">
        <f>+Citizens!A18</f>
        <v>37297</v>
      </c>
      <c r="E43" s="204" t="s">
        <v>85</v>
      </c>
      <c r="F43" s="204" t="s">
        <v>301</v>
      </c>
      <c r="G43" s="204" t="s">
        <v>99</v>
      </c>
      <c r="H43" s="351"/>
      <c r="I43" s="32"/>
      <c r="J43" s="32"/>
      <c r="K43" s="32"/>
      <c r="L43" s="32"/>
      <c r="M43" s="32"/>
      <c r="N43" s="379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5" customHeight="1" x14ac:dyDescent="0.2">
      <c r="A44" s="32" t="s">
        <v>133</v>
      </c>
      <c r="B44" s="345">
        <f>+'NS Steel'!D41</f>
        <v>-284231.3</v>
      </c>
      <c r="C44" s="206">
        <f>+B44/$G$4</f>
        <v>-138649.41463414635</v>
      </c>
      <c r="D44" s="364">
        <f>+'NS Steel'!A41</f>
        <v>37296</v>
      </c>
      <c r="E44" s="32" t="s">
        <v>85</v>
      </c>
      <c r="F44" s="32" t="s">
        <v>154</v>
      </c>
      <c r="G44" s="32" t="s">
        <v>100</v>
      </c>
      <c r="H44" s="351"/>
      <c r="I44" s="32"/>
      <c r="J44" s="32"/>
      <c r="K44" s="32"/>
      <c r="L44" s="32"/>
      <c r="M44" s="32"/>
      <c r="N44" s="379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2.95" customHeight="1" x14ac:dyDescent="0.2">
      <c r="A45" s="204" t="s">
        <v>258</v>
      </c>
      <c r="B45" s="345">
        <f>+MiVida_Rich!D41</f>
        <v>-192285.66</v>
      </c>
      <c r="C45" s="206">
        <f>+B45/$G$5</f>
        <v>-93342.553398058255</v>
      </c>
      <c r="D45" s="363">
        <f>+MiVida_Rich!A41</f>
        <v>37287</v>
      </c>
      <c r="E45" s="204" t="s">
        <v>85</v>
      </c>
      <c r="F45" s="204" t="s">
        <v>152</v>
      </c>
      <c r="G45" s="204" t="s">
        <v>102</v>
      </c>
      <c r="H45" s="351"/>
      <c r="I45" s="32"/>
      <c r="J45" s="32"/>
      <c r="K45" s="32"/>
      <c r="L45" s="32"/>
      <c r="M45" s="32"/>
      <c r="N45" s="379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ht="12.95" customHeight="1" x14ac:dyDescent="0.2">
      <c r="A46" s="32" t="s">
        <v>216</v>
      </c>
      <c r="B46" s="345">
        <f>+crosstex!F41</f>
        <v>-134584.64000000001</v>
      </c>
      <c r="C46" s="206">
        <f>+B46/$G$4</f>
        <v>-65651.043902439036</v>
      </c>
      <c r="D46" s="364">
        <f>+crosstex!A41</f>
        <v>37296</v>
      </c>
      <c r="E46" s="32" t="s">
        <v>85</v>
      </c>
      <c r="F46" s="32" t="s">
        <v>152</v>
      </c>
      <c r="G46" s="32" t="s">
        <v>100</v>
      </c>
      <c r="H46" s="351"/>
      <c r="I46" s="32"/>
      <c r="J46" s="32"/>
      <c r="K46" s="32"/>
      <c r="L46" s="32"/>
      <c r="M46" s="32"/>
      <c r="N46" s="379"/>
      <c r="O46" s="70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s="567" customFormat="1" ht="13.5" customHeight="1" x14ac:dyDescent="0.2">
      <c r="A47" s="204" t="s">
        <v>313</v>
      </c>
      <c r="B47" s="346">
        <f>+Duke!B83</f>
        <v>-117454.36999999965</v>
      </c>
      <c r="C47" s="347">
        <f>+B47/$G$5</f>
        <v>-57016.684466019244</v>
      </c>
      <c r="D47" s="363">
        <f>+DEFS!A40</f>
        <v>37290</v>
      </c>
      <c r="E47" s="204" t="s">
        <v>85</v>
      </c>
      <c r="F47" s="32" t="s">
        <v>153</v>
      </c>
      <c r="G47" s="32" t="s">
        <v>100</v>
      </c>
      <c r="H47" s="32" t="s">
        <v>309</v>
      </c>
      <c r="I47" s="249"/>
      <c r="J47" s="249"/>
      <c r="K47" s="249"/>
      <c r="L47" s="249"/>
      <c r="M47" s="32"/>
      <c r="N47" s="469"/>
      <c r="O47" s="273"/>
      <c r="P47" s="249"/>
      <c r="Q47" s="249"/>
      <c r="R47" s="249"/>
      <c r="S47" s="249"/>
      <c r="T47" s="249"/>
      <c r="U47" s="249"/>
      <c r="V47" s="249"/>
      <c r="W47" s="249"/>
      <c r="X47" s="249"/>
      <c r="Y47" s="249"/>
      <c r="Z47" s="249"/>
      <c r="AA47" s="249"/>
      <c r="AB47" s="249"/>
      <c r="AC47" s="249"/>
      <c r="AD47" s="249"/>
      <c r="AE47" s="249"/>
      <c r="AF47" s="249"/>
      <c r="AG47" s="249"/>
    </row>
    <row r="48" spans="1:33" ht="13.5" customHeight="1" x14ac:dyDescent="0.2">
      <c r="A48" s="32" t="s">
        <v>1</v>
      </c>
      <c r="B48" s="345">
        <f>+C48*$G$3</f>
        <v>-89640.900000000009</v>
      </c>
      <c r="C48" s="206">
        <f>+NW!$F$41</f>
        <v>-43515</v>
      </c>
      <c r="D48" s="363">
        <f>+NW!B41</f>
        <v>37297</v>
      </c>
      <c r="E48" s="32" t="s">
        <v>84</v>
      </c>
      <c r="F48" s="32" t="s">
        <v>153</v>
      </c>
      <c r="G48" s="32" t="s">
        <v>115</v>
      </c>
      <c r="H48" s="351"/>
      <c r="I48" s="32"/>
      <c r="J48" s="32"/>
      <c r="K48" s="32"/>
      <c r="L48" s="32"/>
      <c r="M48" s="32"/>
      <c r="N48" s="379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s="566" customFormat="1" ht="13.5" customHeight="1" x14ac:dyDescent="0.2">
      <c r="A49" s="204" t="s">
        <v>204</v>
      </c>
      <c r="B49" s="346">
        <f>+WTGmktg!J43</f>
        <v>-34633.42</v>
      </c>
      <c r="C49" s="206">
        <f>+B49/$G$4</f>
        <v>-16894.351219512195</v>
      </c>
      <c r="D49" s="363">
        <f>+WTGmktg!A43</f>
        <v>37290</v>
      </c>
      <c r="E49" s="32" t="s">
        <v>85</v>
      </c>
      <c r="F49" s="204" t="s">
        <v>153</v>
      </c>
      <c r="G49" s="204" t="s">
        <v>115</v>
      </c>
      <c r="H49" s="204"/>
      <c r="I49" s="204"/>
      <c r="J49" s="204"/>
      <c r="K49" s="204"/>
      <c r="L49" s="204"/>
      <c r="M49" s="204"/>
      <c r="N49" s="469"/>
      <c r="O49" s="273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</row>
    <row r="50" spans="1:33" s="566" customFormat="1" ht="13.5" customHeight="1" x14ac:dyDescent="0.2">
      <c r="A50" s="32" t="s">
        <v>278</v>
      </c>
      <c r="B50" s="345">
        <f>+SWGasTrans!$D$41</f>
        <v>-26512.92</v>
      </c>
      <c r="C50" s="275">
        <f>+B50/$G$4</f>
        <v>-12933.131707317074</v>
      </c>
      <c r="D50" s="363">
        <f>+SWGasTrans!A41</f>
        <v>37297</v>
      </c>
      <c r="E50" s="32" t="s">
        <v>85</v>
      </c>
      <c r="F50" s="32" t="s">
        <v>153</v>
      </c>
      <c r="G50" s="32" t="s">
        <v>99</v>
      </c>
      <c r="H50" s="32"/>
      <c r="I50" s="204"/>
      <c r="J50" s="204"/>
      <c r="K50" s="204"/>
      <c r="L50" s="204"/>
      <c r="M50" s="204" t="s">
        <v>243</v>
      </c>
      <c r="N50" s="469">
        <v>24268</v>
      </c>
      <c r="O50" s="273">
        <v>1481856.66</v>
      </c>
      <c r="P50" s="273">
        <f>+O50</f>
        <v>1481856.66</v>
      </c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</row>
    <row r="51" spans="1:33" s="566" customFormat="1" ht="13.5" customHeight="1" x14ac:dyDescent="0.2">
      <c r="A51" s="204" t="s">
        <v>28</v>
      </c>
      <c r="B51" s="345">
        <f>+C51*$G$3</f>
        <v>-26059</v>
      </c>
      <c r="C51" s="275">
        <f>+williams!J40</f>
        <v>-12650</v>
      </c>
      <c r="D51" s="363">
        <f>+williams!A40</f>
        <v>37297</v>
      </c>
      <c r="E51" s="204" t="s">
        <v>85</v>
      </c>
      <c r="F51" s="204" t="s">
        <v>154</v>
      </c>
      <c r="G51" s="204" t="s">
        <v>291</v>
      </c>
      <c r="H51" s="204"/>
      <c r="I51" s="204"/>
      <c r="J51" s="204"/>
      <c r="K51" s="204"/>
      <c r="L51" s="204"/>
      <c r="M51" s="204"/>
      <c r="N51" s="469"/>
      <c r="O51" s="273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s="566" customFormat="1" ht="13.5" customHeight="1" x14ac:dyDescent="0.2">
      <c r="A52" s="204" t="s">
        <v>95</v>
      </c>
      <c r="B52" s="348">
        <f>+burlington!D42</f>
        <v>-15598.96</v>
      </c>
      <c r="C52" s="71">
        <f>+B52/$G$3</f>
        <v>-7572.3106796116499</v>
      </c>
      <c r="D52" s="363">
        <f>+burlington!A42</f>
        <v>37290</v>
      </c>
      <c r="E52" s="204" t="s">
        <v>85</v>
      </c>
      <c r="F52" s="32" t="s">
        <v>154</v>
      </c>
      <c r="G52" s="32" t="s">
        <v>113</v>
      </c>
      <c r="H52" s="32"/>
      <c r="I52" s="204"/>
      <c r="J52" s="204"/>
      <c r="K52" s="204"/>
      <c r="L52" s="204"/>
      <c r="M52" s="204"/>
      <c r="N52" s="469"/>
      <c r="O52" s="273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ht="15" customHeight="1" x14ac:dyDescent="0.2">
      <c r="A53" s="32" t="s">
        <v>97</v>
      </c>
      <c r="B53" s="345">
        <f>SUM(B43:B52)</f>
        <v>-1471917.1099999994</v>
      </c>
      <c r="C53" s="206">
        <f>SUM(C43:C52)</f>
        <v>-716963.97293393314</v>
      </c>
      <c r="D53" s="352"/>
      <c r="E53" s="32"/>
      <c r="F53" s="32"/>
      <c r="G53" s="32"/>
      <c r="H53" s="32"/>
      <c r="I53" s="32"/>
      <c r="J53" s="32"/>
      <c r="K53" s="32"/>
      <c r="L53" s="32"/>
      <c r="M53" s="32"/>
      <c r="N53" s="379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2" customHeight="1" x14ac:dyDescent="0.2">
      <c r="A54" s="32"/>
      <c r="B54" s="348"/>
      <c r="C54" s="71"/>
      <c r="D54" s="203"/>
      <c r="E54" s="32"/>
      <c r="F54" s="32"/>
      <c r="G54" s="32"/>
      <c r="H54" s="32"/>
      <c r="I54" s="32"/>
      <c r="J54" s="32"/>
      <c r="K54" s="32"/>
      <c r="L54" s="32"/>
      <c r="M54" s="32"/>
      <c r="N54" s="379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3.5" thickBot="1" x14ac:dyDescent="0.25">
      <c r="A55" s="2" t="s">
        <v>91</v>
      </c>
      <c r="B55" s="353">
        <f>+B53+B40</f>
        <v>2994760.74</v>
      </c>
      <c r="C55" s="354">
        <f>+C53+C40</f>
        <v>1459778.3353776936</v>
      </c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79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thickTop="1" x14ac:dyDescent="0.2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79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">
      <c r="A57" s="2" t="s">
        <v>92</v>
      </c>
      <c r="B57" s="47"/>
      <c r="C57" s="291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79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79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79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79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I61" s="32"/>
      <c r="J61" s="32"/>
      <c r="K61" s="32"/>
      <c r="L61" s="32"/>
      <c r="M61" s="32"/>
      <c r="N61" s="379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I62" s="32"/>
      <c r="J62" s="32"/>
      <c r="K62" s="32"/>
      <c r="L62" s="32"/>
      <c r="M62" s="32"/>
      <c r="N62" s="379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I63" s="32"/>
      <c r="J63" s="32"/>
      <c r="K63" s="32"/>
      <c r="L63" s="32"/>
      <c r="M63" s="32"/>
      <c r="N63" s="379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I64" s="32"/>
      <c r="J64" s="32"/>
      <c r="K64" s="32"/>
      <c r="L64" s="32"/>
      <c r="M64" s="32"/>
      <c r="N64" s="379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I65" s="32"/>
      <c r="J65" s="32"/>
      <c r="K65" s="32"/>
      <c r="L65" s="32"/>
      <c r="M65" s="32"/>
      <c r="N65" s="379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I66" s="32"/>
      <c r="J66" s="32"/>
      <c r="K66" s="32"/>
      <c r="L66" s="32"/>
      <c r="M66" s="32"/>
      <c r="N66" s="379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I67" s="32"/>
      <c r="J67" s="32"/>
      <c r="K67" s="32"/>
      <c r="L67" s="32"/>
      <c r="M67" s="32"/>
      <c r="N67" s="379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I68" s="32"/>
      <c r="J68" s="32"/>
      <c r="K68" s="32"/>
      <c r="L68" s="32"/>
      <c r="M68" s="32"/>
      <c r="N68" s="379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79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A70" s="2" t="s">
        <v>261</v>
      </c>
      <c r="B70" s="47"/>
      <c r="C70" s="69"/>
      <c r="D70" s="203"/>
      <c r="E70" s="32"/>
      <c r="F70" s="32"/>
      <c r="G70" s="32"/>
      <c r="H70" s="32"/>
      <c r="I70" s="32"/>
      <c r="J70" s="32"/>
      <c r="K70" s="32"/>
      <c r="L70" s="32"/>
      <c r="M70" s="32"/>
      <c r="N70" s="379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A71" s="32" t="s">
        <v>259</v>
      </c>
      <c r="B71" s="47"/>
      <c r="C71" s="69"/>
      <c r="D71" s="203"/>
      <c r="E71" s="32"/>
      <c r="F71" s="32"/>
      <c r="G71" s="32"/>
      <c r="H71" s="32"/>
      <c r="I71" s="32"/>
      <c r="J71" s="32"/>
      <c r="K71" s="32"/>
      <c r="L71" s="32"/>
      <c r="M71" s="32"/>
      <c r="N71" s="379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A72" s="32" t="s">
        <v>260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79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A73" s="32"/>
      <c r="B73" s="355"/>
      <c r="C73" s="356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79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A74" s="2" t="s">
        <v>262</v>
      </c>
      <c r="B74" s="75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79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A75" s="32" t="s">
        <v>263</v>
      </c>
      <c r="B75" s="75">
        <v>16841.21</v>
      </c>
      <c r="C75" s="69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79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A76" s="32" t="s">
        <v>265</v>
      </c>
      <c r="B76" s="75">
        <v>-8065.83</v>
      </c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79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A77" s="32" t="s">
        <v>266</v>
      </c>
      <c r="B77" s="601">
        <v>0</v>
      </c>
      <c r="C77" s="69"/>
      <c r="D77" s="357"/>
      <c r="E77" s="32"/>
      <c r="F77" s="32"/>
      <c r="G77" s="32"/>
      <c r="H77" s="32"/>
      <c r="I77" s="32"/>
      <c r="J77" s="32"/>
      <c r="K77" s="32"/>
      <c r="L77" s="32"/>
      <c r="M77" s="32"/>
      <c r="N77" s="379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A78" s="32" t="s">
        <v>267</v>
      </c>
      <c r="B78" s="601">
        <v>-787.11</v>
      </c>
      <c r="C78" s="291"/>
      <c r="D78" s="359"/>
      <c r="E78" s="32"/>
      <c r="F78" s="32"/>
      <c r="G78" s="32"/>
      <c r="H78" s="32"/>
      <c r="I78" s="32"/>
      <c r="J78" s="32"/>
      <c r="K78" s="32"/>
      <c r="L78" s="32"/>
      <c r="M78" s="32"/>
      <c r="N78" s="379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A79" s="32" t="s">
        <v>268</v>
      </c>
      <c r="B79" s="601">
        <v>7808.63</v>
      </c>
      <c r="C79" s="291"/>
      <c r="D79" s="360"/>
      <c r="E79" s="32"/>
      <c r="F79" s="32"/>
      <c r="G79" s="32"/>
      <c r="H79" s="32"/>
      <c r="I79" s="32"/>
      <c r="J79" s="32"/>
      <c r="K79" s="32"/>
      <c r="L79" s="32"/>
      <c r="M79" s="32"/>
      <c r="N79" s="379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A80" s="32" t="s">
        <v>269</v>
      </c>
      <c r="B80" s="601">
        <v>7679.44</v>
      </c>
      <c r="C80" s="492"/>
      <c r="D80" s="203"/>
      <c r="E80" s="32"/>
      <c r="F80" s="32"/>
      <c r="G80" s="32"/>
      <c r="H80" s="32"/>
      <c r="I80" s="32"/>
      <c r="J80" s="32"/>
      <c r="K80" s="32"/>
      <c r="L80" s="32"/>
      <c r="M80" s="32"/>
      <c r="N80" s="379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">
      <c r="A81" s="32" t="s">
        <v>271</v>
      </c>
      <c r="B81" s="606">
        <v>-1851.26</v>
      </c>
      <c r="C81" s="492"/>
      <c r="D81" s="203"/>
      <c r="E81" s="32"/>
      <c r="F81" s="32"/>
      <c r="G81" s="32"/>
      <c r="H81" s="32"/>
      <c r="I81" s="32"/>
      <c r="J81" s="32"/>
      <c r="K81" s="32"/>
      <c r="L81" s="32"/>
      <c r="M81" s="32"/>
      <c r="N81" s="379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">
      <c r="A82" s="32" t="s">
        <v>273</v>
      </c>
      <c r="B82" s="581">
        <v>-27278.52</v>
      </c>
      <c r="C82" s="492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79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">
      <c r="A83" s="32" t="s">
        <v>274</v>
      </c>
      <c r="B83" s="517">
        <v>8356.0499999999993</v>
      </c>
      <c r="C83" s="568"/>
      <c r="D83" s="357"/>
      <c r="E83" s="32"/>
      <c r="F83" s="32"/>
      <c r="G83" s="32"/>
      <c r="H83" s="32"/>
      <c r="I83" s="32"/>
      <c r="J83" s="32"/>
      <c r="K83" s="32"/>
      <c r="L83" s="32"/>
      <c r="M83" s="32"/>
      <c r="N83" s="379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">
      <c r="A84" s="32" t="s">
        <v>275</v>
      </c>
      <c r="B84" s="607">
        <f>775*2.08</f>
        <v>1612</v>
      </c>
      <c r="C84" s="568"/>
      <c r="D84" s="357"/>
      <c r="E84" s="32"/>
      <c r="F84" s="32"/>
      <c r="G84" s="32"/>
      <c r="H84" s="32"/>
      <c r="I84" s="32"/>
      <c r="J84" s="32"/>
      <c r="K84" s="32"/>
      <c r="L84" s="32"/>
      <c r="M84" s="32"/>
      <c r="N84" s="379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">
      <c r="A85" s="32" t="s">
        <v>272</v>
      </c>
      <c r="B85" s="15">
        <f>44144.84-58339.66</f>
        <v>-14194.820000000007</v>
      </c>
      <c r="C85" s="568">
        <v>26357</v>
      </c>
      <c r="D85" s="203"/>
      <c r="E85" s="32"/>
      <c r="F85" s="32"/>
      <c r="G85" s="32"/>
      <c r="H85" s="32"/>
      <c r="I85" s="32"/>
      <c r="J85" s="32"/>
      <c r="K85" s="32"/>
      <c r="L85" s="32"/>
      <c r="M85" s="32"/>
      <c r="N85" s="379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">
      <c r="A86" s="32" t="s">
        <v>272</v>
      </c>
      <c r="B86" s="15">
        <v>-51695.87</v>
      </c>
      <c r="C86" s="568">
        <v>20379</v>
      </c>
      <c r="D86" s="203"/>
      <c r="E86" s="32"/>
      <c r="F86" s="32"/>
      <c r="G86" s="32"/>
      <c r="H86" s="32"/>
      <c r="I86" s="32"/>
      <c r="J86" s="32"/>
      <c r="K86" s="32"/>
      <c r="L86" s="32"/>
      <c r="M86" s="32"/>
      <c r="N86" s="379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">
      <c r="A87" s="32" t="s">
        <v>272</v>
      </c>
      <c r="B87" s="15">
        <v>61340.160000000003</v>
      </c>
      <c r="C87" s="568">
        <v>21544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79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">
      <c r="A88" s="32" t="s">
        <v>293</v>
      </c>
      <c r="B88" s="581">
        <v>-1702.75</v>
      </c>
      <c r="C88" s="568"/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79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">
      <c r="A89" s="32" t="s">
        <v>279</v>
      </c>
      <c r="B89" s="581">
        <v>-1664.28</v>
      </c>
      <c r="C89" s="568"/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79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">
      <c r="A90" s="32" t="s">
        <v>264</v>
      </c>
      <c r="B90" s="519">
        <v>-35893</v>
      </c>
      <c r="C90" s="492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79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">
      <c r="A91" s="32" t="s">
        <v>270</v>
      </c>
      <c r="B91" s="15">
        <v>3338.45</v>
      </c>
      <c r="C91" s="492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79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">
      <c r="A92" s="32" t="s">
        <v>294</v>
      </c>
      <c r="B92" s="605">
        <v>4589.1400000000003</v>
      </c>
      <c r="C92" s="492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79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">
      <c r="A93" s="32" t="s">
        <v>295</v>
      </c>
      <c r="B93" s="518">
        <v>-725.46</v>
      </c>
      <c r="C93" s="492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79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">
      <c r="A94" s="32"/>
      <c r="B94" s="47"/>
      <c r="C94" s="69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79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">
      <c r="A95" s="32"/>
      <c r="B95" s="16">
        <f>SUM(B75:B94)</f>
        <v>-32293.820000000007</v>
      </c>
      <c r="C95" s="69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79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79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A97" s="32"/>
      <c r="B97" s="47"/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79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79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79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79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79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79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79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79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79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79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79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79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79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79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79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79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79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79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79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79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79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79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79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79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79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79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79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79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79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79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79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79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79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79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79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79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79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79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79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79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79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79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79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79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79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79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79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79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79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79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79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79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79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79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79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79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79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79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79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79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79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79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79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79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79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79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79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79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79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79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79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79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79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79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79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79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79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79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79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79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79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79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79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79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79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79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79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79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79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79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79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79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79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79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79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79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79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79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79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79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79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79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79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79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79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79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79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79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79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79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79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79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79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79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79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79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79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79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79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79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79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79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79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79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79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79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79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79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79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79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79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79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79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79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79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79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79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79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79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79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79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79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79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79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79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79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79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79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79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79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79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79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79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79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79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79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79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79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79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79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79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79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79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79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79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79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79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79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79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79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79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79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79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79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79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79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79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79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79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79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79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79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79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79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79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79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79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79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79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79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79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79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79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79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79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79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79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79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79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79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79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79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79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79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79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79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79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79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79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79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79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79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79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79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79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79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79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79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79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79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79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B18" sqref="B18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/>
      <c r="C6" s="80"/>
      <c r="D6" s="80">
        <f t="shared" ref="D6:D14" si="0">+C6-B6</f>
        <v>0</v>
      </c>
    </row>
    <row r="7" spans="1:4" x14ac:dyDescent="0.2">
      <c r="A7" s="32">
        <v>3531</v>
      </c>
      <c r="B7" s="309">
        <v>-177490</v>
      </c>
      <c r="C7" s="80">
        <v>-72411</v>
      </c>
      <c r="D7" s="80">
        <f t="shared" si="0"/>
        <v>105079</v>
      </c>
    </row>
    <row r="8" spans="1:4" x14ac:dyDescent="0.2">
      <c r="A8" s="32">
        <v>60667</v>
      </c>
      <c r="B8" s="309">
        <v>-14</v>
      </c>
      <c r="C8" s="80">
        <v>-221407</v>
      </c>
      <c r="D8" s="80">
        <f t="shared" si="0"/>
        <v>-221393</v>
      </c>
    </row>
    <row r="9" spans="1:4" x14ac:dyDescent="0.2">
      <c r="A9" s="32">
        <v>60749</v>
      </c>
      <c r="B9" s="309">
        <v>48196</v>
      </c>
      <c r="C9" s="80">
        <v>6315</v>
      </c>
      <c r="D9" s="80">
        <f t="shared" si="0"/>
        <v>-41881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-159652</v>
      </c>
      <c r="C11" s="80"/>
      <c r="D11" s="80">
        <f t="shared" si="0"/>
        <v>159652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1457</v>
      </c>
    </row>
    <row r="19" spans="1:5" x14ac:dyDescent="0.2">
      <c r="A19" s="32" t="s">
        <v>81</v>
      </c>
      <c r="B19" s="69"/>
      <c r="C19" s="69"/>
      <c r="D19" s="73">
        <f>+summary!G4</f>
        <v>2.0499999999999998</v>
      </c>
    </row>
    <row r="20" spans="1:5" x14ac:dyDescent="0.2">
      <c r="B20" s="69"/>
      <c r="C20" s="69"/>
      <c r="D20" s="75">
        <f>+D19*D18</f>
        <v>2986.85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37287</v>
      </c>
      <c r="B22" s="69"/>
      <c r="C22" s="80"/>
      <c r="D22" s="522">
        <v>10533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37293</v>
      </c>
      <c r="B24" s="69"/>
      <c r="C24" s="69"/>
      <c r="D24" s="331">
        <f>+D22+D20</f>
        <v>13519.85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23">
        <v>3422</v>
      </c>
    </row>
    <row r="33" spans="1:4" x14ac:dyDescent="0.2">
      <c r="A33" s="49">
        <f>+A24</f>
        <v>37293</v>
      </c>
      <c r="D33" s="349">
        <f>+D18</f>
        <v>1457</v>
      </c>
    </row>
    <row r="34" spans="1:4" x14ac:dyDescent="0.2">
      <c r="D34" s="14">
        <f>+D33+D32</f>
        <v>4879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13" workbookViewId="0">
      <selection activeCell="C14" sqref="C14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4" customWidth="1"/>
  </cols>
  <sheetData>
    <row r="3" spans="1:13" x14ac:dyDescent="0.2">
      <c r="A3" s="3" t="s">
        <v>83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9236</v>
      </c>
      <c r="B5" s="90">
        <v>-44399</v>
      </c>
      <c r="C5" s="90">
        <v>-19545</v>
      </c>
      <c r="D5" s="90">
        <f t="shared" ref="D5:D13" si="0">+C5-B5</f>
        <v>24854</v>
      </c>
      <c r="E5" s="69"/>
      <c r="F5" s="201"/>
    </row>
    <row r="6" spans="1:13" x14ac:dyDescent="0.2">
      <c r="A6" s="87">
        <v>9238</v>
      </c>
      <c r="B6" s="90">
        <v>-10674</v>
      </c>
      <c r="C6" s="90">
        <v>-10000</v>
      </c>
      <c r="D6" s="90">
        <f t="shared" si="0"/>
        <v>674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">
      <c r="A7" s="87">
        <v>56422</v>
      </c>
      <c r="B7" s="90">
        <f>-897353-84325</f>
        <v>-981678</v>
      </c>
      <c r="C7" s="90">
        <v>-837751</v>
      </c>
      <c r="D7" s="90">
        <f t="shared" si="0"/>
        <v>143927</v>
      </c>
      <c r="E7" s="275"/>
      <c r="F7" s="201"/>
    </row>
    <row r="8" spans="1:13" x14ac:dyDescent="0.2">
      <c r="A8" s="87">
        <v>58710</v>
      </c>
      <c r="B8" s="90">
        <v>-4936</v>
      </c>
      <c r="C8" s="90">
        <v>-31067</v>
      </c>
      <c r="D8" s="90">
        <f t="shared" si="0"/>
        <v>-26131</v>
      </c>
      <c r="E8" s="275"/>
      <c r="F8" s="201"/>
    </row>
    <row r="9" spans="1:13" x14ac:dyDescent="0.2">
      <c r="A9" s="87">
        <v>60921</v>
      </c>
      <c r="B9" s="90">
        <v>-780807</v>
      </c>
      <c r="C9" s="90">
        <v>-900879</v>
      </c>
      <c r="D9" s="90">
        <f t="shared" si="0"/>
        <v>-120072</v>
      </c>
      <c r="E9" s="275"/>
      <c r="F9" s="201"/>
    </row>
    <row r="10" spans="1:13" x14ac:dyDescent="0.2">
      <c r="A10" s="87">
        <v>78026</v>
      </c>
      <c r="B10" s="90"/>
      <c r="C10" s="90">
        <v>5500</v>
      </c>
      <c r="D10" s="90">
        <f t="shared" si="0"/>
        <v>5500</v>
      </c>
      <c r="E10" s="275"/>
      <c r="F10" s="465"/>
    </row>
    <row r="11" spans="1:13" x14ac:dyDescent="0.2">
      <c r="A11" s="87">
        <v>500084</v>
      </c>
      <c r="B11" s="90">
        <v>-23420</v>
      </c>
      <c r="C11" s="90">
        <v>-30000</v>
      </c>
      <c r="D11" s="90">
        <f t="shared" si="0"/>
        <v>-6580</v>
      </c>
      <c r="E11" s="276"/>
      <c r="F11" s="465"/>
    </row>
    <row r="12" spans="1:13" x14ac:dyDescent="0.2">
      <c r="A12" s="317">
        <v>500085</v>
      </c>
      <c r="B12" s="90">
        <v>-3589</v>
      </c>
      <c r="C12" s="90"/>
      <c r="D12" s="90">
        <f t="shared" si="0"/>
        <v>3589</v>
      </c>
      <c r="E12" s="275"/>
      <c r="F12" s="465"/>
    </row>
    <row r="13" spans="1:13" x14ac:dyDescent="0.2">
      <c r="A13" s="87">
        <v>500097</v>
      </c>
      <c r="B13" s="90">
        <v>-39044</v>
      </c>
      <c r="C13" s="90">
        <v>-40000</v>
      </c>
      <c r="D13" s="90">
        <f t="shared" si="0"/>
        <v>-956</v>
      </c>
      <c r="E13" s="275"/>
      <c r="F13" s="465"/>
    </row>
    <row r="14" spans="1:13" x14ac:dyDescent="0.2">
      <c r="A14" s="87"/>
      <c r="B14" s="90"/>
      <c r="C14" s="90"/>
      <c r="D14" s="90"/>
      <c r="E14" s="275"/>
      <c r="F14" s="465"/>
    </row>
    <row r="15" spans="1:13" x14ac:dyDescent="0.2">
      <c r="A15" s="87"/>
      <c r="B15" s="90"/>
      <c r="C15" s="90"/>
      <c r="D15" s="90"/>
      <c r="E15" s="275"/>
      <c r="F15" s="465"/>
    </row>
    <row r="16" spans="1:13" x14ac:dyDescent="0.2">
      <c r="A16" s="87"/>
      <c r="B16" s="88"/>
      <c r="C16" s="88"/>
      <c r="D16" s="94"/>
      <c r="E16" s="275"/>
      <c r="F16" s="465"/>
    </row>
    <row r="17" spans="1:7" x14ac:dyDescent="0.2">
      <c r="A17" s="87"/>
      <c r="B17" s="88"/>
      <c r="C17" s="88"/>
      <c r="D17" s="88">
        <f>SUM(D5:D16)</f>
        <v>24805</v>
      </c>
      <c r="E17" s="275"/>
      <c r="F17" s="465"/>
    </row>
    <row r="18" spans="1:7" x14ac:dyDescent="0.2">
      <c r="A18" s="87" t="s">
        <v>81</v>
      </c>
      <c r="B18" s="88"/>
      <c r="C18" s="88"/>
      <c r="D18" s="95">
        <f>+summary!G4</f>
        <v>2.0499999999999998</v>
      </c>
      <c r="E18" s="277"/>
      <c r="F18" s="465"/>
    </row>
    <row r="19" spans="1:7" x14ac:dyDescent="0.2">
      <c r="A19" s="87"/>
      <c r="B19" s="88"/>
      <c r="C19" s="88"/>
      <c r="D19" s="96">
        <f>+D18*D17</f>
        <v>50850.249999999993</v>
      </c>
      <c r="E19" s="207"/>
      <c r="F19" s="465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37287</v>
      </c>
      <c r="B21" s="88"/>
      <c r="C21" s="88"/>
      <c r="D21" s="574">
        <v>835344.24</v>
      </c>
      <c r="E21" s="207"/>
      <c r="F21" s="466"/>
    </row>
    <row r="22" spans="1:7" x14ac:dyDescent="0.2">
      <c r="A22" s="87"/>
      <c r="B22" s="88"/>
      <c r="C22" s="88"/>
      <c r="D22" s="308"/>
      <c r="E22" s="207"/>
      <c r="F22" s="466"/>
    </row>
    <row r="23" spans="1:7" ht="13.5" thickBot="1" x14ac:dyDescent="0.25">
      <c r="A23" s="99">
        <v>37297</v>
      </c>
      <c r="B23" s="88"/>
      <c r="C23" s="88"/>
      <c r="D23" s="318">
        <f>+D21+D19</f>
        <v>886194.49</v>
      </c>
      <c r="E23" s="207"/>
      <c r="F23" s="466"/>
    </row>
    <row r="24" spans="1:7" ht="13.5" thickTop="1" x14ac:dyDescent="0.2">
      <c r="E24" s="278"/>
    </row>
    <row r="25" spans="1:7" x14ac:dyDescent="0.2">
      <c r="E25" s="500"/>
    </row>
    <row r="27" spans="1:7" x14ac:dyDescent="0.2">
      <c r="A27" s="32" t="s">
        <v>149</v>
      </c>
      <c r="B27" s="32"/>
      <c r="C27" s="32"/>
      <c r="D27" s="32"/>
    </row>
    <row r="28" spans="1:7" x14ac:dyDescent="0.2">
      <c r="A28" s="49">
        <f>+A21</f>
        <v>37287</v>
      </c>
      <c r="B28" s="32"/>
      <c r="C28" s="32"/>
      <c r="D28" s="486">
        <v>340221</v>
      </c>
    </row>
    <row r="29" spans="1:7" x14ac:dyDescent="0.2">
      <c r="A29" s="49">
        <f>+A23</f>
        <v>37297</v>
      </c>
      <c r="B29" s="32"/>
      <c r="C29" s="32"/>
      <c r="D29" s="349">
        <f>+D17</f>
        <v>24805</v>
      </c>
    </row>
    <row r="30" spans="1:7" x14ac:dyDescent="0.2">
      <c r="A30" s="32"/>
      <c r="B30" s="32"/>
      <c r="C30" s="32"/>
      <c r="D30" s="14">
        <f>+D29+D28</f>
        <v>365026</v>
      </c>
      <c r="E30" s="344"/>
    </row>
    <row r="31" spans="1:7" x14ac:dyDescent="0.2">
      <c r="A31" s="139"/>
      <c r="B31" s="119"/>
      <c r="C31" s="140"/>
      <c r="D31" s="530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5"/>
      <c r="G44" s="204"/>
    </row>
    <row r="45" spans="1:7" x14ac:dyDescent="0.2">
      <c r="B45" s="69"/>
      <c r="C45" s="69"/>
      <c r="D45" s="292"/>
      <c r="E45" s="275"/>
      <c r="F45" s="465"/>
      <c r="G45" s="204"/>
    </row>
    <row r="46" spans="1:7" x14ac:dyDescent="0.2">
      <c r="A46" s="32"/>
      <c r="B46" s="69"/>
      <c r="C46" s="69"/>
      <c r="D46" s="275"/>
      <c r="E46" s="275"/>
      <c r="F46" s="465"/>
      <c r="G46" s="204"/>
    </row>
    <row r="47" spans="1:7" x14ac:dyDescent="0.2">
      <c r="A47" s="32"/>
      <c r="B47" s="69"/>
      <c r="C47" s="69"/>
      <c r="D47" s="277"/>
      <c r="E47" s="277"/>
      <c r="F47" s="465"/>
      <c r="G47" s="204"/>
    </row>
    <row r="48" spans="1:7" x14ac:dyDescent="0.2">
      <c r="B48" s="69"/>
      <c r="C48" s="69"/>
      <c r="D48" s="275"/>
      <c r="E48" s="275"/>
      <c r="F48" s="465"/>
      <c r="G48" s="204"/>
    </row>
    <row r="49" spans="1:7" x14ac:dyDescent="0.2">
      <c r="B49" s="69"/>
      <c r="C49" s="69"/>
      <c r="D49" s="275"/>
      <c r="E49" s="275"/>
      <c r="F49" s="465"/>
      <c r="G49" s="204"/>
    </row>
    <row r="50" spans="1:7" x14ac:dyDescent="0.2">
      <c r="C50" s="289"/>
      <c r="D50" s="289"/>
      <c r="E50" s="289"/>
      <c r="F50" s="467"/>
      <c r="G50" s="290"/>
    </row>
    <row r="51" spans="1:7" x14ac:dyDescent="0.2">
      <c r="A51" s="32"/>
      <c r="C51" s="289"/>
      <c r="D51" s="289"/>
      <c r="E51" s="289"/>
      <c r="F51" s="467"/>
    </row>
    <row r="52" spans="1:7" x14ac:dyDescent="0.2">
      <c r="A52" s="32"/>
      <c r="C52" s="289"/>
      <c r="D52" s="289"/>
      <c r="E52" s="289"/>
      <c r="F52" s="467"/>
    </row>
    <row r="53" spans="1:7" x14ac:dyDescent="0.2">
      <c r="A53" s="32"/>
      <c r="C53" s="289"/>
      <c r="D53" s="289"/>
      <c r="E53" s="289"/>
      <c r="F53" s="467"/>
    </row>
    <row r="54" spans="1:7" x14ac:dyDescent="0.2">
      <c r="A54" s="32"/>
      <c r="C54" s="289"/>
      <c r="D54" s="289"/>
      <c r="E54" s="289"/>
      <c r="F54" s="467"/>
    </row>
    <row r="55" spans="1:7" x14ac:dyDescent="0.2">
      <c r="A55" s="32"/>
      <c r="C55" s="289"/>
      <c r="D55" s="289"/>
      <c r="E55" s="278"/>
      <c r="F55" s="421"/>
    </row>
    <row r="56" spans="1:7" x14ac:dyDescent="0.2">
      <c r="C56" s="289"/>
      <c r="D56" s="289"/>
      <c r="E56" s="278"/>
      <c r="F56" s="421"/>
    </row>
    <row r="57" spans="1:7" x14ac:dyDescent="0.2">
      <c r="C57" s="289"/>
      <c r="D57" s="289"/>
      <c r="E57" s="278"/>
      <c r="F57" s="421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68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6"/>
    </row>
    <row r="101" spans="1:6" x14ac:dyDescent="0.2">
      <c r="A101" s="32"/>
      <c r="E101" s="63"/>
      <c r="F101" s="466"/>
    </row>
    <row r="102" spans="1:6" ht="13.5" thickBot="1" x14ac:dyDescent="0.25">
      <c r="A102" s="32"/>
      <c r="D102" s="68"/>
      <c r="E102" s="68"/>
      <c r="F102" s="4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68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6"/>
    </row>
    <row r="127" spans="1:6" x14ac:dyDescent="0.2">
      <c r="A127" s="32"/>
      <c r="D127" s="75"/>
      <c r="E127" s="75"/>
      <c r="F127" s="466"/>
    </row>
    <row r="128" spans="1:6" ht="13.5" thickBot="1" x14ac:dyDescent="0.25">
      <c r="A128" s="32"/>
      <c r="D128" s="77"/>
      <c r="E128" s="77"/>
      <c r="F128" s="466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68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6"/>
    </row>
    <row r="152" spans="1:6" x14ac:dyDescent="0.2">
      <c r="A152" s="32"/>
      <c r="D152" s="75"/>
      <c r="E152" s="75"/>
      <c r="F152" s="466"/>
    </row>
    <row r="153" spans="1:6" ht="13.5" thickBot="1" x14ac:dyDescent="0.25">
      <c r="A153" s="32"/>
      <c r="D153" s="77"/>
      <c r="E153" s="77"/>
      <c r="F153" s="466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68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6"/>
    </row>
    <row r="177" spans="1:6" x14ac:dyDescent="0.2">
      <c r="A177" s="32"/>
      <c r="D177" s="75"/>
      <c r="E177" s="75"/>
      <c r="F177" s="466"/>
    </row>
    <row r="178" spans="1:6" ht="13.5" thickBot="1" x14ac:dyDescent="0.25">
      <c r="A178" s="32"/>
      <c r="D178" s="77"/>
      <c r="E178" s="77"/>
      <c r="F178" s="466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68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6"/>
    </row>
    <row r="201" spans="1:6" x14ac:dyDescent="0.2">
      <c r="A201" s="32"/>
      <c r="D201" s="75"/>
      <c r="E201" s="75"/>
      <c r="F201" s="466"/>
    </row>
    <row r="202" spans="1:6" ht="13.5" thickBot="1" x14ac:dyDescent="0.25">
      <c r="A202" s="32"/>
      <c r="D202" s="83"/>
      <c r="E202" s="77"/>
      <c r="F202" s="466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68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6"/>
    </row>
    <row r="227" spans="1:6" x14ac:dyDescent="0.2">
      <c r="A227" s="32"/>
      <c r="D227" s="75"/>
      <c r="E227" s="75"/>
      <c r="F227" s="466"/>
    </row>
    <row r="228" spans="1:6" ht="13.5" thickBot="1" x14ac:dyDescent="0.25">
      <c r="A228" s="32"/>
      <c r="D228" s="83"/>
      <c r="E228" s="77"/>
      <c r="F228" s="466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68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6"/>
    </row>
    <row r="251" spans="1:6" x14ac:dyDescent="0.2">
      <c r="A251" s="32"/>
      <c r="D251" s="75"/>
      <c r="E251" s="75"/>
      <c r="F251" s="466"/>
    </row>
    <row r="252" spans="1:6" ht="13.5" thickBot="1" x14ac:dyDescent="0.25">
      <c r="A252" s="32"/>
      <c r="D252" s="86"/>
      <c r="E252" s="77"/>
      <c r="F252" s="4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68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6"/>
    </row>
    <row r="275" spans="1:6" x14ac:dyDescent="0.2">
      <c r="A275" s="87"/>
      <c r="B275" s="88"/>
      <c r="C275" s="88"/>
      <c r="D275" s="96"/>
      <c r="E275" s="75"/>
      <c r="F275" s="466"/>
    </row>
    <row r="276" spans="1:6" ht="13.5" thickBot="1" x14ac:dyDescent="0.25">
      <c r="A276" s="87"/>
      <c r="B276" s="88"/>
      <c r="C276" s="88"/>
      <c r="D276" s="98"/>
      <c r="E276" s="77"/>
      <c r="F276" s="4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68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6"/>
    </row>
    <row r="300" spans="1:6" x14ac:dyDescent="0.2">
      <c r="A300" s="87"/>
      <c r="B300" s="88"/>
      <c r="C300" s="88"/>
      <c r="D300" s="96"/>
      <c r="E300" s="75"/>
      <c r="F300" s="466"/>
    </row>
    <row r="301" spans="1:6" ht="13.5" thickBot="1" x14ac:dyDescent="0.25">
      <c r="A301" s="87"/>
      <c r="B301" s="88"/>
      <c r="C301" s="88"/>
      <c r="D301" s="98"/>
      <c r="E301" s="77"/>
      <c r="F301" s="4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68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6"/>
    </row>
    <row r="327" spans="1:6" x14ac:dyDescent="0.2">
      <c r="A327" s="87"/>
      <c r="B327" s="88"/>
      <c r="C327" s="88"/>
      <c r="D327" s="96"/>
      <c r="E327" s="75"/>
      <c r="F327" s="466"/>
    </row>
    <row r="328" spans="1:6" ht="13.5" thickBot="1" x14ac:dyDescent="0.25">
      <c r="A328" s="87"/>
      <c r="B328" s="88"/>
      <c r="C328" s="88"/>
      <c r="D328" s="98"/>
      <c r="E328" s="77"/>
      <c r="F328" s="4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workbookViewId="0">
      <selection activeCell="F42" sqref="F42:F48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8" width="9.5703125" bestFit="1" customWidth="1"/>
    <col min="11" max="11" width="11.85546875" bestFit="1" customWidth="1"/>
    <col min="12" max="13" width="10" bestFit="1" customWidth="1"/>
    <col min="14" max="14" width="9.42578125" bestFit="1" customWidth="1"/>
    <col min="16" max="16" width="12" bestFit="1" customWidth="1"/>
    <col min="19" max="20" width="10.5703125" bestFit="1" customWidth="1"/>
    <col min="21" max="21" width="9.28515625" bestFit="1" customWidth="1"/>
    <col min="23" max="23" width="11.42578125" bestFit="1" customWidth="1"/>
  </cols>
  <sheetData>
    <row r="1" spans="1:26" x14ac:dyDescent="0.2">
      <c r="B1">
        <v>52862</v>
      </c>
      <c r="D1">
        <v>6828</v>
      </c>
      <c r="F1">
        <v>6838</v>
      </c>
    </row>
    <row r="2" spans="1:26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4" t="s">
        <v>19</v>
      </c>
      <c r="G2" s="254" t="s">
        <v>20</v>
      </c>
      <c r="H2" s="255" t="s">
        <v>49</v>
      </c>
    </row>
    <row r="3" spans="1:26" x14ac:dyDescent="0.2">
      <c r="A3">
        <v>1</v>
      </c>
      <c r="B3" s="90">
        <v>38753</v>
      </c>
      <c r="C3" s="90">
        <v>38839</v>
      </c>
      <c r="D3" s="90"/>
      <c r="E3" s="90">
        <v>-1752</v>
      </c>
      <c r="F3" s="90">
        <v>27848</v>
      </c>
      <c r="G3" s="90">
        <v>23815</v>
      </c>
      <c r="H3" s="90">
        <f>+E3-D3+C3-B3+G3-F3</f>
        <v>-5699</v>
      </c>
    </row>
    <row r="4" spans="1:26" x14ac:dyDescent="0.2">
      <c r="A4">
        <v>2</v>
      </c>
      <c r="B4" s="90">
        <v>40637</v>
      </c>
      <c r="C4" s="90">
        <v>40684</v>
      </c>
      <c r="D4" s="90"/>
      <c r="E4" s="90"/>
      <c r="F4" s="90">
        <v>27871</v>
      </c>
      <c r="G4" s="90">
        <v>25215</v>
      </c>
      <c r="H4" s="90">
        <f t="shared" ref="H4:H33" si="0">+E4-D4+C4-B4+G4-F4</f>
        <v>-2609</v>
      </c>
    </row>
    <row r="5" spans="1:26" x14ac:dyDescent="0.2">
      <c r="A5">
        <v>3</v>
      </c>
      <c r="B5" s="90">
        <v>40652</v>
      </c>
      <c r="C5" s="90">
        <v>40676</v>
      </c>
      <c r="D5" s="90"/>
      <c r="E5" s="90"/>
      <c r="F5" s="90">
        <v>28102</v>
      </c>
      <c r="G5" s="90">
        <v>25164</v>
      </c>
      <c r="H5" s="90">
        <f t="shared" si="0"/>
        <v>-2914</v>
      </c>
    </row>
    <row r="6" spans="1:26" x14ac:dyDescent="0.2">
      <c r="A6">
        <v>4</v>
      </c>
      <c r="B6" s="90">
        <v>40684</v>
      </c>
      <c r="C6" s="90">
        <v>40684</v>
      </c>
      <c r="D6" s="90"/>
      <c r="E6" s="90"/>
      <c r="F6" s="90">
        <v>27824</v>
      </c>
      <c r="G6" s="90">
        <v>25215</v>
      </c>
      <c r="H6" s="90">
        <f t="shared" si="0"/>
        <v>-2609</v>
      </c>
      <c r="K6" t="s">
        <v>235</v>
      </c>
      <c r="R6" t="s">
        <v>236</v>
      </c>
    </row>
    <row r="7" spans="1:26" x14ac:dyDescent="0.2">
      <c r="A7">
        <v>5</v>
      </c>
      <c r="B7" s="90">
        <v>37651</v>
      </c>
      <c r="C7" s="90">
        <v>37644</v>
      </c>
      <c r="D7" s="90"/>
      <c r="E7" s="90"/>
      <c r="F7" s="90">
        <v>24510</v>
      </c>
      <c r="G7" s="90">
        <v>24952</v>
      </c>
      <c r="H7" s="90">
        <f t="shared" si="0"/>
        <v>435</v>
      </c>
    </row>
    <row r="8" spans="1:26" x14ac:dyDescent="0.2">
      <c r="A8">
        <v>6</v>
      </c>
      <c r="B8" s="90">
        <v>37652</v>
      </c>
      <c r="C8" s="90">
        <v>37684</v>
      </c>
      <c r="D8" s="90"/>
      <c r="E8" s="90"/>
      <c r="F8" s="90">
        <v>26762</v>
      </c>
      <c r="G8" s="90">
        <v>25198</v>
      </c>
      <c r="H8" s="90">
        <f t="shared" si="0"/>
        <v>-1532</v>
      </c>
      <c r="K8" s="87" t="s">
        <v>39</v>
      </c>
      <c r="L8" s="87" t="s">
        <v>19</v>
      </c>
      <c r="M8" s="87" t="s">
        <v>20</v>
      </c>
      <c r="N8" s="87" t="s">
        <v>49</v>
      </c>
      <c r="O8" s="87" t="s">
        <v>15</v>
      </c>
      <c r="P8" s="87" t="s">
        <v>27</v>
      </c>
      <c r="Q8" s="87"/>
      <c r="R8" s="87" t="s">
        <v>39</v>
      </c>
      <c r="S8" s="87" t="s">
        <v>19</v>
      </c>
      <c r="T8" s="87" t="s">
        <v>20</v>
      </c>
      <c r="U8" s="87" t="s">
        <v>49</v>
      </c>
      <c r="V8" s="87" t="s">
        <v>15</v>
      </c>
      <c r="W8" s="87" t="s">
        <v>27</v>
      </c>
    </row>
    <row r="9" spans="1:26" ht="15.75" customHeight="1" x14ac:dyDescent="0.2">
      <c r="A9">
        <v>7</v>
      </c>
      <c r="B9" s="90">
        <v>37653</v>
      </c>
      <c r="C9" s="90">
        <v>37684</v>
      </c>
      <c r="D9" s="90"/>
      <c r="E9" s="90"/>
      <c r="F9" s="90">
        <v>26569</v>
      </c>
      <c r="G9" s="90">
        <v>25217</v>
      </c>
      <c r="H9" s="90">
        <f t="shared" si="0"/>
        <v>-1321</v>
      </c>
      <c r="K9" s="446"/>
      <c r="L9" s="327"/>
      <c r="M9" s="327"/>
      <c r="N9" s="327"/>
      <c r="O9" s="445"/>
      <c r="P9" s="445"/>
      <c r="Q9" s="445"/>
      <c r="R9" s="446"/>
      <c r="S9" s="327"/>
      <c r="T9" s="327"/>
      <c r="U9" s="327"/>
      <c r="V9" s="445"/>
      <c r="W9" s="445"/>
    </row>
    <row r="10" spans="1:26" x14ac:dyDescent="0.2">
      <c r="A10">
        <v>8</v>
      </c>
      <c r="B10" s="90">
        <v>39631</v>
      </c>
      <c r="C10" s="90">
        <v>39684</v>
      </c>
      <c r="D10" s="90"/>
      <c r="E10" s="90"/>
      <c r="F10" s="90">
        <v>21066</v>
      </c>
      <c r="G10" s="90">
        <v>25215</v>
      </c>
      <c r="H10" s="90">
        <f t="shared" si="0"/>
        <v>4202</v>
      </c>
      <c r="K10" s="446">
        <v>37012</v>
      </c>
      <c r="L10" s="327">
        <v>1103057</v>
      </c>
      <c r="M10" s="327">
        <v>1120793</v>
      </c>
      <c r="N10" s="327">
        <f>+M10-L10</f>
        <v>17736</v>
      </c>
      <c r="O10" s="445">
        <v>4.01</v>
      </c>
      <c r="P10" s="445">
        <f>+N10*O10</f>
        <v>71121.36</v>
      </c>
      <c r="Q10" s="445"/>
      <c r="R10" s="446">
        <v>37012</v>
      </c>
      <c r="S10" s="327">
        <v>-202726</v>
      </c>
      <c r="T10" s="327">
        <v>-185000</v>
      </c>
      <c r="U10" s="327">
        <f t="shared" ref="U10:U15" si="1">+T10-S10</f>
        <v>17726</v>
      </c>
      <c r="V10" s="445">
        <v>4.01</v>
      </c>
      <c r="W10" s="445">
        <f>+U10*V10</f>
        <v>71081.259999999995</v>
      </c>
      <c r="Y10" s="447">
        <v>37012</v>
      </c>
      <c r="Z10">
        <v>4.01</v>
      </c>
    </row>
    <row r="11" spans="1:26" x14ac:dyDescent="0.2">
      <c r="A11">
        <v>9</v>
      </c>
      <c r="B11" s="90">
        <v>45455</v>
      </c>
      <c r="C11" s="90">
        <v>45458</v>
      </c>
      <c r="D11" s="90"/>
      <c r="E11" s="90"/>
      <c r="F11" s="90">
        <v>24054</v>
      </c>
      <c r="G11" s="90">
        <v>23449</v>
      </c>
      <c r="H11" s="90">
        <f t="shared" si="0"/>
        <v>-602</v>
      </c>
      <c r="K11" s="446">
        <v>37043</v>
      </c>
      <c r="L11" s="327">
        <f>1647210-1647210+1654290</f>
        <v>1654290</v>
      </c>
      <c r="M11" s="327">
        <v>1681871</v>
      </c>
      <c r="N11" s="327">
        <f>+M11-L11</f>
        <v>27581</v>
      </c>
      <c r="O11" s="445">
        <v>3.51</v>
      </c>
      <c r="P11" s="445">
        <f>+N11*O11</f>
        <v>96809.31</v>
      </c>
      <c r="Q11" s="445"/>
      <c r="R11" s="446">
        <v>37043</v>
      </c>
      <c r="S11" s="327">
        <v>-153623</v>
      </c>
      <c r="T11" s="327">
        <v>-88473</v>
      </c>
      <c r="U11" s="327">
        <f t="shared" si="1"/>
        <v>65150</v>
      </c>
      <c r="V11" s="445">
        <v>3.51</v>
      </c>
      <c r="W11" s="445">
        <f>+U11*V11</f>
        <v>228676.5</v>
      </c>
      <c r="Y11" s="447">
        <v>37043</v>
      </c>
      <c r="Z11">
        <v>3.51</v>
      </c>
    </row>
    <row r="12" spans="1:26" x14ac:dyDescent="0.2">
      <c r="A12">
        <v>10</v>
      </c>
      <c r="B12" s="90">
        <v>45361</v>
      </c>
      <c r="C12" s="90">
        <v>45458</v>
      </c>
      <c r="D12" s="90"/>
      <c r="E12" s="90"/>
      <c r="F12" s="90">
        <v>23079</v>
      </c>
      <c r="G12" s="90">
        <v>23449</v>
      </c>
      <c r="H12" s="90">
        <f t="shared" si="0"/>
        <v>467</v>
      </c>
      <c r="K12" s="446">
        <v>37073</v>
      </c>
      <c r="L12" s="327">
        <f>1305497-1305497+1309597</f>
        <v>1309597</v>
      </c>
      <c r="M12" s="327">
        <v>1270571</v>
      </c>
      <c r="N12" s="327">
        <f>+M12-L12</f>
        <v>-39026</v>
      </c>
      <c r="O12" s="445">
        <v>2.94</v>
      </c>
      <c r="P12" s="445">
        <f>+N12*O12</f>
        <v>-114736.44</v>
      </c>
      <c r="Q12" s="445"/>
      <c r="R12" s="446">
        <v>37104</v>
      </c>
      <c r="S12" s="327">
        <v>-34269</v>
      </c>
      <c r="T12" s="327">
        <v>-27046</v>
      </c>
      <c r="U12" s="327">
        <f t="shared" si="1"/>
        <v>7223</v>
      </c>
      <c r="V12" s="445">
        <v>2.85</v>
      </c>
      <c r="W12" s="445">
        <f>+U12*V12</f>
        <v>20585.55</v>
      </c>
      <c r="Y12" s="447">
        <v>37073</v>
      </c>
      <c r="Z12">
        <v>2.94</v>
      </c>
    </row>
    <row r="13" spans="1:26" x14ac:dyDescent="0.2">
      <c r="A13">
        <v>11</v>
      </c>
      <c r="B13" s="90"/>
      <c r="C13" s="90"/>
      <c r="D13" s="90"/>
      <c r="E13" s="90"/>
      <c r="F13" s="90"/>
      <c r="G13" s="90"/>
      <c r="H13" s="90">
        <f t="shared" si="0"/>
        <v>0</v>
      </c>
      <c r="K13" s="446">
        <v>37104</v>
      </c>
      <c r="L13" s="327">
        <f>1436775-1436775+1438269</f>
        <v>1438269</v>
      </c>
      <c r="M13" s="327">
        <v>1418897</v>
      </c>
      <c r="N13" s="327">
        <f>+M13-L13</f>
        <v>-19372</v>
      </c>
      <c r="O13" s="445">
        <v>2.85</v>
      </c>
      <c r="P13" s="445">
        <f>+N13*O13</f>
        <v>-55210.200000000004</v>
      </c>
      <c r="Q13" s="445"/>
      <c r="R13" s="446">
        <v>37135</v>
      </c>
      <c r="S13" s="327">
        <v>-1191628</v>
      </c>
      <c r="T13" s="327">
        <v>-1210937</v>
      </c>
      <c r="U13" s="327">
        <f t="shared" si="1"/>
        <v>-19309</v>
      </c>
      <c r="V13" s="445">
        <v>1.96</v>
      </c>
      <c r="W13" s="445">
        <f>+U13*V13</f>
        <v>-37845.64</v>
      </c>
      <c r="Y13" s="447">
        <v>37104</v>
      </c>
      <c r="Z13">
        <v>2.85</v>
      </c>
    </row>
    <row r="14" spans="1:26" x14ac:dyDescent="0.2">
      <c r="A14">
        <v>12</v>
      </c>
      <c r="B14" s="88"/>
      <c r="C14" s="90"/>
      <c r="D14" s="88"/>
      <c r="E14" s="88"/>
      <c r="F14" s="88"/>
      <c r="G14" s="88"/>
      <c r="H14" s="90">
        <f t="shared" si="0"/>
        <v>0</v>
      </c>
      <c r="K14" s="446">
        <v>37135</v>
      </c>
      <c r="L14" s="327">
        <v>1109912</v>
      </c>
      <c r="M14" s="327">
        <v>1111335</v>
      </c>
      <c r="N14" s="327">
        <f>+M14-L14</f>
        <v>1423</v>
      </c>
      <c r="O14" s="445">
        <v>1.96</v>
      </c>
      <c r="P14" s="448">
        <f>+N14*O14</f>
        <v>2789.08</v>
      </c>
      <c r="Q14" s="445"/>
      <c r="R14" s="446"/>
      <c r="S14" s="327"/>
      <c r="T14" s="327"/>
      <c r="U14" s="327">
        <f t="shared" si="1"/>
        <v>0</v>
      </c>
      <c r="V14" s="445"/>
      <c r="W14" s="445"/>
      <c r="Y14" s="447">
        <v>37135</v>
      </c>
      <c r="Z14">
        <v>1.96</v>
      </c>
    </row>
    <row r="15" spans="1:26" x14ac:dyDescent="0.2">
      <c r="A15">
        <v>13</v>
      </c>
      <c r="B15" s="88"/>
      <c r="C15" s="88"/>
      <c r="D15" s="88"/>
      <c r="E15" s="88"/>
      <c r="F15" s="88"/>
      <c r="G15" s="88"/>
      <c r="H15" s="90">
        <f t="shared" si="0"/>
        <v>0</v>
      </c>
      <c r="K15" s="446"/>
      <c r="L15" s="327"/>
      <c r="M15" s="327"/>
      <c r="N15" s="327"/>
      <c r="O15" s="445"/>
      <c r="P15" s="445"/>
      <c r="Q15" s="445"/>
      <c r="R15" s="446"/>
      <c r="S15" s="327"/>
      <c r="T15" s="327"/>
      <c r="U15" s="327">
        <f t="shared" si="1"/>
        <v>0</v>
      </c>
      <c r="V15" s="445"/>
      <c r="W15" s="445"/>
    </row>
    <row r="16" spans="1:26" x14ac:dyDescent="0.2">
      <c r="A16">
        <v>14</v>
      </c>
      <c r="B16" s="88"/>
      <c r="C16" s="88"/>
      <c r="D16" s="88"/>
      <c r="E16" s="88"/>
      <c r="F16" s="88"/>
      <c r="G16" s="88"/>
      <c r="H16" s="90">
        <f t="shared" si="0"/>
        <v>0</v>
      </c>
      <c r="K16" s="446" t="s">
        <v>237</v>
      </c>
      <c r="L16" s="327"/>
      <c r="M16" s="327"/>
      <c r="N16" s="327">
        <f>SUM(N10:N15)</f>
        <v>-11658</v>
      </c>
      <c r="O16" s="445"/>
      <c r="P16" s="445">
        <f>SUM(P9:P15)</f>
        <v>773.10999999997694</v>
      </c>
      <c r="Q16" s="445"/>
      <c r="R16" s="446" t="s">
        <v>237</v>
      </c>
      <c r="S16" s="327"/>
      <c r="T16" s="327"/>
      <c r="U16" s="327">
        <f>SUM(U9:U15)</f>
        <v>70790</v>
      </c>
      <c r="V16" s="445"/>
      <c r="W16" s="445">
        <f>SUM(W9:W15)</f>
        <v>282497.67</v>
      </c>
    </row>
    <row r="17" spans="1:23" x14ac:dyDescent="0.2">
      <c r="A17">
        <v>15</v>
      </c>
      <c r="B17" s="88"/>
      <c r="C17" s="88"/>
      <c r="D17" s="327"/>
      <c r="E17" s="327"/>
      <c r="F17" s="327"/>
      <c r="G17" s="327"/>
      <c r="H17" s="90">
        <f t="shared" si="0"/>
        <v>0</v>
      </c>
    </row>
    <row r="18" spans="1:23" x14ac:dyDescent="0.2">
      <c r="A18">
        <v>16</v>
      </c>
      <c r="B18" s="88"/>
      <c r="C18" s="88"/>
      <c r="D18" s="327"/>
      <c r="E18" s="327"/>
      <c r="F18" s="327"/>
      <c r="G18" s="327"/>
      <c r="H18" s="90">
        <f t="shared" si="0"/>
        <v>0</v>
      </c>
      <c r="K18" s="446" t="s">
        <v>238</v>
      </c>
      <c r="L18" s="327"/>
      <c r="M18" s="327"/>
      <c r="N18" s="327">
        <v>19880</v>
      </c>
      <c r="O18" s="445"/>
      <c r="P18" s="445"/>
      <c r="Q18" s="445"/>
      <c r="R18" s="446" t="s">
        <v>238</v>
      </c>
      <c r="S18" s="327"/>
      <c r="T18" s="327"/>
      <c r="U18" s="327">
        <v>37185</v>
      </c>
      <c r="V18" s="445"/>
      <c r="W18" s="445"/>
    </row>
    <row r="19" spans="1:23" x14ac:dyDescent="0.2">
      <c r="A19">
        <v>17</v>
      </c>
      <c r="B19" s="88"/>
      <c r="C19" s="88"/>
      <c r="D19" s="327"/>
      <c r="E19" s="327"/>
      <c r="F19" s="327"/>
      <c r="G19" s="327"/>
      <c r="H19" s="90">
        <f t="shared" si="0"/>
        <v>0</v>
      </c>
      <c r="K19" s="446"/>
      <c r="L19" s="327"/>
      <c r="M19" s="327"/>
      <c r="N19" s="327"/>
      <c r="O19" s="445"/>
      <c r="P19" s="445"/>
      <c r="Q19" s="445"/>
      <c r="R19" s="446"/>
      <c r="S19" s="327"/>
      <c r="T19" s="327"/>
      <c r="U19" s="327"/>
      <c r="V19" s="445"/>
      <c r="W19" s="445"/>
    </row>
    <row r="20" spans="1:23" x14ac:dyDescent="0.2">
      <c r="A20">
        <v>18</v>
      </c>
      <c r="B20" s="327"/>
      <c r="C20" s="327"/>
      <c r="D20" s="327"/>
      <c r="E20" s="327"/>
      <c r="F20" s="327"/>
      <c r="G20" s="327"/>
      <c r="H20" s="90">
        <f t="shared" si="0"/>
        <v>0</v>
      </c>
      <c r="K20" s="446"/>
      <c r="L20" s="327"/>
      <c r="M20" s="327"/>
      <c r="N20" s="327"/>
      <c r="O20" s="445"/>
      <c r="P20" s="445"/>
      <c r="Q20" s="445"/>
      <c r="R20" s="446"/>
      <c r="S20" s="327"/>
      <c r="T20" s="327"/>
      <c r="U20" s="327"/>
      <c r="V20" s="445"/>
      <c r="W20" s="445"/>
    </row>
    <row r="21" spans="1:23" x14ac:dyDescent="0.2">
      <c r="A21">
        <v>19</v>
      </c>
      <c r="B21" s="327"/>
      <c r="C21" s="327"/>
      <c r="D21" s="327"/>
      <c r="E21" s="327"/>
      <c r="F21" s="327"/>
      <c r="G21" s="327"/>
      <c r="H21" s="90">
        <f t="shared" si="0"/>
        <v>0</v>
      </c>
      <c r="K21" s="446"/>
      <c r="L21" s="327"/>
      <c r="M21" s="327"/>
      <c r="N21" s="327"/>
      <c r="O21" s="445"/>
      <c r="P21" s="445"/>
      <c r="Q21" s="445"/>
      <c r="R21" s="446"/>
      <c r="S21" s="327"/>
      <c r="T21" s="327"/>
      <c r="U21" s="327"/>
      <c r="V21" s="445"/>
      <c r="W21" s="445"/>
    </row>
    <row r="22" spans="1:23" x14ac:dyDescent="0.2">
      <c r="A22">
        <v>20</v>
      </c>
      <c r="B22" s="427"/>
      <c r="C22" s="327"/>
      <c r="D22" s="327"/>
      <c r="E22" s="327"/>
      <c r="F22" s="327"/>
      <c r="G22" s="327"/>
      <c r="H22" s="90">
        <f t="shared" si="0"/>
        <v>0</v>
      </c>
      <c r="K22" s="446"/>
      <c r="L22" s="327"/>
      <c r="M22" s="327"/>
      <c r="N22" s="327"/>
      <c r="O22" s="445"/>
      <c r="P22" s="445"/>
      <c r="Q22" s="445"/>
      <c r="R22" s="446"/>
      <c r="S22" s="327"/>
      <c r="T22" s="327"/>
      <c r="U22" s="327"/>
      <c r="V22" s="445"/>
      <c r="W22" s="445"/>
    </row>
    <row r="23" spans="1:23" x14ac:dyDescent="0.2">
      <c r="A23">
        <v>21</v>
      </c>
      <c r="B23" s="327"/>
      <c r="C23" s="327"/>
      <c r="D23" s="327"/>
      <c r="E23" s="327"/>
      <c r="F23" s="327"/>
      <c r="G23" s="327"/>
      <c r="H23" s="90">
        <f t="shared" si="0"/>
        <v>0</v>
      </c>
      <c r="K23" s="446"/>
      <c r="L23" s="327"/>
      <c r="M23" s="327"/>
      <c r="N23" s="327"/>
      <c r="O23" s="445"/>
      <c r="P23" s="445"/>
      <c r="Q23" s="445"/>
      <c r="R23" s="446"/>
      <c r="S23" s="327"/>
      <c r="T23" s="327"/>
      <c r="U23" s="327"/>
      <c r="V23" s="445"/>
      <c r="W23" s="445"/>
    </row>
    <row r="24" spans="1:23" x14ac:dyDescent="0.2">
      <c r="A24">
        <v>22</v>
      </c>
      <c r="B24" s="327"/>
      <c r="C24" s="327"/>
      <c r="D24" s="327"/>
      <c r="E24" s="327"/>
      <c r="F24" s="327"/>
      <c r="G24" s="327"/>
      <c r="H24" s="90">
        <f t="shared" si="0"/>
        <v>0</v>
      </c>
      <c r="K24" s="87"/>
      <c r="L24" s="87"/>
      <c r="M24" s="87"/>
      <c r="N24" s="87"/>
      <c r="O24" s="445"/>
      <c r="P24" s="445"/>
      <c r="Q24" s="445"/>
      <c r="R24" s="87"/>
      <c r="S24" s="87"/>
      <c r="T24" s="87"/>
      <c r="U24" s="327"/>
      <c r="V24" s="445"/>
      <c r="W24" s="445"/>
    </row>
    <row r="25" spans="1:23" x14ac:dyDescent="0.2">
      <c r="A25">
        <v>23</v>
      </c>
      <c r="B25" s="427"/>
      <c r="C25" s="327"/>
      <c r="D25" s="327"/>
      <c r="E25" s="327"/>
      <c r="F25" s="327"/>
      <c r="G25" s="327"/>
      <c r="H25" s="90">
        <f t="shared" si="0"/>
        <v>0</v>
      </c>
      <c r="K25" s="87"/>
      <c r="L25" s="87"/>
      <c r="M25" s="87"/>
      <c r="N25" s="87"/>
      <c r="O25" s="445"/>
      <c r="P25" s="445"/>
      <c r="Q25" s="445"/>
      <c r="R25" s="87"/>
      <c r="S25" s="87"/>
      <c r="T25" s="87"/>
      <c r="U25" s="327"/>
      <c r="V25" s="445"/>
      <c r="W25" s="445"/>
    </row>
    <row r="26" spans="1:23" x14ac:dyDescent="0.2">
      <c r="A26">
        <v>24</v>
      </c>
      <c r="B26" s="327"/>
      <c r="C26" s="327"/>
      <c r="D26" s="327"/>
      <c r="E26" s="327"/>
      <c r="F26" s="327"/>
      <c r="G26" s="327"/>
      <c r="H26" s="90">
        <f t="shared" si="0"/>
        <v>0</v>
      </c>
      <c r="K26" s="87"/>
      <c r="L26" s="87"/>
      <c r="M26" s="87"/>
      <c r="N26" s="87"/>
      <c r="O26" s="445"/>
      <c r="P26" s="445"/>
      <c r="Q26" s="445"/>
      <c r="R26" s="87"/>
      <c r="S26" s="87"/>
      <c r="T26" s="87"/>
      <c r="U26" s="327"/>
      <c r="V26" s="445"/>
      <c r="W26" s="445"/>
    </row>
    <row r="27" spans="1:23" x14ac:dyDescent="0.2">
      <c r="A27">
        <v>25</v>
      </c>
      <c r="B27" s="327"/>
      <c r="C27" s="327"/>
      <c r="D27" s="327"/>
      <c r="E27" s="327"/>
      <c r="F27" s="327"/>
      <c r="G27" s="327"/>
      <c r="H27" s="90">
        <f t="shared" si="0"/>
        <v>0</v>
      </c>
      <c r="K27" s="87"/>
      <c r="L27" s="87"/>
      <c r="M27" s="87"/>
      <c r="N27" s="87"/>
      <c r="O27" s="445"/>
      <c r="P27" s="445"/>
      <c r="Q27" s="445"/>
      <c r="R27" s="87"/>
      <c r="S27" s="87"/>
      <c r="T27" s="87"/>
      <c r="U27" s="327"/>
      <c r="V27" s="445"/>
      <c r="W27" s="445"/>
    </row>
    <row r="28" spans="1:23" x14ac:dyDescent="0.2">
      <c r="A28">
        <v>26</v>
      </c>
      <c r="B28" s="327"/>
      <c r="C28" s="327"/>
      <c r="D28" s="14"/>
      <c r="E28" s="14"/>
      <c r="F28" s="14"/>
      <c r="G28" s="14"/>
      <c r="H28" s="90">
        <f t="shared" si="0"/>
        <v>0</v>
      </c>
      <c r="K28" s="87"/>
      <c r="L28" s="87"/>
      <c r="M28" s="87"/>
      <c r="N28" s="87"/>
      <c r="O28" s="445"/>
      <c r="P28" s="445"/>
      <c r="Q28" s="445"/>
      <c r="R28" s="87"/>
      <c r="S28" s="87"/>
      <c r="T28" s="87"/>
      <c r="U28" s="87"/>
      <c r="V28" s="445"/>
      <c r="W28" s="445"/>
    </row>
    <row r="29" spans="1:23" x14ac:dyDescent="0.2">
      <c r="A29">
        <v>27</v>
      </c>
      <c r="B29" s="327"/>
      <c r="C29" s="327"/>
      <c r="D29" s="14"/>
      <c r="E29" s="14"/>
      <c r="F29" s="14"/>
      <c r="G29" s="14"/>
      <c r="H29" s="90">
        <f t="shared" si="0"/>
        <v>0</v>
      </c>
      <c r="K29" s="87"/>
      <c r="L29" s="87"/>
      <c r="M29" s="87"/>
      <c r="N29" s="87"/>
      <c r="O29" s="445"/>
      <c r="P29" s="445"/>
      <c r="Q29" s="445"/>
      <c r="R29" s="87"/>
      <c r="S29" s="87"/>
      <c r="T29" s="87"/>
      <c r="U29" s="87"/>
      <c r="V29" s="445"/>
      <c r="W29" s="445"/>
    </row>
    <row r="30" spans="1:23" x14ac:dyDescent="0.2">
      <c r="A30">
        <v>28</v>
      </c>
      <c r="B30" s="427"/>
      <c r="C30" s="327"/>
      <c r="D30" s="14"/>
      <c r="E30" s="14"/>
      <c r="F30" s="14"/>
      <c r="G30" s="14"/>
      <c r="H30" s="90">
        <f t="shared" si="0"/>
        <v>0</v>
      </c>
      <c r="K30" s="87"/>
      <c r="L30" s="87"/>
      <c r="M30" s="87"/>
      <c r="N30" s="87"/>
      <c r="O30" s="445"/>
      <c r="P30" s="445"/>
      <c r="Q30" s="445"/>
      <c r="R30" s="87"/>
      <c r="S30" s="87"/>
      <c r="T30" s="87"/>
      <c r="U30" s="87"/>
      <c r="V30" s="445"/>
      <c r="W30" s="445"/>
    </row>
    <row r="31" spans="1:23" x14ac:dyDescent="0.2">
      <c r="A31">
        <v>29</v>
      </c>
      <c r="B31" s="327"/>
      <c r="C31" s="327"/>
      <c r="D31" s="14"/>
      <c r="E31" s="14"/>
      <c r="F31" s="14"/>
      <c r="G31" s="14"/>
      <c r="H31" s="90">
        <f t="shared" si="0"/>
        <v>0</v>
      </c>
      <c r="K31" s="87"/>
      <c r="L31" s="87"/>
      <c r="M31" s="87"/>
      <c r="N31" s="87"/>
      <c r="O31" s="445"/>
      <c r="P31" s="445"/>
      <c r="Q31" s="445"/>
      <c r="R31" s="87"/>
      <c r="S31" s="87"/>
      <c r="T31" s="87"/>
      <c r="U31" s="87"/>
      <c r="V31" s="445"/>
      <c r="W31" s="445"/>
    </row>
    <row r="32" spans="1:23" x14ac:dyDescent="0.2">
      <c r="A32">
        <v>30</v>
      </c>
      <c r="B32" s="327"/>
      <c r="C32" s="327"/>
      <c r="D32" s="14"/>
      <c r="E32" s="14"/>
      <c r="F32" s="14"/>
      <c r="G32" s="14"/>
      <c r="H32" s="90">
        <f t="shared" si="0"/>
        <v>0</v>
      </c>
      <c r="O32" s="259"/>
      <c r="P32" s="259"/>
      <c r="Q32" s="259"/>
      <c r="R32">
        <v>10000</v>
      </c>
      <c r="S32">
        <v>2</v>
      </c>
      <c r="T32">
        <f>+S32*R32</f>
        <v>20000</v>
      </c>
      <c r="V32" s="259"/>
      <c r="W32" s="259"/>
    </row>
    <row r="33" spans="1:23" x14ac:dyDescent="0.2">
      <c r="A33">
        <v>31</v>
      </c>
      <c r="B33" s="327"/>
      <c r="C33" s="327"/>
      <c r="D33" s="14"/>
      <c r="E33" s="14"/>
      <c r="F33" s="14"/>
      <c r="G33" s="14"/>
      <c r="H33" s="90">
        <f t="shared" si="0"/>
        <v>0</v>
      </c>
      <c r="O33" s="259"/>
      <c r="P33" s="259"/>
      <c r="Q33" s="259"/>
      <c r="R33">
        <v>-10000</v>
      </c>
      <c r="S33">
        <v>1.5</v>
      </c>
      <c r="T33">
        <f>+S33*R33</f>
        <v>-15000</v>
      </c>
      <c r="V33" s="259"/>
      <c r="W33" s="259"/>
    </row>
    <row r="34" spans="1:23" x14ac:dyDescent="0.2">
      <c r="B34" s="287">
        <f t="shared" ref="B34:H34" si="2">SUM(B3:B33)</f>
        <v>404129</v>
      </c>
      <c r="C34" s="287">
        <f t="shared" si="2"/>
        <v>404495</v>
      </c>
      <c r="D34" s="14">
        <f t="shared" si="2"/>
        <v>0</v>
      </c>
      <c r="E34" s="14">
        <f t="shared" si="2"/>
        <v>-1752</v>
      </c>
      <c r="F34" s="14">
        <f t="shared" si="2"/>
        <v>257685</v>
      </c>
      <c r="G34" s="14">
        <f t="shared" si="2"/>
        <v>246889</v>
      </c>
      <c r="H34" s="14">
        <f t="shared" si="2"/>
        <v>-12182</v>
      </c>
      <c r="O34" s="259"/>
      <c r="P34" s="259"/>
      <c r="Q34" s="259"/>
      <c r="T34">
        <f>+T33+T32</f>
        <v>5000</v>
      </c>
      <c r="V34" s="259"/>
      <c r="W34" s="259"/>
    </row>
    <row r="35" spans="1:23" x14ac:dyDescent="0.2">
      <c r="D35" s="14"/>
      <c r="E35" s="14"/>
      <c r="F35" s="14"/>
      <c r="G35" s="14"/>
      <c r="H35" s="14"/>
      <c r="O35" s="259"/>
      <c r="P35" s="259"/>
      <c r="Q35" s="259"/>
      <c r="V35" s="259"/>
      <c r="W35" s="259"/>
    </row>
    <row r="36" spans="1:23" x14ac:dyDescent="0.2">
      <c r="H36" s="593"/>
      <c r="O36" s="259"/>
      <c r="P36" s="259"/>
      <c r="Q36" s="259"/>
      <c r="V36" s="259"/>
      <c r="W36" s="259"/>
    </row>
    <row r="37" spans="1:23" x14ac:dyDescent="0.2">
      <c r="A37" s="256">
        <v>37287</v>
      </c>
      <c r="B37" s="14"/>
      <c r="C37" s="14"/>
      <c r="D37" s="14"/>
      <c r="E37" s="14"/>
      <c r="F37" s="14"/>
      <c r="G37" s="14"/>
      <c r="H37" s="588">
        <f>8222+127244</f>
        <v>135466</v>
      </c>
      <c r="O37" s="259"/>
      <c r="P37" s="259"/>
      <c r="Q37" s="259"/>
      <c r="V37" s="259"/>
      <c r="W37" s="259"/>
    </row>
    <row r="38" spans="1:23" x14ac:dyDescent="0.2">
      <c r="A38" s="554">
        <v>37297</v>
      </c>
      <c r="B38" s="14"/>
      <c r="C38" s="14"/>
      <c r="D38" s="14"/>
      <c r="E38" s="14"/>
      <c r="F38" s="14"/>
      <c r="G38" s="14"/>
      <c r="H38" s="150">
        <f>+H37+H34</f>
        <v>123284</v>
      </c>
      <c r="O38" s="259"/>
      <c r="P38" s="259"/>
      <c r="Q38" s="259"/>
    </row>
    <row r="39" spans="1:23" x14ac:dyDescent="0.2">
      <c r="H39" s="290"/>
      <c r="O39" s="259"/>
      <c r="P39" s="259"/>
      <c r="Q39" s="259"/>
    </row>
    <row r="40" spans="1:23" x14ac:dyDescent="0.2">
      <c r="H40" s="290"/>
      <c r="K40" s="344"/>
      <c r="O40" s="259"/>
      <c r="P40" s="259"/>
      <c r="Q40" s="259"/>
    </row>
    <row r="41" spans="1:23" x14ac:dyDescent="0.2">
      <c r="H41" s="290"/>
      <c r="K41" s="344"/>
      <c r="O41" s="259"/>
      <c r="P41" s="259"/>
      <c r="Q41" s="259"/>
    </row>
    <row r="42" spans="1:23" x14ac:dyDescent="0.2">
      <c r="A42" s="32" t="s">
        <v>150</v>
      </c>
      <c r="B42" s="32"/>
      <c r="C42" s="32"/>
      <c r="D42" s="47"/>
      <c r="F42" s="47"/>
      <c r="H42" s="293"/>
      <c r="K42" s="344"/>
      <c r="O42" s="259"/>
      <c r="P42" s="259"/>
      <c r="Q42" s="259"/>
    </row>
    <row r="43" spans="1:23" x14ac:dyDescent="0.2">
      <c r="A43" s="49">
        <f>+A37</f>
        <v>37287</v>
      </c>
      <c r="B43" s="32"/>
      <c r="C43" s="32"/>
      <c r="D43" s="585">
        <f>139025.55+196742</f>
        <v>335767.55</v>
      </c>
      <c r="F43" s="485">
        <v>338741</v>
      </c>
      <c r="H43" s="290"/>
      <c r="I43" s="31"/>
      <c r="K43" s="344"/>
      <c r="O43" s="259"/>
      <c r="P43" s="259"/>
      <c r="Q43" s="259"/>
    </row>
    <row r="44" spans="1:23" x14ac:dyDescent="0.2">
      <c r="A44" s="49">
        <f>+A38</f>
        <v>37297</v>
      </c>
      <c r="B44" s="32"/>
      <c r="C44" s="32"/>
      <c r="D44" s="374">
        <f>+H34*'by type_area'!G4</f>
        <v>-24973.1</v>
      </c>
      <c r="F44" s="374">
        <f>+J34*'by type_area'!I4</f>
        <v>0</v>
      </c>
      <c r="H44" s="290"/>
      <c r="K44" s="344"/>
      <c r="O44" s="259"/>
      <c r="P44" s="259"/>
      <c r="Q44" s="259"/>
    </row>
    <row r="45" spans="1:23" x14ac:dyDescent="0.2">
      <c r="A45" s="32"/>
      <c r="B45" s="32"/>
      <c r="C45" s="32"/>
      <c r="D45" s="200">
        <f>+D44+D43</f>
        <v>310794.45</v>
      </c>
      <c r="F45" s="200">
        <f>+F44+F43</f>
        <v>338741</v>
      </c>
      <c r="H45" s="290"/>
      <c r="K45" s="499"/>
      <c r="O45" s="259"/>
      <c r="P45" s="259"/>
      <c r="Q45" s="259"/>
    </row>
    <row r="46" spans="1:23" x14ac:dyDescent="0.2">
      <c r="H46" s="290"/>
      <c r="K46" s="344"/>
      <c r="O46" s="259"/>
      <c r="P46" s="259"/>
      <c r="Q46" s="259"/>
    </row>
    <row r="47" spans="1:23" x14ac:dyDescent="0.2">
      <c r="H47" s="290"/>
      <c r="O47" s="259"/>
      <c r="P47" s="259"/>
      <c r="Q47" s="259"/>
    </row>
    <row r="48" spans="1:23" x14ac:dyDescent="0.2">
      <c r="H48" s="290"/>
      <c r="O48" s="259"/>
      <c r="P48" s="259"/>
      <c r="Q48" s="259"/>
    </row>
    <row r="49" spans="15:17" x14ac:dyDescent="0.2">
      <c r="O49" s="259"/>
      <c r="P49" s="259"/>
      <c r="Q49" s="259"/>
    </row>
    <row r="50" spans="15:17" x14ac:dyDescent="0.2">
      <c r="O50" s="259"/>
      <c r="P50" s="259"/>
      <c r="Q50" s="259"/>
    </row>
    <row r="51" spans="15:17" x14ac:dyDescent="0.2">
      <c r="O51" s="259"/>
      <c r="P51" s="259"/>
      <c r="Q51" s="259"/>
    </row>
    <row r="52" spans="15:17" x14ac:dyDescent="0.2">
      <c r="O52" s="259"/>
      <c r="P52" s="259"/>
      <c r="Q52" s="259"/>
    </row>
    <row r="53" spans="15:17" x14ac:dyDescent="0.2">
      <c r="O53" s="259"/>
      <c r="P53" s="259"/>
      <c r="Q53" s="259"/>
    </row>
    <row r="54" spans="15:17" x14ac:dyDescent="0.2">
      <c r="O54" s="259"/>
      <c r="P54" s="259"/>
      <c r="Q54" s="259"/>
    </row>
    <row r="55" spans="15:17" x14ac:dyDescent="0.2">
      <c r="O55" s="259"/>
      <c r="P55" s="259"/>
      <c r="Q55" s="259"/>
    </row>
    <row r="56" spans="15:17" x14ac:dyDescent="0.2">
      <c r="O56" s="259"/>
      <c r="P56" s="259"/>
      <c r="Q56" s="259"/>
    </row>
    <row r="57" spans="15:17" x14ac:dyDescent="0.2">
      <c r="O57" s="259"/>
      <c r="P57" s="259"/>
      <c r="Q57" s="259"/>
    </row>
    <row r="58" spans="15:17" x14ac:dyDescent="0.2">
      <c r="O58" s="259"/>
      <c r="P58" s="259"/>
      <c r="Q58" s="259"/>
    </row>
    <row r="59" spans="15:17" x14ac:dyDescent="0.2">
      <c r="O59" s="259"/>
      <c r="P59" s="259"/>
      <c r="Q59" s="259"/>
    </row>
    <row r="60" spans="15:17" x14ac:dyDescent="0.2">
      <c r="O60" s="259"/>
      <c r="P60" s="259"/>
      <c r="Q60" s="259"/>
    </row>
    <row r="61" spans="15:17" x14ac:dyDescent="0.2">
      <c r="O61" s="259"/>
      <c r="P61" s="259"/>
      <c r="Q61" s="259"/>
    </row>
    <row r="62" spans="15:17" x14ac:dyDescent="0.2">
      <c r="O62" s="259"/>
      <c r="P62" s="259"/>
      <c r="Q62" s="259"/>
    </row>
    <row r="63" spans="15:17" x14ac:dyDescent="0.2">
      <c r="O63" s="259"/>
      <c r="P63" s="259"/>
      <c r="Q63" s="259"/>
    </row>
    <row r="64" spans="15:17" x14ac:dyDescent="0.2">
      <c r="O64" s="259"/>
      <c r="P64" s="259"/>
      <c r="Q64" s="259"/>
    </row>
    <row r="65" spans="15:17" x14ac:dyDescent="0.2">
      <c r="O65" s="259"/>
      <c r="P65" s="259"/>
      <c r="Q65" s="259"/>
    </row>
    <row r="66" spans="15:17" x14ac:dyDescent="0.2">
      <c r="O66" s="259"/>
      <c r="P66" s="259"/>
      <c r="Q66" s="259"/>
    </row>
    <row r="67" spans="15:17" x14ac:dyDescent="0.2">
      <c r="O67" s="259"/>
      <c r="P67" s="259"/>
      <c r="Q67" s="259"/>
    </row>
    <row r="68" spans="15:17" x14ac:dyDescent="0.2">
      <c r="O68" s="259"/>
      <c r="P68" s="259"/>
      <c r="Q68" s="259"/>
    </row>
    <row r="69" spans="15:17" x14ac:dyDescent="0.2">
      <c r="O69" s="259"/>
      <c r="P69" s="259"/>
      <c r="Q69" s="259"/>
    </row>
    <row r="70" spans="15:17" x14ac:dyDescent="0.2">
      <c r="O70" s="259"/>
      <c r="P70" s="259"/>
      <c r="Q70" s="259"/>
    </row>
    <row r="71" spans="15:17" x14ac:dyDescent="0.2">
      <c r="O71" s="259"/>
      <c r="P71" s="259"/>
      <c r="Q71" s="259"/>
    </row>
    <row r="72" spans="15:17" x14ac:dyDescent="0.2">
      <c r="O72" s="259"/>
      <c r="P72" s="259"/>
      <c r="Q72" s="259"/>
    </row>
    <row r="73" spans="15:17" x14ac:dyDescent="0.2">
      <c r="O73" s="259"/>
      <c r="P73" s="259"/>
      <c r="Q73" s="259"/>
    </row>
    <row r="74" spans="15:17" x14ac:dyDescent="0.2">
      <c r="O74" s="259"/>
      <c r="P74" s="259"/>
      <c r="Q74" s="259"/>
    </row>
    <row r="75" spans="15:17" x14ac:dyDescent="0.2">
      <c r="O75" s="259"/>
      <c r="P75" s="259"/>
      <c r="Q75" s="259"/>
    </row>
    <row r="76" spans="15:17" x14ac:dyDescent="0.2">
      <c r="O76" s="259"/>
      <c r="P76" s="259"/>
      <c r="Q76" s="259"/>
    </row>
    <row r="77" spans="15:17" x14ac:dyDescent="0.2">
      <c r="O77" s="259"/>
      <c r="P77" s="259"/>
      <c r="Q77" s="259"/>
    </row>
    <row r="78" spans="15:17" x14ac:dyDescent="0.2">
      <c r="O78" s="259"/>
      <c r="P78" s="259"/>
      <c r="Q78" s="259"/>
    </row>
    <row r="79" spans="15:17" x14ac:dyDescent="0.2">
      <c r="O79" s="259"/>
      <c r="P79" s="259"/>
      <c r="Q79" s="259"/>
    </row>
    <row r="80" spans="15:17" x14ac:dyDescent="0.2">
      <c r="O80" s="259"/>
      <c r="P80" s="259"/>
      <c r="Q80" s="259"/>
    </row>
    <row r="81" spans="15:17" x14ac:dyDescent="0.2">
      <c r="O81" s="259"/>
      <c r="P81" s="259"/>
      <c r="Q81" s="259"/>
    </row>
    <row r="82" spans="15:17" x14ac:dyDescent="0.2">
      <c r="O82" s="259"/>
      <c r="P82" s="259"/>
      <c r="Q82" s="259"/>
    </row>
    <row r="83" spans="15:17" x14ac:dyDescent="0.2">
      <c r="O83" s="259"/>
      <c r="P83" s="259"/>
      <c r="Q83" s="259"/>
    </row>
    <row r="84" spans="15:17" x14ac:dyDescent="0.2">
      <c r="O84" s="259"/>
      <c r="P84" s="259"/>
      <c r="Q84" s="259"/>
    </row>
    <row r="85" spans="15:17" x14ac:dyDescent="0.2">
      <c r="O85" s="259"/>
      <c r="P85" s="259"/>
      <c r="Q85" s="259"/>
    </row>
    <row r="86" spans="15:17" x14ac:dyDescent="0.2">
      <c r="O86" s="259"/>
      <c r="P86" s="259"/>
      <c r="Q86" s="259"/>
    </row>
    <row r="87" spans="15:17" x14ac:dyDescent="0.2">
      <c r="O87" s="259"/>
      <c r="P87" s="259"/>
      <c r="Q87" s="259"/>
    </row>
    <row r="88" spans="15:17" x14ac:dyDescent="0.2">
      <c r="O88" s="259"/>
      <c r="P88" s="259"/>
      <c r="Q88" s="259"/>
    </row>
    <row r="89" spans="15:17" x14ac:dyDescent="0.2">
      <c r="O89" s="259"/>
      <c r="P89" s="259"/>
      <c r="Q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9" workbookViewId="0">
      <selection activeCell="A49" sqref="A49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-20864</v>
      </c>
      <c r="C4" s="11">
        <v>-19960</v>
      </c>
      <c r="D4" s="25">
        <f>+C4-B4</f>
        <v>904</v>
      </c>
    </row>
    <row r="5" spans="1:4" x14ac:dyDescent="0.2">
      <c r="A5" s="10">
        <v>2</v>
      </c>
      <c r="B5" s="11">
        <v>-20875</v>
      </c>
      <c r="C5" s="11">
        <v>-19960</v>
      </c>
      <c r="D5" s="25">
        <f t="shared" ref="D5:D34" si="0">+C5-B5</f>
        <v>915</v>
      </c>
    </row>
    <row r="6" spans="1:4" x14ac:dyDescent="0.2">
      <c r="A6" s="10">
        <v>3</v>
      </c>
      <c r="B6" s="11">
        <v>-20001</v>
      </c>
      <c r="C6" s="11">
        <v>-19960</v>
      </c>
      <c r="D6" s="25">
        <f t="shared" si="0"/>
        <v>41</v>
      </c>
    </row>
    <row r="7" spans="1:4" x14ac:dyDescent="0.2">
      <c r="A7" s="10">
        <v>4</v>
      </c>
      <c r="B7" s="11">
        <v>-19998</v>
      </c>
      <c r="C7" s="11">
        <v>-19960</v>
      </c>
      <c r="D7" s="25">
        <f t="shared" si="0"/>
        <v>38</v>
      </c>
    </row>
    <row r="8" spans="1:4" x14ac:dyDescent="0.2">
      <c r="A8" s="10">
        <v>5</v>
      </c>
      <c r="B8" s="11">
        <v>-20583</v>
      </c>
      <c r="C8" s="11">
        <v>-19738</v>
      </c>
      <c r="D8" s="25">
        <f t="shared" si="0"/>
        <v>845</v>
      </c>
    </row>
    <row r="9" spans="1:4" x14ac:dyDescent="0.2">
      <c r="A9" s="10">
        <v>6</v>
      </c>
      <c r="B9" s="11">
        <v>-20425</v>
      </c>
      <c r="C9" s="11">
        <v>-19793</v>
      </c>
      <c r="D9" s="25">
        <f t="shared" si="0"/>
        <v>632</v>
      </c>
    </row>
    <row r="10" spans="1:4" x14ac:dyDescent="0.2">
      <c r="A10" s="10">
        <v>7</v>
      </c>
      <c r="B10" s="129">
        <v>-20729</v>
      </c>
      <c r="C10" s="11">
        <v>-19793</v>
      </c>
      <c r="D10" s="25">
        <f t="shared" si="0"/>
        <v>936</v>
      </c>
    </row>
    <row r="11" spans="1:4" x14ac:dyDescent="0.2">
      <c r="A11" s="10">
        <v>8</v>
      </c>
      <c r="B11" s="11">
        <v>-19999</v>
      </c>
      <c r="C11" s="11">
        <v>-19960</v>
      </c>
      <c r="D11" s="25">
        <f t="shared" si="0"/>
        <v>39</v>
      </c>
    </row>
    <row r="12" spans="1:4" x14ac:dyDescent="0.2">
      <c r="A12" s="10">
        <v>9</v>
      </c>
      <c r="B12" s="11">
        <v>-20900</v>
      </c>
      <c r="C12" s="11">
        <v>-19960</v>
      </c>
      <c r="D12" s="25">
        <f t="shared" si="0"/>
        <v>940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8" x14ac:dyDescent="0.2">
      <c r="A17" s="10">
        <v>14</v>
      </c>
      <c r="B17" s="11"/>
      <c r="C17" s="11"/>
      <c r="D17" s="25">
        <f t="shared" si="0"/>
        <v>0</v>
      </c>
    </row>
    <row r="18" spans="1:8" x14ac:dyDescent="0.2">
      <c r="A18" s="10">
        <v>15</v>
      </c>
      <c r="B18" s="11"/>
      <c r="C18" s="11"/>
      <c r="D18" s="25">
        <f t="shared" si="0"/>
        <v>0</v>
      </c>
    </row>
    <row r="19" spans="1:8" x14ac:dyDescent="0.2">
      <c r="A19" s="10">
        <v>16</v>
      </c>
      <c r="B19" s="11"/>
      <c r="C19" s="11"/>
      <c r="D19" s="25">
        <f t="shared" si="0"/>
        <v>0</v>
      </c>
    </row>
    <row r="20" spans="1:8" x14ac:dyDescent="0.2">
      <c r="A20" s="10">
        <v>17</v>
      </c>
      <c r="B20" s="11"/>
      <c r="C20" s="11"/>
      <c r="D20" s="25">
        <f t="shared" si="0"/>
        <v>0</v>
      </c>
    </row>
    <row r="21" spans="1:8" x14ac:dyDescent="0.2">
      <c r="A21" s="10">
        <v>18</v>
      </c>
      <c r="B21" s="11"/>
      <c r="C21" s="11"/>
      <c r="D21" s="25">
        <f t="shared" si="0"/>
        <v>0</v>
      </c>
    </row>
    <row r="22" spans="1:8" x14ac:dyDescent="0.2">
      <c r="A22" s="10">
        <v>19</v>
      </c>
      <c r="B22" s="11"/>
      <c r="C22" s="11"/>
      <c r="D22" s="25">
        <f t="shared" si="0"/>
        <v>0</v>
      </c>
    </row>
    <row r="23" spans="1:8" x14ac:dyDescent="0.2">
      <c r="A23" s="10">
        <v>20</v>
      </c>
      <c r="B23" s="129"/>
      <c r="C23" s="11"/>
      <c r="D23" s="25">
        <f t="shared" si="0"/>
        <v>0</v>
      </c>
      <c r="F23" s="25"/>
      <c r="H23" s="34"/>
    </row>
    <row r="24" spans="1:8" x14ac:dyDescent="0.2">
      <c r="A24" s="10">
        <v>21</v>
      </c>
      <c r="B24" s="11"/>
      <c r="C24" s="11"/>
      <c r="D24" s="25">
        <f t="shared" si="0"/>
        <v>0</v>
      </c>
      <c r="F24" s="25"/>
    </row>
    <row r="25" spans="1:8" x14ac:dyDescent="0.2">
      <c r="A25" s="10">
        <v>22</v>
      </c>
      <c r="B25" s="11"/>
      <c r="C25" s="11"/>
      <c r="D25" s="25">
        <f t="shared" si="0"/>
        <v>0</v>
      </c>
      <c r="F25" s="25"/>
    </row>
    <row r="26" spans="1:8" x14ac:dyDescent="0.2">
      <c r="A26" s="10">
        <v>23</v>
      </c>
      <c r="B26" s="11"/>
      <c r="C26" s="11"/>
      <c r="D26" s="25">
        <f t="shared" si="0"/>
        <v>0</v>
      </c>
      <c r="F26" s="25"/>
    </row>
    <row r="27" spans="1:8" x14ac:dyDescent="0.2">
      <c r="A27" s="10">
        <v>24</v>
      </c>
      <c r="B27" s="11"/>
      <c r="C27" s="11"/>
      <c r="D27" s="25">
        <f t="shared" si="0"/>
        <v>0</v>
      </c>
    </row>
    <row r="28" spans="1:8" x14ac:dyDescent="0.2">
      <c r="A28" s="10">
        <v>25</v>
      </c>
      <c r="B28" s="11"/>
      <c r="C28" s="11"/>
      <c r="D28" s="25">
        <f t="shared" si="0"/>
        <v>0</v>
      </c>
    </row>
    <row r="29" spans="1:8" x14ac:dyDescent="0.2">
      <c r="A29" s="10">
        <v>26</v>
      </c>
      <c r="B29" s="11"/>
      <c r="C29" s="11"/>
      <c r="D29" s="25">
        <f t="shared" si="0"/>
        <v>0</v>
      </c>
    </row>
    <row r="30" spans="1:8" x14ac:dyDescent="0.2">
      <c r="A30" s="10">
        <v>27</v>
      </c>
      <c r="B30" s="11"/>
      <c r="C30" s="11"/>
      <c r="D30" s="25">
        <f t="shared" si="0"/>
        <v>0</v>
      </c>
    </row>
    <row r="31" spans="1:8" x14ac:dyDescent="0.2">
      <c r="A31" s="10">
        <v>28</v>
      </c>
      <c r="B31" s="11"/>
      <c r="C31" s="11"/>
      <c r="D31" s="25">
        <f t="shared" si="0"/>
        <v>0</v>
      </c>
    </row>
    <row r="32" spans="1:8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-184374</v>
      </c>
      <c r="C35" s="11">
        <f>SUM(C4:C34)</f>
        <v>-179084</v>
      </c>
      <c r="D35" s="11">
        <f>SUM(D4:D34)</f>
        <v>5290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37287</v>
      </c>
      <c r="D38" s="489">
        <v>177959</v>
      </c>
    </row>
    <row r="39" spans="1:4" x14ac:dyDescent="0.2">
      <c r="A39" s="2"/>
      <c r="D39" s="24"/>
    </row>
    <row r="40" spans="1:4" x14ac:dyDescent="0.2">
      <c r="A40" s="57">
        <v>37296</v>
      </c>
      <c r="D40" s="51">
        <f>+D38+D35</f>
        <v>183249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+A38</f>
        <v>37287</v>
      </c>
      <c r="B45" s="32"/>
      <c r="C45" s="32"/>
      <c r="D45" s="488">
        <v>181376</v>
      </c>
    </row>
    <row r="46" spans="1:4" x14ac:dyDescent="0.2">
      <c r="A46" s="49">
        <f>+A40</f>
        <v>37296</v>
      </c>
      <c r="B46" s="32"/>
      <c r="C46" s="32"/>
      <c r="D46" s="374">
        <f>+D35*'by type_area'!G4</f>
        <v>10844.499999999998</v>
      </c>
    </row>
    <row r="47" spans="1:4" x14ac:dyDescent="0.2">
      <c r="A47" s="32"/>
      <c r="B47" s="32"/>
      <c r="C47" s="32"/>
      <c r="D47" s="200">
        <f>+D46+D45</f>
        <v>192220.5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32" workbookViewId="0">
      <selection activeCell="C52" sqref="C52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8109</v>
      </c>
      <c r="C4" s="11">
        <v>7700</v>
      </c>
      <c r="D4" s="11">
        <v>7524</v>
      </c>
      <c r="E4" s="11">
        <v>8000</v>
      </c>
      <c r="F4" s="11"/>
      <c r="G4" s="11">
        <v>3500</v>
      </c>
      <c r="H4" s="11">
        <v>5621</v>
      </c>
      <c r="I4" s="11">
        <v>3500</v>
      </c>
      <c r="J4" s="11">
        <f t="shared" ref="J4:J34" si="0">+C4+E4+G4+I4-H4-F4-D4-B4</f>
        <v>1446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7487</v>
      </c>
      <c r="C5" s="11">
        <v>7700</v>
      </c>
      <c r="D5" s="11">
        <v>8454</v>
      </c>
      <c r="E5" s="11">
        <v>8000</v>
      </c>
      <c r="F5" s="11"/>
      <c r="G5" s="11"/>
      <c r="H5" s="11">
        <v>5644</v>
      </c>
      <c r="I5" s="11">
        <v>7000</v>
      </c>
      <c r="J5" s="11">
        <f t="shared" si="0"/>
        <v>1115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7329</v>
      </c>
      <c r="C6" s="11">
        <v>7700</v>
      </c>
      <c r="D6" s="11">
        <v>8774</v>
      </c>
      <c r="E6" s="11">
        <v>8000</v>
      </c>
      <c r="F6" s="11"/>
      <c r="G6" s="11"/>
      <c r="H6" s="11">
        <v>5629</v>
      </c>
      <c r="I6" s="11">
        <v>7000</v>
      </c>
      <c r="J6" s="11">
        <f t="shared" si="0"/>
        <v>968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7232</v>
      </c>
      <c r="C7" s="11">
        <v>7700</v>
      </c>
      <c r="D7" s="11">
        <v>8619</v>
      </c>
      <c r="E7" s="11">
        <v>8000</v>
      </c>
      <c r="F7" s="11"/>
      <c r="G7" s="11"/>
      <c r="H7" s="11">
        <v>6650</v>
      </c>
      <c r="I7" s="11">
        <v>7000</v>
      </c>
      <c r="J7" s="11">
        <f t="shared" si="0"/>
        <v>199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7130</v>
      </c>
      <c r="C8" s="11">
        <v>7700</v>
      </c>
      <c r="D8" s="129">
        <v>8498</v>
      </c>
      <c r="E8" s="11">
        <v>8000</v>
      </c>
      <c r="F8" s="11"/>
      <c r="G8" s="11"/>
      <c r="H8" s="11">
        <v>6285</v>
      </c>
      <c r="I8" s="11">
        <v>7000</v>
      </c>
      <c r="J8" s="11">
        <f t="shared" si="0"/>
        <v>787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8341</v>
      </c>
      <c r="C9" s="11">
        <v>7700</v>
      </c>
      <c r="D9" s="11">
        <v>8747</v>
      </c>
      <c r="E9" s="11">
        <v>8000</v>
      </c>
      <c r="F9" s="11"/>
      <c r="G9" s="11"/>
      <c r="H9" s="11">
        <v>5673</v>
      </c>
      <c r="I9" s="11">
        <v>7000</v>
      </c>
      <c r="J9" s="11">
        <f t="shared" si="0"/>
        <v>-61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9046</v>
      </c>
      <c r="C10" s="11">
        <v>7700</v>
      </c>
      <c r="D10" s="129">
        <v>5199</v>
      </c>
      <c r="E10" s="11">
        <v>8000</v>
      </c>
      <c r="F10" s="11"/>
      <c r="G10" s="11"/>
      <c r="H10" s="11">
        <v>1107</v>
      </c>
      <c r="I10" s="11"/>
      <c r="J10" s="11">
        <f t="shared" si="0"/>
        <v>348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8490</v>
      </c>
      <c r="C11" s="11">
        <v>7700</v>
      </c>
      <c r="D11" s="11">
        <v>4470</v>
      </c>
      <c r="E11" s="11">
        <v>8000</v>
      </c>
      <c r="F11" s="11"/>
      <c r="G11" s="11"/>
      <c r="H11" s="11"/>
      <c r="I11" s="11"/>
      <c r="J11" s="11">
        <f t="shared" si="0"/>
        <v>2740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7931</v>
      </c>
      <c r="C12" s="11">
        <v>7700</v>
      </c>
      <c r="D12" s="11">
        <v>8850</v>
      </c>
      <c r="E12" s="11">
        <v>8000</v>
      </c>
      <c r="F12" s="11"/>
      <c r="G12" s="11"/>
      <c r="H12" s="11"/>
      <c r="I12" s="11"/>
      <c r="J12" s="11">
        <f t="shared" si="0"/>
        <v>-1081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7777</v>
      </c>
      <c r="C13" s="11">
        <v>7700</v>
      </c>
      <c r="D13" s="11">
        <v>8458</v>
      </c>
      <c r="E13" s="11">
        <v>8000</v>
      </c>
      <c r="F13" s="11"/>
      <c r="G13" s="11"/>
      <c r="H13" s="11"/>
      <c r="I13" s="11"/>
      <c r="J13" s="11">
        <f t="shared" si="0"/>
        <v>-535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78872</v>
      </c>
      <c r="C35" s="11">
        <f t="shared" ref="C35:I35" si="1">SUM(C4:C34)</f>
        <v>77000</v>
      </c>
      <c r="D35" s="11">
        <f t="shared" si="1"/>
        <v>77593</v>
      </c>
      <c r="E35" s="11">
        <f t="shared" si="1"/>
        <v>80000</v>
      </c>
      <c r="F35" s="11">
        <f t="shared" si="1"/>
        <v>0</v>
      </c>
      <c r="G35" s="11">
        <f t="shared" si="1"/>
        <v>3500</v>
      </c>
      <c r="H35" s="11">
        <f t="shared" si="1"/>
        <v>36609</v>
      </c>
      <c r="I35" s="11">
        <f t="shared" si="1"/>
        <v>38500</v>
      </c>
      <c r="J35" s="11">
        <f>SUM(J4:J34)</f>
        <v>5926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2.0499999999999998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12148.3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37287</v>
      </c>
      <c r="C39" s="25"/>
      <c r="E39" s="25"/>
      <c r="G39" s="25"/>
      <c r="I39" s="25"/>
      <c r="J39" s="485">
        <v>18846.61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37297</v>
      </c>
      <c r="J41" s="319">
        <f>+J39+J37</f>
        <v>30994.91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37287</v>
      </c>
      <c r="B46" s="32"/>
      <c r="C46" s="32"/>
      <c r="D46" s="486">
        <v>-118658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37297</v>
      </c>
      <c r="B47" s="32"/>
      <c r="C47" s="32"/>
      <c r="D47" s="349">
        <f>+J35</f>
        <v>5926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-112732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3" workbookViewId="0">
      <selection activeCell="D46" sqref="D46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305</v>
      </c>
      <c r="H4" s="14" t="s">
        <v>304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303</v>
      </c>
      <c r="I5" s="14" t="s">
        <v>306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/>
      <c r="E6" s="24"/>
      <c r="F6" s="24">
        <f>+C6+E6-B6-D6</f>
        <v>0</v>
      </c>
      <c r="G6" s="14">
        <v>-20950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/>
      <c r="E7" s="24"/>
      <c r="F7" s="24">
        <f t="shared" ref="F7:F36" si="0">+C7+E7-B7-D7</f>
        <v>0</v>
      </c>
      <c r="G7" s="206">
        <v>-21285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6">
        <v>-12127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/>
      <c r="F9" s="24">
        <f t="shared" si="0"/>
        <v>0</v>
      </c>
      <c r="G9" s="206">
        <v>-3520</v>
      </c>
      <c r="H9" s="14">
        <v>-19935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/>
      <c r="F10" s="24">
        <f t="shared" si="0"/>
        <v>0</v>
      </c>
      <c r="G10" s="206">
        <v>0</v>
      </c>
      <c r="H10" s="14">
        <v>-14532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>
        <v>0</v>
      </c>
      <c r="H11" s="14">
        <v>-10057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06">
        <v>-11018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>
        <v>-27027</v>
      </c>
      <c r="H13" s="14">
        <v>-1</v>
      </c>
      <c r="I13" s="14">
        <v>3239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>
        <v>0</v>
      </c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>
        <v>0</v>
      </c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>
        <v>0</v>
      </c>
      <c r="H16" s="14">
        <v>-25098</v>
      </c>
      <c r="I16" s="14">
        <v>1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>
        <v>0</v>
      </c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>
        <v>-2931</v>
      </c>
      <c r="H18" s="14">
        <v>-11558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>
        <v>-2931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>
        <v>-14542</v>
      </c>
      <c r="H20" s="14">
        <v>-19966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>
        <v>0</v>
      </c>
      <c r="H21" s="14">
        <v>-15603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>
        <v>-35137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>
        <v>-19715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>
        <v>-161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>
        <v>-7781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>
        <v>-14775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>
        <v>-14217</v>
      </c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>
        <v>-28277</v>
      </c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>
        <v>-28905</v>
      </c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>
        <v>-19350</v>
      </c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>
        <v>-14323</v>
      </c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>
        <v>-18186</v>
      </c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>
        <v>-13798</v>
      </c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>
        <v>23</v>
      </c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>
        <v>-14811</v>
      </c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>
        <v>-16076</v>
      </c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0</v>
      </c>
      <c r="E37" s="24">
        <f>SUM(E6:E36)</f>
        <v>0</v>
      </c>
      <c r="F37" s="24">
        <f>SUM(F6:F36)</f>
        <v>0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2.0499999999999998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0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E40" s="14"/>
      <c r="F40" s="580">
        <v>329520.2</v>
      </c>
      <c r="G40" s="441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37287</v>
      </c>
      <c r="E41" s="14"/>
      <c r="F41" s="104">
        <f>+F40+F39</f>
        <v>329520.2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79">
        <v>-36982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37287</v>
      </c>
      <c r="B47" s="32"/>
      <c r="C47" s="32"/>
      <c r="D47" s="349">
        <f>+F37</f>
        <v>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-36982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4" workbookViewId="0">
      <selection activeCell="E18" sqref="E18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>
        <v>65</v>
      </c>
      <c r="F8" s="25">
        <f>+E8+C8-D8-B8</f>
        <v>65</v>
      </c>
    </row>
    <row r="9" spans="1:6" x14ac:dyDescent="0.2">
      <c r="A9" s="10">
        <v>2</v>
      </c>
      <c r="B9" s="11"/>
      <c r="C9" s="11"/>
      <c r="D9" s="11"/>
      <c r="E9" s="11">
        <v>65</v>
      </c>
      <c r="F9" s="25">
        <f t="shared" ref="F9:F38" si="0">+E9+C9-D9-B9</f>
        <v>65</v>
      </c>
    </row>
    <row r="10" spans="1:6" x14ac:dyDescent="0.2">
      <c r="A10" s="10">
        <v>3</v>
      </c>
      <c r="B10" s="11"/>
      <c r="C10" s="11"/>
      <c r="D10" s="11"/>
      <c r="E10" s="11">
        <v>65</v>
      </c>
      <c r="F10" s="25">
        <f t="shared" si="0"/>
        <v>65</v>
      </c>
    </row>
    <row r="11" spans="1:6" x14ac:dyDescent="0.2">
      <c r="A11" s="10">
        <v>4</v>
      </c>
      <c r="B11" s="11"/>
      <c r="C11" s="11"/>
      <c r="D11" s="11"/>
      <c r="E11" s="11">
        <v>33</v>
      </c>
      <c r="F11" s="25">
        <f t="shared" si="0"/>
        <v>33</v>
      </c>
    </row>
    <row r="12" spans="1:6" x14ac:dyDescent="0.2">
      <c r="A12" s="10">
        <v>5</v>
      </c>
      <c r="B12" s="11"/>
      <c r="C12" s="11"/>
      <c r="D12" s="11"/>
      <c r="E12" s="11">
        <v>65</v>
      </c>
      <c r="F12" s="25">
        <f t="shared" si="0"/>
        <v>65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>
        <v>135</v>
      </c>
      <c r="F14" s="25">
        <f t="shared" si="0"/>
        <v>135</v>
      </c>
    </row>
    <row r="15" spans="1:6" x14ac:dyDescent="0.2">
      <c r="A15" s="10">
        <v>8</v>
      </c>
      <c r="B15" s="11"/>
      <c r="C15" s="11"/>
      <c r="D15" s="11"/>
      <c r="E15" s="11">
        <v>135</v>
      </c>
      <c r="F15" s="25">
        <f t="shared" si="0"/>
        <v>135</v>
      </c>
    </row>
    <row r="16" spans="1:6" x14ac:dyDescent="0.2">
      <c r="A16" s="10">
        <v>9</v>
      </c>
      <c r="B16" s="11"/>
      <c r="C16" s="11"/>
      <c r="D16" s="11"/>
      <c r="E16" s="11">
        <v>135</v>
      </c>
      <c r="F16" s="25">
        <f t="shared" si="0"/>
        <v>135</v>
      </c>
    </row>
    <row r="17" spans="1:10" x14ac:dyDescent="0.2">
      <c r="A17" s="10">
        <v>10</v>
      </c>
      <c r="B17" s="11"/>
      <c r="C17" s="11"/>
      <c r="D17" s="11"/>
      <c r="E17" s="11">
        <v>135</v>
      </c>
      <c r="F17" s="25">
        <f t="shared" si="0"/>
        <v>135</v>
      </c>
      <c r="J17" s="322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833</v>
      </c>
      <c r="F39" s="25">
        <f>SUM(F8:F38)</f>
        <v>833</v>
      </c>
    </row>
    <row r="40" spans="1:6" x14ac:dyDescent="0.2">
      <c r="A40" s="26"/>
      <c r="C40" s="14"/>
      <c r="F40" s="253">
        <f>+summary!G4</f>
        <v>2.0499999999999998</v>
      </c>
    </row>
    <row r="41" spans="1:6" x14ac:dyDescent="0.2">
      <c r="F41" s="138">
        <f>+F40*F39</f>
        <v>1707.6499999999999</v>
      </c>
    </row>
    <row r="42" spans="1:6" x14ac:dyDescent="0.2">
      <c r="A42" s="57">
        <v>37287</v>
      </c>
      <c r="C42" s="15"/>
      <c r="F42" s="582">
        <v>42790.44</v>
      </c>
    </row>
    <row r="43" spans="1:6" x14ac:dyDescent="0.2">
      <c r="A43" s="57">
        <v>37297</v>
      </c>
      <c r="C43" s="48"/>
      <c r="F43" s="138">
        <f>+F42+F41</f>
        <v>44498.090000000004</v>
      </c>
    </row>
    <row r="47" spans="1:6" x14ac:dyDescent="0.2">
      <c r="A47" s="32" t="s">
        <v>149</v>
      </c>
      <c r="B47" s="32"/>
      <c r="C47" s="32"/>
      <c r="D47" s="32"/>
    </row>
    <row r="48" spans="1:6" x14ac:dyDescent="0.2">
      <c r="A48" s="49">
        <f>+A42</f>
        <v>37287</v>
      </c>
      <c r="B48" s="32"/>
      <c r="C48" s="32"/>
      <c r="D48" s="486">
        <v>4581</v>
      </c>
    </row>
    <row r="49" spans="1:4" x14ac:dyDescent="0.2">
      <c r="A49" s="49">
        <f>+A43</f>
        <v>37297</v>
      </c>
      <c r="B49" s="32"/>
      <c r="C49" s="32"/>
      <c r="D49" s="349">
        <f>+F39</f>
        <v>833</v>
      </c>
    </row>
    <row r="50" spans="1:4" x14ac:dyDescent="0.2">
      <c r="A50" s="32"/>
      <c r="B50" s="32"/>
      <c r="C50" s="32"/>
      <c r="D50" s="14">
        <f>+D49+D48</f>
        <v>5414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4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49"/>
    </row>
    <row r="41" spans="1:4" x14ac:dyDescent="0.2">
      <c r="A41" s="57">
        <v>37287</v>
      </c>
      <c r="C41" s="15"/>
      <c r="D41" s="456">
        <v>17587</v>
      </c>
    </row>
    <row r="42" spans="1:4" x14ac:dyDescent="0.2">
      <c r="A42" s="57">
        <v>37290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150</v>
      </c>
      <c r="B46" s="32"/>
      <c r="C46" s="32"/>
      <c r="D46" s="32"/>
    </row>
    <row r="47" spans="1:4" x14ac:dyDescent="0.2">
      <c r="A47" s="49">
        <f>+A41</f>
        <v>37287</v>
      </c>
      <c r="B47" s="32"/>
      <c r="C47" s="32"/>
      <c r="D47" s="459">
        <v>385897</v>
      </c>
    </row>
    <row r="48" spans="1:4" x14ac:dyDescent="0.2">
      <c r="A48" s="49">
        <f>+A42</f>
        <v>37290</v>
      </c>
      <c r="B48" s="32"/>
      <c r="C48" s="32"/>
      <c r="D48" s="374">
        <f>+D39*summary!G4</f>
        <v>0</v>
      </c>
    </row>
    <row r="49" spans="1:4" x14ac:dyDescent="0.2">
      <c r="A49" s="32"/>
      <c r="B49" s="32"/>
      <c r="C49" s="32"/>
      <c r="D49" s="200">
        <f>+D48+D47</f>
        <v>385897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33" workbookViewId="0">
      <selection activeCell="B38" sqref="B38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-42385</v>
      </c>
      <c r="C6" s="11">
        <v>-39000</v>
      </c>
      <c r="D6" s="25">
        <f>+C6-B6</f>
        <v>3385</v>
      </c>
      <c r="G6" s="118"/>
      <c r="H6" s="34"/>
      <c r="I6" s="34"/>
      <c r="J6" s="189"/>
      <c r="K6" s="411" t="s">
        <v>57</v>
      </c>
      <c r="L6" s="189"/>
      <c r="M6" s="2"/>
      <c r="N6" s="34"/>
    </row>
    <row r="7" spans="1:14" x14ac:dyDescent="0.2">
      <c r="A7" s="10">
        <v>2</v>
      </c>
      <c r="B7" s="11">
        <v>-42398</v>
      </c>
      <c r="C7" s="11">
        <v>-40000</v>
      </c>
      <c r="D7" s="25">
        <f t="shared" ref="D7:D36" si="0">+C7-B7</f>
        <v>2398</v>
      </c>
      <c r="G7" s="118" t="s">
        <v>39</v>
      </c>
      <c r="H7" s="412" t="s">
        <v>19</v>
      </c>
      <c r="I7" s="412" t="s">
        <v>20</v>
      </c>
      <c r="J7" s="413" t="s">
        <v>49</v>
      </c>
      <c r="K7" s="411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-42443</v>
      </c>
      <c r="C8" s="11">
        <v>-40000</v>
      </c>
      <c r="D8" s="25">
        <f t="shared" si="0"/>
        <v>2443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1">
        <v>5.62</v>
      </c>
      <c r="L8" s="416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-41996</v>
      </c>
      <c r="C9" s="11">
        <v>-40000</v>
      </c>
      <c r="D9" s="25">
        <f t="shared" si="0"/>
        <v>1996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1">
        <v>4.9800000000000004</v>
      </c>
      <c r="L9" s="416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-42071</v>
      </c>
      <c r="C10" s="11">
        <v>-40000</v>
      </c>
      <c r="D10" s="25">
        <f t="shared" si="0"/>
        <v>2071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1">
        <v>4.87</v>
      </c>
      <c r="L10" s="416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-42172</v>
      </c>
      <c r="C11" s="11">
        <v>-42972</v>
      </c>
      <c r="D11" s="25">
        <f t="shared" si="0"/>
        <v>-800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1">
        <v>3.82</v>
      </c>
      <c r="L11" s="416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-48371</v>
      </c>
      <c r="C12" s="11">
        <v>-50000</v>
      </c>
      <c r="D12" s="25">
        <f t="shared" si="0"/>
        <v>-1629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1">
        <v>3.2</v>
      </c>
      <c r="L12" s="416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>
        <v>-80802</v>
      </c>
      <c r="C13" s="11">
        <v>-70000</v>
      </c>
      <c r="D13" s="25">
        <f t="shared" si="0"/>
        <v>10802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1">
        <v>2.77</v>
      </c>
      <c r="L13" s="416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-82459</v>
      </c>
      <c r="C14" s="11">
        <v>-80300</v>
      </c>
      <c r="D14" s="25">
        <f t="shared" si="0"/>
        <v>2159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1">
        <v>2.77</v>
      </c>
      <c r="L14" s="416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-78069</v>
      </c>
      <c r="C15" s="11">
        <v>-80300</v>
      </c>
      <c r="D15" s="25">
        <f t="shared" si="0"/>
        <v>-2231</v>
      </c>
      <c r="G15" s="437"/>
      <c r="H15" s="119"/>
      <c r="I15" s="119"/>
      <c r="J15" s="119"/>
      <c r="K15" s="411"/>
      <c r="L15" s="416"/>
      <c r="M15" s="104"/>
      <c r="N15" s="34"/>
    </row>
    <row r="16" spans="1:14" ht="15" customHeight="1" x14ac:dyDescent="0.2">
      <c r="A16" s="10">
        <v>11</v>
      </c>
      <c r="B16" s="11"/>
      <c r="C16" s="11"/>
      <c r="D16" s="25">
        <f t="shared" si="0"/>
        <v>0</v>
      </c>
      <c r="G16" s="438"/>
      <c r="H16" s="34"/>
      <c r="I16" s="34"/>
      <c r="J16" s="189"/>
      <c r="K16" s="411"/>
      <c r="L16" s="189"/>
      <c r="M16" s="2"/>
      <c r="N16" s="34"/>
    </row>
    <row r="17" spans="1:14" ht="15" customHeight="1" x14ac:dyDescent="0.2">
      <c r="A17" s="10">
        <v>12</v>
      </c>
      <c r="B17" s="11"/>
      <c r="C17" s="11"/>
      <c r="D17" s="25">
        <f t="shared" si="0"/>
        <v>0</v>
      </c>
      <c r="G17" s="438"/>
      <c r="H17" s="34"/>
      <c r="I17" s="34"/>
      <c r="J17" s="307">
        <f>SUM(J8:J16)</f>
        <v>130492</v>
      </c>
      <c r="K17" s="411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11"/>
      <c r="L18" s="189"/>
      <c r="M18" s="2"/>
      <c r="N18" s="34"/>
    </row>
    <row r="19" spans="1:14" x14ac:dyDescent="0.2">
      <c r="A19" s="10">
        <v>14</v>
      </c>
      <c r="B19" s="11"/>
      <c r="C19" s="11"/>
      <c r="D19" s="25">
        <f t="shared" si="0"/>
        <v>0</v>
      </c>
      <c r="G19" s="118" t="s">
        <v>184</v>
      </c>
      <c r="H19" s="119">
        <f>+B37</f>
        <v>-543166</v>
      </c>
      <c r="I19" s="119">
        <f>+C37</f>
        <v>-522572</v>
      </c>
      <c r="J19" s="119">
        <f>+I19-H19</f>
        <v>20594</v>
      </c>
      <c r="K19" s="411">
        <f>+D38</f>
        <v>2.0499999999999998</v>
      </c>
      <c r="L19" s="416">
        <f>+K19*J19</f>
        <v>42217.7</v>
      </c>
      <c r="M19" s="2"/>
      <c r="N19" s="34"/>
    </row>
    <row r="20" spans="1:14" x14ac:dyDescent="0.2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11"/>
      <c r="L20" s="416"/>
      <c r="M20" s="2"/>
      <c r="N20" s="34"/>
    </row>
    <row r="21" spans="1:14" x14ac:dyDescent="0.2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07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185</v>
      </c>
      <c r="H24" s="24"/>
      <c r="I24" s="24"/>
      <c r="J24" s="24">
        <f>+J19+J17</f>
        <v>151086</v>
      </c>
      <c r="K24" s="407"/>
      <c r="L24" s="110">
        <f>+L19+L17</f>
        <v>123902.79999999983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07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186</v>
      </c>
      <c r="H26" s="24"/>
      <c r="I26" s="24"/>
      <c r="J26" s="110"/>
      <c r="K26" s="407"/>
      <c r="L26" s="24">
        <f>+L24/K19</f>
        <v>60440.390243902359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07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7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-543166</v>
      </c>
      <c r="C37" s="11">
        <f>SUM(C6:C36)</f>
        <v>-522572</v>
      </c>
      <c r="D37" s="25">
        <f>SUM(D6:D36)</f>
        <v>20594</v>
      </c>
    </row>
    <row r="38" spans="1:4" x14ac:dyDescent="0.2">
      <c r="A38" s="26"/>
      <c r="C38" s="14"/>
      <c r="D38" s="326">
        <f>+summary!G4</f>
        <v>2.0499999999999998</v>
      </c>
    </row>
    <row r="39" spans="1:4" x14ac:dyDescent="0.2">
      <c r="D39" s="138">
        <f>+D38*D37</f>
        <v>42217.7</v>
      </c>
    </row>
    <row r="40" spans="1:4" x14ac:dyDescent="0.2">
      <c r="A40" s="57">
        <v>37287</v>
      </c>
      <c r="C40" s="15"/>
      <c r="D40" s="602">
        <v>-2220</v>
      </c>
    </row>
    <row r="41" spans="1:4" x14ac:dyDescent="0.2">
      <c r="A41" s="57">
        <v>37297</v>
      </c>
      <c r="C41" s="48"/>
      <c r="D41" s="138">
        <f>+D40+D39</f>
        <v>39997.699999999997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603">
        <v>86032</v>
      </c>
    </row>
    <row r="46" spans="1:4" x14ac:dyDescent="0.2">
      <c r="A46" s="49">
        <f>+A41</f>
        <v>37297</v>
      </c>
      <c r="B46" s="32"/>
      <c r="C46" s="32"/>
      <c r="D46" s="349">
        <f>+D37</f>
        <v>20594</v>
      </c>
    </row>
    <row r="47" spans="1:4" x14ac:dyDescent="0.2">
      <c r="A47" s="32"/>
      <c r="B47" s="32"/>
      <c r="C47" s="32"/>
      <c r="D47" s="14">
        <f>+D46+D45</f>
        <v>106626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2" workbookViewId="0">
      <selection activeCell="A42" sqref="A42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/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31118</v>
      </c>
      <c r="C6" s="11">
        <v>31456</v>
      </c>
      <c r="D6" s="25">
        <f>+C6-B6</f>
        <v>338</v>
      </c>
    </row>
    <row r="7" spans="1:5" x14ac:dyDescent="0.2">
      <c r="A7" s="10">
        <v>2</v>
      </c>
      <c r="B7" s="11">
        <v>26432</v>
      </c>
      <c r="C7" s="11">
        <v>31456</v>
      </c>
      <c r="D7" s="25">
        <f t="shared" ref="D7:D36" si="0">+C7-B7</f>
        <v>5024</v>
      </c>
    </row>
    <row r="8" spans="1:5" x14ac:dyDescent="0.2">
      <c r="A8" s="10">
        <v>3</v>
      </c>
      <c r="B8" s="11">
        <v>27387</v>
      </c>
      <c r="C8" s="11">
        <v>31394</v>
      </c>
      <c r="D8" s="25">
        <f t="shared" si="0"/>
        <v>4007</v>
      </c>
    </row>
    <row r="9" spans="1:5" x14ac:dyDescent="0.2">
      <c r="A9" s="10">
        <v>4</v>
      </c>
      <c r="B9" s="11">
        <v>31954</v>
      </c>
      <c r="C9" s="11">
        <v>31456</v>
      </c>
      <c r="D9" s="25">
        <f t="shared" si="0"/>
        <v>-498</v>
      </c>
    </row>
    <row r="10" spans="1:5" x14ac:dyDescent="0.2">
      <c r="A10" s="10">
        <v>5</v>
      </c>
      <c r="B10" s="11">
        <v>31066</v>
      </c>
      <c r="C10" s="11">
        <v>34456</v>
      </c>
      <c r="D10" s="25">
        <f t="shared" si="0"/>
        <v>3390</v>
      </c>
    </row>
    <row r="11" spans="1:5" x14ac:dyDescent="0.2">
      <c r="A11" s="10">
        <v>6</v>
      </c>
      <c r="B11" s="129">
        <v>37507</v>
      </c>
      <c r="C11" s="11">
        <v>36936</v>
      </c>
      <c r="D11" s="25">
        <f t="shared" si="0"/>
        <v>-571</v>
      </c>
    </row>
    <row r="12" spans="1:5" x14ac:dyDescent="0.2">
      <c r="A12" s="10">
        <v>7</v>
      </c>
      <c r="B12" s="129">
        <v>37808</v>
      </c>
      <c r="C12" s="11">
        <v>38956</v>
      </c>
      <c r="D12" s="25">
        <f t="shared" si="0"/>
        <v>1148</v>
      </c>
    </row>
    <row r="13" spans="1:5" x14ac:dyDescent="0.2">
      <c r="A13" s="10">
        <v>8</v>
      </c>
      <c r="B13" s="129">
        <v>38181</v>
      </c>
      <c r="C13" s="11">
        <v>39034</v>
      </c>
      <c r="D13" s="25">
        <f t="shared" si="0"/>
        <v>853</v>
      </c>
    </row>
    <row r="14" spans="1:5" x14ac:dyDescent="0.2">
      <c r="A14" s="10">
        <v>9</v>
      </c>
      <c r="B14" s="129">
        <v>38435</v>
      </c>
      <c r="C14" s="11">
        <v>39956</v>
      </c>
      <c r="D14" s="25">
        <f t="shared" si="0"/>
        <v>1521</v>
      </c>
    </row>
    <row r="15" spans="1:5" x14ac:dyDescent="0.2">
      <c r="A15" s="10">
        <v>10</v>
      </c>
      <c r="B15" s="129">
        <v>36511</v>
      </c>
      <c r="C15" s="11">
        <v>39956</v>
      </c>
      <c r="D15" s="25">
        <f t="shared" si="0"/>
        <v>3445</v>
      </c>
    </row>
    <row r="16" spans="1:5" x14ac:dyDescent="0.2">
      <c r="A16" s="10">
        <v>11</v>
      </c>
      <c r="B16" s="129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336399</v>
      </c>
      <c r="C37" s="11">
        <f>SUM(C6:C36)</f>
        <v>355056</v>
      </c>
      <c r="D37" s="25">
        <f>SUM(D6:D36)</f>
        <v>18657</v>
      </c>
    </row>
    <row r="38" spans="1:4" x14ac:dyDescent="0.2">
      <c r="A38" s="26"/>
      <c r="B38" s="31"/>
      <c r="C38" s="14"/>
      <c r="D38" s="326">
        <f>+summary!G5</f>
        <v>2.06</v>
      </c>
    </row>
    <row r="39" spans="1:4" x14ac:dyDescent="0.2">
      <c r="D39" s="138">
        <f>+D38*D37</f>
        <v>38433.42</v>
      </c>
    </row>
    <row r="40" spans="1:4" x14ac:dyDescent="0.2">
      <c r="A40" s="57">
        <v>37287</v>
      </c>
      <c r="C40" s="15"/>
      <c r="D40" s="602">
        <v>100916</v>
      </c>
    </row>
    <row r="41" spans="1:4" x14ac:dyDescent="0.2">
      <c r="A41" s="57">
        <v>37297</v>
      </c>
      <c r="C41" s="48"/>
      <c r="D41" s="138">
        <f>+D40+D39</f>
        <v>139349.41999999998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603">
        <v>62232</v>
      </c>
    </row>
    <row r="46" spans="1:4" x14ac:dyDescent="0.2">
      <c r="A46" s="49">
        <f>+A41</f>
        <v>37297</v>
      </c>
      <c r="B46" s="32"/>
      <c r="C46" s="32"/>
      <c r="D46" s="349">
        <f>+D37</f>
        <v>18657</v>
      </c>
    </row>
    <row r="47" spans="1:4" x14ac:dyDescent="0.2">
      <c r="A47" s="32"/>
      <c r="B47" s="32"/>
      <c r="C47" s="32"/>
      <c r="D47" s="14">
        <f>+D46+D45</f>
        <v>80889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34" workbookViewId="0">
      <selection activeCell="D47" sqref="D47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6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8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5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348740</v>
      </c>
      <c r="C4" s="11">
        <v>348593</v>
      </c>
      <c r="D4" s="11">
        <v>44952</v>
      </c>
      <c r="E4" s="11">
        <v>39832</v>
      </c>
      <c r="F4" s="11">
        <v>34864</v>
      </c>
      <c r="G4" s="11">
        <v>38368</v>
      </c>
      <c r="H4" s="11">
        <v>138333</v>
      </c>
      <c r="I4" s="11">
        <v>132994</v>
      </c>
      <c r="J4" s="11">
        <f t="shared" ref="J4:J34" si="0">+C4+E4+G4+I4-H4-F4-D4-B4</f>
        <v>-7102</v>
      </c>
      <c r="K4" s="31"/>
      <c r="M4" s="405" t="s">
        <v>39</v>
      </c>
      <c r="N4" s="4" t="s">
        <v>19</v>
      </c>
      <c r="O4" s="4" t="s">
        <v>20</v>
      </c>
      <c r="P4" s="403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326868</v>
      </c>
      <c r="C5" s="11">
        <v>331402</v>
      </c>
      <c r="D5" s="11">
        <v>44933</v>
      </c>
      <c r="E5" s="11">
        <v>40489</v>
      </c>
      <c r="F5" s="11">
        <v>36801</v>
      </c>
      <c r="G5" s="11">
        <v>38316</v>
      </c>
      <c r="H5" s="11">
        <v>105582</v>
      </c>
      <c r="I5" s="11">
        <v>103708</v>
      </c>
      <c r="J5" s="11">
        <f t="shared" si="0"/>
        <v>-269</v>
      </c>
      <c r="M5" s="214" t="s">
        <v>249</v>
      </c>
      <c r="N5" s="14"/>
      <c r="O5" s="14"/>
      <c r="P5" s="14">
        <v>-34361</v>
      </c>
      <c r="Q5" s="358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327137</v>
      </c>
      <c r="C6" s="11">
        <v>330848</v>
      </c>
      <c r="D6" s="11">
        <v>45018</v>
      </c>
      <c r="E6" s="11">
        <v>40410</v>
      </c>
      <c r="F6" s="11">
        <v>34501</v>
      </c>
      <c r="G6" s="11">
        <v>39399</v>
      </c>
      <c r="H6" s="11">
        <v>111726</v>
      </c>
      <c r="I6" s="11">
        <v>105510</v>
      </c>
      <c r="J6" s="11">
        <f t="shared" si="0"/>
        <v>-2215</v>
      </c>
      <c r="M6" s="405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8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327600</v>
      </c>
      <c r="C7" s="11">
        <v>330450</v>
      </c>
      <c r="D7" s="11">
        <v>31087</v>
      </c>
      <c r="E7" s="11">
        <v>40426</v>
      </c>
      <c r="F7" s="11">
        <v>42627</v>
      </c>
      <c r="G7" s="11">
        <v>39399</v>
      </c>
      <c r="H7" s="11">
        <v>126063</v>
      </c>
      <c r="I7" s="11">
        <v>126994</v>
      </c>
      <c r="J7" s="11">
        <f t="shared" si="0"/>
        <v>9892</v>
      </c>
      <c r="M7" s="405">
        <v>36892</v>
      </c>
      <c r="N7" s="24">
        <v>18949781</v>
      </c>
      <c r="O7" s="14">
        <v>18975457</v>
      </c>
      <c r="P7" s="14">
        <f t="shared" si="1"/>
        <v>25676</v>
      </c>
      <c r="Q7" s="358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305375</v>
      </c>
      <c r="C8" s="11">
        <v>307821</v>
      </c>
      <c r="D8" s="129">
        <v>35408</v>
      </c>
      <c r="E8" s="11">
        <v>35617</v>
      </c>
      <c r="F8" s="11">
        <v>42536</v>
      </c>
      <c r="G8" s="11">
        <v>40399</v>
      </c>
      <c r="H8" s="129">
        <v>135758</v>
      </c>
      <c r="I8" s="11">
        <v>134714</v>
      </c>
      <c r="J8" s="11">
        <f t="shared" si="0"/>
        <v>-526</v>
      </c>
      <c r="M8" s="405">
        <v>36923</v>
      </c>
      <c r="N8" s="24">
        <v>15256233</v>
      </c>
      <c r="O8" s="14">
        <v>15290953</v>
      </c>
      <c r="P8" s="14">
        <f t="shared" si="1"/>
        <v>34720</v>
      </c>
      <c r="Q8" s="358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328360</v>
      </c>
      <c r="C9" s="11">
        <v>331758</v>
      </c>
      <c r="D9" s="11">
        <v>32048</v>
      </c>
      <c r="E9" s="11">
        <v>35617</v>
      </c>
      <c r="F9" s="11">
        <v>44703</v>
      </c>
      <c r="G9" s="11">
        <v>37058</v>
      </c>
      <c r="H9" s="11">
        <v>132131</v>
      </c>
      <c r="I9" s="11">
        <v>131043</v>
      </c>
      <c r="J9" s="11">
        <f t="shared" si="0"/>
        <v>-1766</v>
      </c>
      <c r="M9" s="405">
        <v>36951</v>
      </c>
      <c r="N9" s="24">
        <v>17049350</v>
      </c>
      <c r="O9" s="14">
        <v>17089226</v>
      </c>
      <c r="P9" s="14">
        <f t="shared" si="1"/>
        <v>39876</v>
      </c>
      <c r="Q9" s="358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319506</v>
      </c>
      <c r="C10" s="11">
        <v>320155</v>
      </c>
      <c r="D10" s="129">
        <v>23179</v>
      </c>
      <c r="E10" s="11">
        <v>22626</v>
      </c>
      <c r="F10" s="129">
        <v>38348</v>
      </c>
      <c r="G10" s="11">
        <v>37079</v>
      </c>
      <c r="H10" s="129">
        <v>129327</v>
      </c>
      <c r="I10" s="11">
        <v>126563</v>
      </c>
      <c r="J10" s="11">
        <f t="shared" si="0"/>
        <v>-3937</v>
      </c>
      <c r="M10" s="405">
        <v>36982</v>
      </c>
      <c r="N10" s="24">
        <v>17652369</v>
      </c>
      <c r="O10" s="14">
        <v>17743987</v>
      </c>
      <c r="P10" s="14">
        <f t="shared" si="1"/>
        <v>91618</v>
      </c>
      <c r="Q10" s="358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286158</v>
      </c>
      <c r="C11" s="11">
        <v>281186</v>
      </c>
      <c r="D11" s="11">
        <v>22743</v>
      </c>
      <c r="E11" s="11">
        <v>22671</v>
      </c>
      <c r="F11" s="11">
        <v>38426</v>
      </c>
      <c r="G11" s="11">
        <v>40918</v>
      </c>
      <c r="H11" s="11">
        <v>111115</v>
      </c>
      <c r="I11" s="11">
        <v>111192</v>
      </c>
      <c r="J11" s="11">
        <f t="shared" si="0"/>
        <v>-2475</v>
      </c>
      <c r="M11" s="405">
        <v>37012</v>
      </c>
      <c r="N11" s="24">
        <v>16124989</v>
      </c>
      <c r="O11" s="14">
        <v>16282021</v>
      </c>
      <c r="P11" s="14">
        <f t="shared" si="1"/>
        <v>157032</v>
      </c>
      <c r="Q11" s="358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302691</v>
      </c>
      <c r="C12" s="11">
        <v>299195</v>
      </c>
      <c r="D12" s="11">
        <v>19977</v>
      </c>
      <c r="E12" s="11">
        <v>22175</v>
      </c>
      <c r="F12" s="11">
        <v>40192</v>
      </c>
      <c r="G12" s="11">
        <v>40918</v>
      </c>
      <c r="H12" s="11">
        <v>124988</v>
      </c>
      <c r="I12" s="11">
        <v>121550</v>
      </c>
      <c r="J12" s="11">
        <f t="shared" si="0"/>
        <v>-4010</v>
      </c>
      <c r="M12" s="405">
        <v>37043</v>
      </c>
      <c r="N12" s="24">
        <v>15928675</v>
      </c>
      <c r="O12" s="14">
        <v>15936227</v>
      </c>
      <c r="P12" s="14">
        <f t="shared" si="1"/>
        <v>7552</v>
      </c>
      <c r="Q12" s="358">
        <v>2.58</v>
      </c>
      <c r="R12" s="200">
        <f t="shared" si="2"/>
        <v>19484.16</v>
      </c>
      <c r="S12" s="480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294278</v>
      </c>
      <c r="C13" s="11">
        <v>299195</v>
      </c>
      <c r="D13" s="129">
        <v>22860</v>
      </c>
      <c r="E13" s="11">
        <v>22094</v>
      </c>
      <c r="F13" s="129">
        <v>42910</v>
      </c>
      <c r="G13" s="11">
        <v>40918</v>
      </c>
      <c r="H13" s="129">
        <v>128025</v>
      </c>
      <c r="I13" s="11">
        <v>125624</v>
      </c>
      <c r="J13" s="11">
        <f t="shared" si="0"/>
        <v>-242</v>
      </c>
      <c r="M13" s="405">
        <v>37073</v>
      </c>
      <c r="N13" s="24">
        <v>16669639</v>
      </c>
      <c r="O13" s="14">
        <v>16693576</v>
      </c>
      <c r="P13" s="14">
        <f t="shared" si="1"/>
        <v>23937</v>
      </c>
      <c r="Q13" s="358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M14" s="405">
        <v>37104</v>
      </c>
      <c r="N14" s="24">
        <v>17850737</v>
      </c>
      <c r="O14" s="14">
        <v>17815859</v>
      </c>
      <c r="P14" s="14">
        <f>+O14-N14</f>
        <v>-34878</v>
      </c>
      <c r="Q14" s="358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05">
        <v>37135</v>
      </c>
      <c r="N15" s="24">
        <v>16552948</v>
      </c>
      <c r="O15" s="14">
        <v>16508018</v>
      </c>
      <c r="P15" s="14">
        <f>+O15-N15</f>
        <v>-44930</v>
      </c>
      <c r="Q15" s="358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05">
        <v>37165</v>
      </c>
      <c r="N16" s="24">
        <v>17924814</v>
      </c>
      <c r="O16" s="14">
        <v>17872479</v>
      </c>
      <c r="P16" s="14">
        <f>+O16-N16</f>
        <v>-52335</v>
      </c>
      <c r="Q16" s="358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05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8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05">
        <v>37229</v>
      </c>
      <c r="N18" s="24"/>
      <c r="O18" s="14"/>
      <c r="P18" s="14">
        <f>+O18-N18</f>
        <v>0</v>
      </c>
      <c r="Q18" s="358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05"/>
      <c r="N21" s="24"/>
      <c r="O21" s="14"/>
      <c r="P21" s="14">
        <f>SUM(P5:P20)</f>
        <v>135708</v>
      </c>
      <c r="Q21" s="358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05"/>
      <c r="N22" s="24"/>
      <c r="O22" s="14"/>
      <c r="P22" s="201">
        <v>1.98</v>
      </c>
      <c r="Q22" s="358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05"/>
      <c r="N23" s="14">
        <v>1378106</v>
      </c>
      <c r="O23" s="14">
        <v>1316146</v>
      </c>
      <c r="P23" s="201">
        <f>+P22*P21</f>
        <v>268701.84000000003</v>
      </c>
      <c r="Q23" s="358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05"/>
      <c r="N24" s="14">
        <v>9216070</v>
      </c>
      <c r="O24" s="14">
        <v>9272400</v>
      </c>
      <c r="P24" s="15"/>
      <c r="Q24" s="358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05"/>
      <c r="N25" s="24">
        <v>3546065</v>
      </c>
      <c r="O25" s="24">
        <v>3512740</v>
      </c>
      <c r="P25" s="110"/>
      <c r="Q25" s="407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7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7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7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7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7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7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8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8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8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3166713</v>
      </c>
      <c r="C35" s="11">
        <f t="shared" ref="C35:I35" si="3">SUM(C4:C34)</f>
        <v>3180603</v>
      </c>
      <c r="D35" s="11">
        <f t="shared" si="3"/>
        <v>322205</v>
      </c>
      <c r="E35" s="11">
        <f t="shared" si="3"/>
        <v>321957</v>
      </c>
      <c r="F35" s="11">
        <f t="shared" si="3"/>
        <v>395908</v>
      </c>
      <c r="G35" s="11">
        <f t="shared" si="3"/>
        <v>392772</v>
      </c>
      <c r="H35" s="11">
        <f t="shared" si="3"/>
        <v>1243048</v>
      </c>
      <c r="I35" s="11">
        <f t="shared" si="3"/>
        <v>1219892</v>
      </c>
      <c r="J35" s="11">
        <f>SUM(J4:J34)</f>
        <v>-12650</v>
      </c>
      <c r="M35" s="32"/>
      <c r="N35" s="24"/>
      <c r="O35" s="32"/>
      <c r="P35" s="15"/>
      <c r="Q35" s="358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8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8"/>
      <c r="R37" s="110"/>
      <c r="S37" s="19"/>
      <c r="T37" s="104"/>
      <c r="U37" s="16"/>
      <c r="V37" s="15"/>
      <c r="W37" s="13"/>
    </row>
    <row r="38" spans="1:23" x14ac:dyDescent="0.2">
      <c r="A38" s="56">
        <v>37287</v>
      </c>
      <c r="C38" s="25"/>
      <c r="E38" s="25"/>
      <c r="G38" s="25"/>
      <c r="I38" s="25"/>
      <c r="J38" s="583">
        <f>3060-3060</f>
        <v>0</v>
      </c>
      <c r="M38" s="32"/>
      <c r="N38" s="24"/>
      <c r="O38" s="32"/>
      <c r="P38" s="15"/>
      <c r="Q38" s="358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8"/>
      <c r="R39" s="110"/>
      <c r="S39" s="19"/>
      <c r="T39" s="104"/>
      <c r="U39" s="16"/>
      <c r="V39" s="15"/>
      <c r="W39" s="13"/>
    </row>
    <row r="40" spans="1:23" x14ac:dyDescent="0.2">
      <c r="A40" s="33">
        <v>37297</v>
      </c>
      <c r="J40" s="51">
        <f>+J38+J35</f>
        <v>-12650</v>
      </c>
      <c r="M40" s="32"/>
      <c r="N40" s="24"/>
      <c r="O40" s="32"/>
      <c r="P40" s="15"/>
      <c r="Q40" s="358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8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8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8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8"/>
      <c r="R44" s="110"/>
      <c r="S44" s="19"/>
      <c r="T44" s="104"/>
      <c r="U44" s="16"/>
      <c r="V44" s="15"/>
      <c r="W44" s="13"/>
    </row>
    <row r="45" spans="1:23" x14ac:dyDescent="0.2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8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37287</v>
      </c>
      <c r="B46" s="32"/>
      <c r="C46" s="32"/>
      <c r="D46" s="586">
        <f>6364.8-6364.8</f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8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37297</v>
      </c>
      <c r="B47" s="32"/>
      <c r="C47" s="32"/>
      <c r="D47" s="374">
        <f>+J35*'by type_area'!G3</f>
        <v>-26059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8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-26059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8"/>
      <c r="R48" s="15"/>
      <c r="S48" s="19"/>
      <c r="T48" s="32"/>
    </row>
    <row r="49" spans="1:20" x14ac:dyDescent="0.2">
      <c r="A49" s="139"/>
      <c r="B49" s="119"/>
      <c r="C49" s="140"/>
      <c r="D49" s="375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8"/>
      <c r="R49" s="15"/>
      <c r="S49" s="32"/>
      <c r="T49" s="32"/>
    </row>
    <row r="50" spans="1:20" x14ac:dyDescent="0.2">
      <c r="A50" s="10"/>
      <c r="B50" s="11"/>
      <c r="C50" s="11"/>
      <c r="D50" s="376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8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8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8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8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8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8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8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8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8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8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8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8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8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8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8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8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8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8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7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7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7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7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7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7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7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7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7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7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7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7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7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7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7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7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7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7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7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7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7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7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8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8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8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8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8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8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8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8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8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8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8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8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8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8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8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8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8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8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8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8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3"/>
      <c r="Q255" s="143"/>
      <c r="R255" s="403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4"/>
      <c r="Q256" s="409"/>
      <c r="R256" s="404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7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7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7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7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7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7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7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7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7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7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7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7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7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7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7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7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7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7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7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7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7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7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7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7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7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7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7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7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7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7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7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7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8"/>
      <c r="S295" s="1"/>
    </row>
    <row r="296" spans="9:21" x14ac:dyDescent="0.2">
      <c r="K296" s="2"/>
      <c r="M296" s="30"/>
      <c r="N296" s="4"/>
      <c r="O296" s="4"/>
      <c r="P296" s="403"/>
      <c r="Q296" s="143"/>
      <c r="R296" s="403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4"/>
      <c r="Q297" s="409"/>
      <c r="R297" s="404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7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7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7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7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7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7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7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7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7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7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7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7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7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7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7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7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7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7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7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7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7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7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7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7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7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7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7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7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7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7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7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7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8"/>
      <c r="S337" s="1"/>
    </row>
    <row r="338" spans="11:21" x14ac:dyDescent="0.2">
      <c r="K338" s="2"/>
      <c r="M338" s="30"/>
      <c r="N338" s="4"/>
      <c r="O338" s="4"/>
      <c r="P338" s="403"/>
      <c r="Q338" s="143"/>
      <c r="R338" s="403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4"/>
      <c r="Q339" s="409"/>
      <c r="R339" s="404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7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7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7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7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7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7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7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7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7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7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7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7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7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7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7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7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7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7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7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7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7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7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7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7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7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7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7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7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7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7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7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7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8"/>
      <c r="S379" s="1"/>
    </row>
    <row r="380" spans="11:21" x14ac:dyDescent="0.2">
      <c r="K380" s="2"/>
      <c r="M380" s="30"/>
      <c r="N380" s="4"/>
      <c r="O380" s="4"/>
      <c r="P380" s="403"/>
      <c r="Q380" s="143"/>
      <c r="R380" s="403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4"/>
      <c r="Q381" s="409"/>
      <c r="R381" s="404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7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7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7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7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7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7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7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7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7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7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7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7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7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7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7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7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7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7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7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7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7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7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7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7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7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7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7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7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7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7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7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7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8"/>
      <c r="S423" s="1"/>
    </row>
    <row r="424" spans="11:21" x14ac:dyDescent="0.2">
      <c r="K424" s="2"/>
      <c r="M424" s="30"/>
      <c r="N424" s="4"/>
      <c r="O424" s="4"/>
      <c r="P424" s="403"/>
      <c r="Q424" s="143"/>
      <c r="R424" s="403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4"/>
      <c r="Q425" s="409"/>
      <c r="R425" s="404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7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7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7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7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7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7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7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7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7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7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7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7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7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7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7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7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7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7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7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7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7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7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7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7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7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7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7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7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7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7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7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7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8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3"/>
      <c r="Q466" s="143"/>
      <c r="R466" s="403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4"/>
      <c r="Q467" s="409"/>
      <c r="R467" s="404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7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7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7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7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7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7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7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7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7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7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7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7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7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7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7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7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7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7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7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7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7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7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7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7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7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7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7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7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7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7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7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7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opLeftCell="A4" workbookViewId="0">
      <selection activeCell="A17" sqref="A17"/>
    </sheetView>
  </sheetViews>
  <sheetFormatPr defaultRowHeight="12.75" x14ac:dyDescent="0.2"/>
  <sheetData>
    <row r="3" spans="1:6" ht="15" x14ac:dyDescent="0.25">
      <c r="A3" s="134"/>
      <c r="B3" s="34" t="s">
        <v>131</v>
      </c>
    </row>
    <row r="4" spans="1:6" x14ac:dyDescent="0.2">
      <c r="A4" s="3"/>
      <c r="B4" s="59" t="s">
        <v>132</v>
      </c>
      <c r="D4" s="1"/>
    </row>
    <row r="5" spans="1:6" x14ac:dyDescent="0.2">
      <c r="A5" s="5" t="s">
        <v>10</v>
      </c>
      <c r="B5" s="6" t="s">
        <v>19</v>
      </c>
      <c r="C5" s="6" t="s">
        <v>20</v>
      </c>
    </row>
    <row r="6" spans="1:6" x14ac:dyDescent="0.2">
      <c r="A6" s="10">
        <v>1</v>
      </c>
      <c r="B6" s="11">
        <v>46181</v>
      </c>
      <c r="C6" s="11">
        <v>46125</v>
      </c>
      <c r="D6" s="25">
        <f>+C6-B6</f>
        <v>-56</v>
      </c>
    </row>
    <row r="7" spans="1:6" x14ac:dyDescent="0.2">
      <c r="A7" s="10">
        <v>2</v>
      </c>
      <c r="B7" s="129">
        <v>45310</v>
      </c>
      <c r="C7" s="11">
        <v>45501</v>
      </c>
      <c r="D7" s="25">
        <f t="shared" ref="D7:D36" si="0">+C7-B7</f>
        <v>191</v>
      </c>
    </row>
    <row r="8" spans="1:6" x14ac:dyDescent="0.2">
      <c r="A8" s="10">
        <v>3</v>
      </c>
      <c r="B8" s="11">
        <v>45365</v>
      </c>
      <c r="C8" s="11">
        <v>45393</v>
      </c>
      <c r="D8" s="25">
        <f t="shared" si="0"/>
        <v>28</v>
      </c>
      <c r="F8" s="570"/>
    </row>
    <row r="9" spans="1:6" x14ac:dyDescent="0.2">
      <c r="A9" s="10">
        <v>4</v>
      </c>
      <c r="B9" s="11">
        <v>45289</v>
      </c>
      <c r="C9" s="11">
        <v>45501</v>
      </c>
      <c r="D9" s="25">
        <f t="shared" si="0"/>
        <v>212</v>
      </c>
      <c r="F9" s="570"/>
    </row>
    <row r="10" spans="1:6" x14ac:dyDescent="0.2">
      <c r="A10" s="10">
        <v>5</v>
      </c>
      <c r="B10" s="11">
        <v>29956</v>
      </c>
      <c r="C10" s="11">
        <v>32422</v>
      </c>
      <c r="D10" s="25">
        <f t="shared" si="0"/>
        <v>2466</v>
      </c>
      <c r="F10" s="571"/>
    </row>
    <row r="11" spans="1:6" x14ac:dyDescent="0.2">
      <c r="A11" s="10">
        <v>6</v>
      </c>
      <c r="B11" s="11"/>
      <c r="C11" s="11"/>
      <c r="D11" s="25">
        <f t="shared" si="0"/>
        <v>0</v>
      </c>
      <c r="F11" s="571"/>
    </row>
    <row r="12" spans="1:6" x14ac:dyDescent="0.2">
      <c r="A12" s="10">
        <v>7</v>
      </c>
      <c r="B12" s="11"/>
      <c r="C12" s="11"/>
      <c r="D12" s="25">
        <f t="shared" si="0"/>
        <v>0</v>
      </c>
      <c r="F12" s="571"/>
    </row>
    <row r="13" spans="1:6" x14ac:dyDescent="0.2">
      <c r="A13" s="10">
        <v>8</v>
      </c>
      <c r="B13" s="11"/>
      <c r="C13" s="11"/>
      <c r="D13" s="25">
        <f t="shared" si="0"/>
        <v>0</v>
      </c>
      <c r="F13" s="571"/>
    </row>
    <row r="14" spans="1:6" x14ac:dyDescent="0.2">
      <c r="A14" s="10">
        <v>9</v>
      </c>
      <c r="B14" s="11"/>
      <c r="C14" s="11"/>
      <c r="D14" s="25">
        <f t="shared" si="0"/>
        <v>0</v>
      </c>
    </row>
    <row r="15" spans="1:6" x14ac:dyDescent="0.2">
      <c r="A15" s="10">
        <v>10</v>
      </c>
      <c r="B15" s="11"/>
      <c r="C15" s="11"/>
      <c r="D15" s="25">
        <f t="shared" si="0"/>
        <v>0</v>
      </c>
    </row>
    <row r="16" spans="1:6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212101</v>
      </c>
      <c r="C37" s="11">
        <f>SUM(C6:C36)</f>
        <v>214942</v>
      </c>
      <c r="D37" s="25">
        <f>SUM(D6:D36)</f>
        <v>2841</v>
      </c>
    </row>
    <row r="38" spans="1:4" x14ac:dyDescent="0.2">
      <c r="A38" s="26"/>
      <c r="C38" s="14"/>
      <c r="D38" s="326">
        <f>+summary!G5</f>
        <v>2.06</v>
      </c>
    </row>
    <row r="39" spans="1:4" x14ac:dyDescent="0.2">
      <c r="D39" s="138">
        <f>+D38*D37</f>
        <v>5852.46</v>
      </c>
    </row>
    <row r="40" spans="1:4" x14ac:dyDescent="0.2">
      <c r="A40" s="57">
        <v>37287</v>
      </c>
      <c r="C40" s="15"/>
      <c r="D40" s="521">
        <v>4386</v>
      </c>
    </row>
    <row r="41" spans="1:4" x14ac:dyDescent="0.2">
      <c r="A41" s="57">
        <v>37292</v>
      </c>
      <c r="C41" s="48"/>
      <c r="D41" s="138">
        <f>+D40+D39</f>
        <v>10238.459999999999</v>
      </c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16">
        <v>1925</v>
      </c>
    </row>
    <row r="47" spans="1:4" x14ac:dyDescent="0.2">
      <c r="A47" s="49">
        <f>+A41</f>
        <v>37292</v>
      </c>
      <c r="B47" s="32"/>
      <c r="C47" s="32"/>
      <c r="D47" s="349">
        <f>+D37</f>
        <v>2841</v>
      </c>
    </row>
    <row r="48" spans="1:4" x14ac:dyDescent="0.2">
      <c r="A48" s="32"/>
      <c r="B48" s="32"/>
      <c r="C48" s="32"/>
      <c r="D48" s="14">
        <f>+D47+D46</f>
        <v>4766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2" workbookViewId="0">
      <selection activeCell="D48" sqref="D48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-32</v>
      </c>
      <c r="C6" s="11">
        <v>8</v>
      </c>
      <c r="D6" s="25">
        <f>+C6-B6</f>
        <v>40</v>
      </c>
    </row>
    <row r="7" spans="1:13" x14ac:dyDescent="0.2">
      <c r="A7" s="10">
        <v>2</v>
      </c>
      <c r="B7" s="11"/>
      <c r="C7" s="11">
        <v>-657</v>
      </c>
      <c r="D7" s="25">
        <f t="shared" ref="D7:D36" si="0">+C7-B7</f>
        <v>-657</v>
      </c>
    </row>
    <row r="8" spans="1:13" x14ac:dyDescent="0.2">
      <c r="A8" s="10">
        <v>3</v>
      </c>
      <c r="B8" s="11">
        <v>-648</v>
      </c>
      <c r="C8" s="11">
        <v>-657</v>
      </c>
      <c r="D8" s="25">
        <f t="shared" si="0"/>
        <v>-9</v>
      </c>
    </row>
    <row r="9" spans="1:13" x14ac:dyDescent="0.2">
      <c r="A9" s="10">
        <v>4</v>
      </c>
      <c r="B9" s="11">
        <v>-2024</v>
      </c>
      <c r="C9" s="11">
        <v>-657</v>
      </c>
      <c r="D9" s="25">
        <f t="shared" si="0"/>
        <v>1367</v>
      </c>
    </row>
    <row r="10" spans="1:13" x14ac:dyDescent="0.2">
      <c r="A10" s="10">
        <v>5</v>
      </c>
      <c r="B10" s="11">
        <v>-2050</v>
      </c>
      <c r="C10" s="11">
        <v>-657</v>
      </c>
      <c r="D10" s="25">
        <f t="shared" si="0"/>
        <v>1393</v>
      </c>
    </row>
    <row r="11" spans="1:13" x14ac:dyDescent="0.2">
      <c r="A11" s="10">
        <v>6</v>
      </c>
      <c r="B11" s="11">
        <v>-2020</v>
      </c>
      <c r="C11" s="11">
        <v>-657</v>
      </c>
      <c r="D11" s="25">
        <f t="shared" si="0"/>
        <v>1363</v>
      </c>
    </row>
    <row r="12" spans="1:13" x14ac:dyDescent="0.2">
      <c r="A12" s="10">
        <v>7</v>
      </c>
      <c r="B12" s="11">
        <v>-1834</v>
      </c>
      <c r="C12" s="11">
        <v>-657</v>
      </c>
      <c r="D12" s="25">
        <f t="shared" si="0"/>
        <v>1177</v>
      </c>
    </row>
    <row r="13" spans="1:13" x14ac:dyDescent="0.2">
      <c r="A13" s="10">
        <v>8</v>
      </c>
      <c r="B13" s="11">
        <v>-409</v>
      </c>
      <c r="C13" s="11">
        <v>-657</v>
      </c>
      <c r="D13" s="25">
        <f t="shared" si="0"/>
        <v>-248</v>
      </c>
      <c r="H13" s="118"/>
      <c r="I13" s="34"/>
      <c r="J13" s="34"/>
      <c r="K13" s="189"/>
      <c r="L13" s="411" t="s">
        <v>174</v>
      </c>
      <c r="M13" s="189"/>
    </row>
    <row r="14" spans="1:13" x14ac:dyDescent="0.2">
      <c r="A14" s="10">
        <v>9</v>
      </c>
      <c r="B14" s="11">
        <v>-425</v>
      </c>
      <c r="C14" s="11">
        <v>-657</v>
      </c>
      <c r="D14" s="25">
        <f t="shared" si="0"/>
        <v>-232</v>
      </c>
      <c r="H14" s="118" t="s">
        <v>39</v>
      </c>
      <c r="I14" s="412" t="s">
        <v>19</v>
      </c>
      <c r="J14" s="412" t="s">
        <v>20</v>
      </c>
      <c r="K14" s="413" t="s">
        <v>49</v>
      </c>
      <c r="L14" s="411" t="s">
        <v>15</v>
      </c>
      <c r="M14" s="189" t="s">
        <v>27</v>
      </c>
    </row>
    <row r="15" spans="1:13" x14ac:dyDescent="0.2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1">
        <v>8.2100000000000009</v>
      </c>
      <c r="M16" s="416">
        <f t="shared" ref="M16:M22" si="2">+L16*K16</f>
        <v>-148748.78000000003</v>
      </c>
    </row>
    <row r="17" spans="1:15" x14ac:dyDescent="0.2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1">
        <v>5.62</v>
      </c>
      <c r="M17" s="416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1">
        <v>4.9800000000000004</v>
      </c>
      <c r="M18" s="416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1">
        <v>4.87</v>
      </c>
      <c r="M19" s="416">
        <f t="shared" si="2"/>
        <v>63012.93</v>
      </c>
      <c r="O19" s="259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1">
        <v>3.82</v>
      </c>
      <c r="M20" s="416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1">
        <v>3.2</v>
      </c>
      <c r="M21" s="416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1">
        <v>2.77</v>
      </c>
      <c r="M22" s="417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14"/>
      <c r="M23" s="415">
        <f>SUM(M16:M22)</f>
        <v>-353837.81000000006</v>
      </c>
      <c r="O23" s="259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-9442</v>
      </c>
      <c r="C37" s="11">
        <f>SUM(C6:C36)</f>
        <v>-5248</v>
      </c>
      <c r="D37" s="25">
        <f>SUM(D6:D36)</f>
        <v>4194</v>
      </c>
    </row>
    <row r="38" spans="1:4" x14ac:dyDescent="0.2">
      <c r="A38" s="26"/>
      <c r="C38" s="14"/>
      <c r="D38" s="326">
        <f>+summary!G4</f>
        <v>2.0499999999999998</v>
      </c>
    </row>
    <row r="39" spans="1:4" x14ac:dyDescent="0.2">
      <c r="D39" s="138">
        <f>+D38*D37</f>
        <v>8597.6999999999989</v>
      </c>
    </row>
    <row r="40" spans="1:4" x14ac:dyDescent="0.2">
      <c r="A40" s="57">
        <v>37287</v>
      </c>
      <c r="C40" s="15"/>
      <c r="D40" s="582">
        <v>-292829</v>
      </c>
    </row>
    <row r="41" spans="1:4" x14ac:dyDescent="0.2">
      <c r="A41" s="57">
        <v>37296</v>
      </c>
      <c r="C41" s="48"/>
      <c r="D41" s="138">
        <f>+D40+D39</f>
        <v>-284231.3</v>
      </c>
    </row>
    <row r="47" spans="1:4" x14ac:dyDescent="0.2">
      <c r="A47" s="32" t="s">
        <v>149</v>
      </c>
      <c r="B47" s="32"/>
      <c r="C47" s="32"/>
      <c r="D47" s="32"/>
    </row>
    <row r="48" spans="1:4" x14ac:dyDescent="0.2">
      <c r="A48" s="49">
        <f>+A40</f>
        <v>37287</v>
      </c>
      <c r="B48" s="32"/>
      <c r="C48" s="32"/>
      <c r="D48" s="579">
        <v>-14344</v>
      </c>
    </row>
    <row r="49" spans="1:4" x14ac:dyDescent="0.2">
      <c r="A49" s="49">
        <f>+A41</f>
        <v>37296</v>
      </c>
      <c r="B49" s="32"/>
      <c r="C49" s="32"/>
      <c r="D49" s="349">
        <f>+D37</f>
        <v>4194</v>
      </c>
    </row>
    <row r="50" spans="1:4" x14ac:dyDescent="0.2">
      <c r="A50" s="32"/>
      <c r="B50" s="32"/>
      <c r="C50" s="32"/>
      <c r="D50" s="14">
        <f>+D49+D48</f>
        <v>-10150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2" workbookViewId="0">
      <selection activeCell="D46" sqref="D4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-72039</v>
      </c>
      <c r="C6" s="11">
        <v>-57926</v>
      </c>
      <c r="D6" s="25">
        <f>+C6-B6</f>
        <v>14113</v>
      </c>
    </row>
    <row r="7" spans="1:4" x14ac:dyDescent="0.2">
      <c r="A7" s="10">
        <v>2</v>
      </c>
      <c r="B7" s="11">
        <v>-56841</v>
      </c>
      <c r="C7" s="11">
        <v>-58000</v>
      </c>
      <c r="D7" s="25">
        <f t="shared" ref="D7:D36" si="0">+C7-B7</f>
        <v>-1159</v>
      </c>
    </row>
    <row r="8" spans="1:4" x14ac:dyDescent="0.2">
      <c r="A8" s="10">
        <v>3</v>
      </c>
      <c r="B8" s="129">
        <v>-37738</v>
      </c>
      <c r="C8" s="11">
        <v>-45943</v>
      </c>
      <c r="D8" s="25">
        <f t="shared" si="0"/>
        <v>-8205</v>
      </c>
    </row>
    <row r="9" spans="1:4" x14ac:dyDescent="0.2">
      <c r="A9" s="10">
        <v>4</v>
      </c>
      <c r="B9" s="129">
        <v>-65947</v>
      </c>
      <c r="C9" s="11">
        <v>-57943</v>
      </c>
      <c r="D9" s="25">
        <f t="shared" si="0"/>
        <v>8004</v>
      </c>
    </row>
    <row r="10" spans="1:4" x14ac:dyDescent="0.2">
      <c r="A10" s="10">
        <v>5</v>
      </c>
      <c r="B10" s="129">
        <v>-67788</v>
      </c>
      <c r="C10" s="11">
        <v>-64999</v>
      </c>
      <c r="D10" s="25">
        <f t="shared" si="0"/>
        <v>2789</v>
      </c>
    </row>
    <row r="11" spans="1:4" x14ac:dyDescent="0.2">
      <c r="A11" s="10">
        <v>6</v>
      </c>
      <c r="B11" s="129">
        <v>-62250</v>
      </c>
      <c r="C11" s="11">
        <v>-64486</v>
      </c>
      <c r="D11" s="25">
        <f t="shared" si="0"/>
        <v>-2236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-362603</v>
      </c>
      <c r="C37" s="11">
        <f>SUM(C6:C36)</f>
        <v>-349297</v>
      </c>
      <c r="D37" s="25">
        <f>SUM(D6:D36)</f>
        <v>13306</v>
      </c>
    </row>
    <row r="38" spans="1:4" x14ac:dyDescent="0.2">
      <c r="A38" s="26"/>
      <c r="C38" s="14"/>
      <c r="D38" s="326">
        <f>+summary!G4</f>
        <v>2.0499999999999998</v>
      </c>
    </row>
    <row r="39" spans="1:4" x14ac:dyDescent="0.2">
      <c r="D39" s="138">
        <f>+D38*D37</f>
        <v>27277.3</v>
      </c>
    </row>
    <row r="40" spans="1:4" x14ac:dyDescent="0.2">
      <c r="A40" s="57">
        <v>37287</v>
      </c>
      <c r="C40" s="15"/>
      <c r="D40" s="582">
        <v>23627.8</v>
      </c>
    </row>
    <row r="41" spans="1:4" x14ac:dyDescent="0.2">
      <c r="A41" s="57">
        <v>37293</v>
      </c>
      <c r="C41" s="48"/>
      <c r="D41" s="138">
        <f>+D40+D39</f>
        <v>50905.1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79">
        <v>14942</v>
      </c>
    </row>
    <row r="47" spans="1:4" x14ac:dyDescent="0.2">
      <c r="A47" s="49">
        <f>+A41</f>
        <v>37293</v>
      </c>
      <c r="B47" s="32"/>
      <c r="C47" s="32"/>
      <c r="D47" s="349">
        <f>+D37</f>
        <v>13306</v>
      </c>
    </row>
    <row r="48" spans="1:4" x14ac:dyDescent="0.2">
      <c r="A48" s="32"/>
      <c r="B48" s="32"/>
      <c r="C48" s="32"/>
      <c r="D48" s="14">
        <f>+D47+D46</f>
        <v>28248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3" workbookViewId="0">
      <selection activeCell="C6" sqref="C6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>
        <v>-3</v>
      </c>
      <c r="C5" s="90">
        <v>-1260</v>
      </c>
      <c r="D5" s="90">
        <f>+C5-B5</f>
        <v>-1257</v>
      </c>
      <c r="E5" s="275"/>
      <c r="F5" s="273"/>
    </row>
    <row r="6" spans="1:13" x14ac:dyDescent="0.2">
      <c r="A6" s="87">
        <v>500046</v>
      </c>
      <c r="B6" s="90">
        <v>-6064</v>
      </c>
      <c r="C6" s="90"/>
      <c r="D6" s="90">
        <f t="shared" ref="D6:D11" si="0">+C6-B6</f>
        <v>6064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f>-9480-1050</f>
        <v>-10530</v>
      </c>
      <c r="C8" s="90">
        <v>-17120</v>
      </c>
      <c r="D8" s="90">
        <f t="shared" si="0"/>
        <v>-6590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3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-1783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2.0499999999999998</v>
      </c>
      <c r="E13" s="277"/>
      <c r="F13" s="273"/>
    </row>
    <row r="14" spans="1:13" x14ac:dyDescent="0.2">
      <c r="A14" s="87"/>
      <c r="B14" s="88"/>
      <c r="C14" s="88"/>
      <c r="D14" s="96">
        <f>+D13*D12</f>
        <v>-3655.1499999999996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37287</v>
      </c>
      <c r="B16" s="88"/>
      <c r="C16" s="88"/>
      <c r="D16" s="520">
        <v>-547260.79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37297</v>
      </c>
      <c r="B18" s="88"/>
      <c r="C18" s="88"/>
      <c r="D18" s="318">
        <f>+D16+D14</f>
        <v>-550915.94000000006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149</v>
      </c>
      <c r="B21" s="32"/>
      <c r="C21" s="32"/>
      <c r="D21" s="32"/>
    </row>
    <row r="22" spans="1:7" x14ac:dyDescent="0.2">
      <c r="A22" s="49">
        <f>+A16</f>
        <v>37287</v>
      </c>
      <c r="B22" s="32"/>
      <c r="C22" s="32"/>
      <c r="D22" s="579">
        <v>-41423</v>
      </c>
    </row>
    <row r="23" spans="1:7" x14ac:dyDescent="0.2">
      <c r="A23" s="49"/>
      <c r="B23" s="32"/>
      <c r="C23" s="32"/>
      <c r="D23" s="349">
        <f>+D12</f>
        <v>-1783</v>
      </c>
    </row>
    <row r="24" spans="1:7" x14ac:dyDescent="0.2">
      <c r="A24" s="49">
        <f>+A18</f>
        <v>37297</v>
      </c>
      <c r="B24" s="32"/>
      <c r="C24" s="32"/>
      <c r="D24" s="14">
        <f>+D23+D22</f>
        <v>-43206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2" workbookViewId="0">
      <selection activeCell="B37" sqref="B37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-28994</v>
      </c>
      <c r="C6" s="11">
        <v>-28956</v>
      </c>
      <c r="D6" s="25">
        <f>+C6-B6</f>
        <v>38</v>
      </c>
    </row>
    <row r="7" spans="1:4" x14ac:dyDescent="0.2">
      <c r="A7" s="10">
        <v>2</v>
      </c>
      <c r="B7" s="11">
        <v>-58020</v>
      </c>
      <c r="C7" s="11">
        <v>-57711</v>
      </c>
      <c r="D7" s="25">
        <f t="shared" ref="D7:D36" si="0">+C7-B7</f>
        <v>309</v>
      </c>
    </row>
    <row r="8" spans="1:4" x14ac:dyDescent="0.2">
      <c r="A8" s="10">
        <v>3</v>
      </c>
      <c r="B8" s="11">
        <v>-57789</v>
      </c>
      <c r="C8" s="11">
        <v>-57711</v>
      </c>
      <c r="D8" s="25">
        <f t="shared" si="0"/>
        <v>78</v>
      </c>
    </row>
    <row r="9" spans="1:4" x14ac:dyDescent="0.2">
      <c r="A9" s="10">
        <v>4</v>
      </c>
      <c r="B9" s="129">
        <v>-57818</v>
      </c>
      <c r="C9" s="11">
        <v>-57711</v>
      </c>
      <c r="D9" s="25">
        <f t="shared" si="0"/>
        <v>107</v>
      </c>
    </row>
    <row r="10" spans="1:4" x14ac:dyDescent="0.2">
      <c r="A10" s="10">
        <v>5</v>
      </c>
      <c r="B10" s="11">
        <v>-29948</v>
      </c>
      <c r="C10" s="11">
        <v>-29013</v>
      </c>
      <c r="D10" s="25">
        <f t="shared" si="0"/>
        <v>935</v>
      </c>
    </row>
    <row r="11" spans="1:4" x14ac:dyDescent="0.2">
      <c r="A11" s="10">
        <v>6</v>
      </c>
      <c r="B11" s="11">
        <v>-17354</v>
      </c>
      <c r="C11" s="11">
        <v>-18500</v>
      </c>
      <c r="D11" s="25">
        <f t="shared" si="0"/>
        <v>-1146</v>
      </c>
    </row>
    <row r="12" spans="1:4" x14ac:dyDescent="0.2">
      <c r="A12" s="10">
        <v>7</v>
      </c>
      <c r="B12" s="11">
        <v>-38858</v>
      </c>
      <c r="C12" s="11">
        <v>-38303</v>
      </c>
      <c r="D12" s="25">
        <f t="shared" si="0"/>
        <v>555</v>
      </c>
    </row>
    <row r="13" spans="1:4" x14ac:dyDescent="0.2">
      <c r="A13" s="10">
        <v>8</v>
      </c>
      <c r="B13" s="11">
        <v>-23897</v>
      </c>
      <c r="C13" s="11">
        <v>-23492</v>
      </c>
      <c r="D13" s="25">
        <f t="shared" si="0"/>
        <v>405</v>
      </c>
    </row>
    <row r="14" spans="1:4" x14ac:dyDescent="0.2">
      <c r="A14" s="10">
        <v>9</v>
      </c>
      <c r="B14" s="11">
        <v>-66545</v>
      </c>
      <c r="C14" s="11">
        <v>-67340</v>
      </c>
      <c r="D14" s="25">
        <f t="shared" si="0"/>
        <v>-795</v>
      </c>
    </row>
    <row r="15" spans="1:4" x14ac:dyDescent="0.2">
      <c r="A15" s="10">
        <v>10</v>
      </c>
      <c r="B15" s="11">
        <v>-67813</v>
      </c>
      <c r="C15" s="11">
        <v>-67340</v>
      </c>
      <c r="D15" s="25">
        <f t="shared" si="0"/>
        <v>473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-447036</v>
      </c>
      <c r="C37" s="11">
        <f>SUM(C6:C36)</f>
        <v>-446077</v>
      </c>
      <c r="D37" s="25">
        <f>SUM(D6:D36)</f>
        <v>959</v>
      </c>
    </row>
    <row r="38" spans="1:4" x14ac:dyDescent="0.2">
      <c r="A38" s="26"/>
      <c r="C38" s="14"/>
      <c r="D38" s="338"/>
    </row>
    <row r="39" spans="1:4" x14ac:dyDescent="0.2">
      <c r="D39" s="138"/>
    </row>
    <row r="40" spans="1:4" x14ac:dyDescent="0.2">
      <c r="A40" s="57">
        <v>37287</v>
      </c>
      <c r="C40" s="15"/>
      <c r="D40" s="583">
        <v>19592</v>
      </c>
    </row>
    <row r="41" spans="1:4" x14ac:dyDescent="0.2">
      <c r="A41" s="57">
        <v>37297</v>
      </c>
      <c r="C41" s="48"/>
      <c r="D41" s="25">
        <f>+D40+D37</f>
        <v>20551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+A40</f>
        <v>37287</v>
      </c>
      <c r="B45" s="32"/>
      <c r="C45" s="32"/>
      <c r="D45" s="484">
        <v>186633</v>
      </c>
    </row>
    <row r="46" spans="1:4" x14ac:dyDescent="0.2">
      <c r="A46" s="49">
        <f>+A41</f>
        <v>37297</v>
      </c>
      <c r="B46" s="32"/>
      <c r="C46" s="32"/>
      <c r="D46" s="374">
        <f>+D37*'by type_area'!G4</f>
        <v>1965.9499999999998</v>
      </c>
    </row>
    <row r="47" spans="1:4" x14ac:dyDescent="0.2">
      <c r="A47" s="32"/>
      <c r="B47" s="32"/>
      <c r="C47" s="32"/>
      <c r="D47" s="200">
        <f>+D46+D45</f>
        <v>188598.95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4" workbookViewId="0">
      <selection activeCell="D40" sqref="D4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240</v>
      </c>
      <c r="C3" s="87"/>
      <c r="D3" s="87"/>
    </row>
    <row r="4" spans="1:4" x14ac:dyDescent="0.2">
      <c r="A4" s="3"/>
      <c r="B4" s="328" t="s">
        <v>239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2.06</v>
      </c>
    </row>
    <row r="39" spans="1:4" x14ac:dyDescent="0.2">
      <c r="D39" s="138">
        <f>+D38*D37</f>
        <v>0</v>
      </c>
    </row>
    <row r="40" spans="1:4" x14ac:dyDescent="0.2">
      <c r="A40" s="57">
        <v>37287</v>
      </c>
      <c r="C40" s="15"/>
      <c r="D40" s="602">
        <v>-192285.66</v>
      </c>
    </row>
    <row r="41" spans="1:4" x14ac:dyDescent="0.2">
      <c r="A41" s="57">
        <v>37287</v>
      </c>
      <c r="C41" s="48"/>
      <c r="D41" s="138">
        <f>+D40+D39</f>
        <v>-192285.66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603">
        <v>-45949</v>
      </c>
    </row>
    <row r="47" spans="1:4" x14ac:dyDescent="0.2">
      <c r="A47" s="49">
        <f>+A41</f>
        <v>37287</v>
      </c>
      <c r="B47" s="32"/>
      <c r="C47" s="32"/>
      <c r="D47" s="457">
        <f>+D37</f>
        <v>0</v>
      </c>
    </row>
    <row r="48" spans="1:4" x14ac:dyDescent="0.2">
      <c r="A48" s="32"/>
      <c r="B48" s="32"/>
      <c r="C48" s="32"/>
      <c r="D48" s="14">
        <f>+D47+D46</f>
        <v>-45949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33" workbookViewId="0">
      <selection activeCell="J41" sqref="J41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58" t="s">
        <v>241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-194</v>
      </c>
      <c r="C6" s="11">
        <v>-143</v>
      </c>
      <c r="D6" s="11"/>
      <c r="E6" s="11"/>
      <c r="F6" s="11">
        <v>-1253</v>
      </c>
      <c r="G6" s="11">
        <v>-786</v>
      </c>
      <c r="H6" s="11"/>
      <c r="I6" s="11"/>
      <c r="J6" s="11">
        <f>+I6+G6+E6+C6-H6-F6-D6-B6</f>
        <v>518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-183</v>
      </c>
      <c r="C7" s="11">
        <v>-143</v>
      </c>
      <c r="D7" s="11"/>
      <c r="E7" s="11"/>
      <c r="F7" s="11">
        <v>-1189</v>
      </c>
      <c r="G7" s="11">
        <v>-786</v>
      </c>
      <c r="H7" s="11"/>
      <c r="I7" s="11"/>
      <c r="J7" s="11">
        <f t="shared" ref="J7:J36" si="0">+I7+G7+E7+C7-H7-F7-D7-B7</f>
        <v>443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-164</v>
      </c>
      <c r="C8" s="11">
        <v>-143</v>
      </c>
      <c r="D8" s="11"/>
      <c r="E8" s="11"/>
      <c r="F8" s="11">
        <v>-1051</v>
      </c>
      <c r="G8" s="11">
        <v>-786</v>
      </c>
      <c r="H8" s="11"/>
      <c r="I8" s="11"/>
      <c r="J8" s="11">
        <f t="shared" si="0"/>
        <v>286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/>
      <c r="C12" s="11"/>
      <c r="D12" s="129"/>
      <c r="E12" s="11"/>
      <c r="F12" s="11"/>
      <c r="G12" s="11"/>
      <c r="H12" s="11"/>
      <c r="I12" s="11"/>
      <c r="J12" s="11">
        <f t="shared" si="0"/>
        <v>0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-541</v>
      </c>
      <c r="C37" s="11">
        <f t="shared" ref="C37:I37" si="1">SUM(C6:C36)</f>
        <v>-429</v>
      </c>
      <c r="D37" s="11">
        <f t="shared" si="1"/>
        <v>0</v>
      </c>
      <c r="E37" s="11">
        <f t="shared" si="1"/>
        <v>0</v>
      </c>
      <c r="F37" s="11">
        <f t="shared" si="1"/>
        <v>-3493</v>
      </c>
      <c r="G37" s="11">
        <f t="shared" si="1"/>
        <v>-2358</v>
      </c>
      <c r="H37" s="11">
        <f t="shared" si="1"/>
        <v>0</v>
      </c>
      <c r="I37" s="11">
        <f t="shared" si="1"/>
        <v>0</v>
      </c>
      <c r="J37" s="11">
        <f>SUM(J6:J36)</f>
        <v>1247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2.0499999999999998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2556.35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37287</v>
      </c>
      <c r="C41" s="25"/>
      <c r="E41" s="25"/>
      <c r="G41" s="25"/>
      <c r="I41" s="25"/>
      <c r="J41" s="585">
        <v>-37189.769999999997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37290</v>
      </c>
      <c r="J43" s="319">
        <f>+J41+J39</f>
        <v>-34633.42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37287</v>
      </c>
      <c r="B48" s="32"/>
      <c r="C48" s="32"/>
      <c r="D48" s="579">
        <v>-4227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37290</v>
      </c>
      <c r="B49" s="32"/>
      <c r="C49" s="32"/>
      <c r="D49" s="349">
        <f>+J37</f>
        <v>1247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-2980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F35" workbookViewId="0">
      <selection activeCell="N41" sqref="N41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280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282</v>
      </c>
      <c r="C4" s="4"/>
      <c r="D4" s="38" t="s">
        <v>283</v>
      </c>
      <c r="E4" s="4"/>
      <c r="F4" s="38" t="s">
        <v>284</v>
      </c>
      <c r="G4" s="4"/>
      <c r="H4" s="38" t="s">
        <v>285</v>
      </c>
      <c r="I4" s="4"/>
      <c r="J4" s="38" t="s">
        <v>286</v>
      </c>
      <c r="K4" s="4"/>
      <c r="L4" s="38" t="s">
        <v>287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4"/>
      <c r="C6" s="11"/>
      <c r="D6" s="494"/>
      <c r="E6" s="11"/>
      <c r="F6" s="494"/>
      <c r="G6" s="11"/>
      <c r="H6" s="494"/>
      <c r="I6" s="11"/>
      <c r="J6" s="494"/>
      <c r="K6" s="11"/>
      <c r="L6" s="11">
        <v>-970</v>
      </c>
      <c r="M6" s="11">
        <v>-824</v>
      </c>
      <c r="N6" s="11">
        <f>+M6+K6+I6+G6+E6+C6-L6-J6-H6-F6-D6-B6</f>
        <v>146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4"/>
      <c r="C7" s="11"/>
      <c r="D7" s="494"/>
      <c r="E7" s="11"/>
      <c r="F7" s="494"/>
      <c r="G7" s="11"/>
      <c r="H7" s="494"/>
      <c r="I7" s="11"/>
      <c r="J7" s="494"/>
      <c r="K7" s="11"/>
      <c r="L7" s="11">
        <v>-1043</v>
      </c>
      <c r="M7" s="11">
        <v>-824</v>
      </c>
      <c r="N7" s="11">
        <f t="shared" ref="N7:N36" si="0">+M7+K7+I7+G7+E7+C7-L7-J7-H7-F7-D7-B7</f>
        <v>219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4"/>
      <c r="C8" s="11"/>
      <c r="D8" s="494"/>
      <c r="E8" s="11"/>
      <c r="F8" s="494"/>
      <c r="G8" s="11"/>
      <c r="H8" s="494"/>
      <c r="I8" s="11"/>
      <c r="J8" s="494"/>
      <c r="K8" s="11"/>
      <c r="L8" s="11">
        <v>-872</v>
      </c>
      <c r="M8" s="11">
        <v>-824</v>
      </c>
      <c r="N8" s="11">
        <f t="shared" si="0"/>
        <v>48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4"/>
      <c r="C9" s="11"/>
      <c r="D9" s="494"/>
      <c r="E9" s="11"/>
      <c r="F9" s="494"/>
      <c r="G9" s="11"/>
      <c r="H9" s="494"/>
      <c r="I9" s="11"/>
      <c r="J9" s="494"/>
      <c r="K9" s="11"/>
      <c r="L9" s="11">
        <v>-727</v>
      </c>
      <c r="M9" s="11">
        <v>-824</v>
      </c>
      <c r="N9" s="11">
        <f t="shared" si="0"/>
        <v>-97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4"/>
      <c r="C10" s="11"/>
      <c r="D10" s="494"/>
      <c r="E10" s="11"/>
      <c r="F10" s="494"/>
      <c r="G10" s="11"/>
      <c r="H10" s="494"/>
      <c r="I10" s="11"/>
      <c r="J10" s="494"/>
      <c r="K10" s="11"/>
      <c r="L10" s="11">
        <v>-670</v>
      </c>
      <c r="M10" s="11">
        <v>-824</v>
      </c>
      <c r="N10" s="11">
        <f t="shared" si="0"/>
        <v>-154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4"/>
      <c r="C11" s="11"/>
      <c r="D11" s="494"/>
      <c r="E11" s="11"/>
      <c r="F11" s="494"/>
      <c r="G11" s="11"/>
      <c r="H11" s="494"/>
      <c r="I11" s="11"/>
      <c r="J11" s="494"/>
      <c r="K11" s="11"/>
      <c r="L11" s="11">
        <v>-720</v>
      </c>
      <c r="M11" s="11">
        <v>-824</v>
      </c>
      <c r="N11" s="11">
        <f t="shared" si="0"/>
        <v>-104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4"/>
      <c r="C12" s="11"/>
      <c r="D12" s="494"/>
      <c r="E12" s="11"/>
      <c r="F12" s="494"/>
      <c r="G12" s="11"/>
      <c r="H12" s="494"/>
      <c r="I12" s="11"/>
      <c r="J12" s="494"/>
      <c r="K12" s="11"/>
      <c r="L12" s="11">
        <v>-648</v>
      </c>
      <c r="M12" s="11">
        <v>-824</v>
      </c>
      <c r="N12" s="11">
        <f t="shared" si="0"/>
        <v>-176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4"/>
      <c r="C13" s="11"/>
      <c r="D13" s="494"/>
      <c r="E13" s="11"/>
      <c r="F13" s="494"/>
      <c r="G13" s="11"/>
      <c r="H13" s="494"/>
      <c r="I13" s="11"/>
      <c r="J13" s="494"/>
      <c r="K13" s="11"/>
      <c r="L13" s="11">
        <v>-711</v>
      </c>
      <c r="M13" s="11">
        <v>-824</v>
      </c>
      <c r="N13" s="11">
        <f t="shared" si="0"/>
        <v>-113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4"/>
      <c r="C14" s="11"/>
      <c r="D14" s="494"/>
      <c r="E14" s="11"/>
      <c r="F14" s="494"/>
      <c r="G14" s="11"/>
      <c r="H14" s="494"/>
      <c r="I14" s="11"/>
      <c r="J14" s="494"/>
      <c r="K14" s="11"/>
      <c r="L14" s="11">
        <v>-466</v>
      </c>
      <c r="M14" s="11">
        <v>-824</v>
      </c>
      <c r="N14" s="11">
        <f t="shared" si="0"/>
        <v>-358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4"/>
      <c r="C15" s="11"/>
      <c r="D15" s="494"/>
      <c r="E15" s="11"/>
      <c r="F15" s="494"/>
      <c r="G15" s="11"/>
      <c r="H15" s="494"/>
      <c r="I15" s="11"/>
      <c r="J15" s="494"/>
      <c r="K15" s="11"/>
      <c r="L15" s="11"/>
      <c r="M15" s="11"/>
      <c r="N15" s="11">
        <f t="shared" si="0"/>
        <v>0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4"/>
      <c r="C16" s="11"/>
      <c r="D16" s="494"/>
      <c r="E16" s="11"/>
      <c r="F16" s="494"/>
      <c r="G16" s="11"/>
      <c r="H16" s="494"/>
      <c r="I16" s="11"/>
      <c r="J16" s="494"/>
      <c r="K16" s="11"/>
      <c r="L16" s="11"/>
      <c r="M16" s="11"/>
      <c r="N16" s="11">
        <f>+M16+K16+I16+G16+E16+C16-L16-J16-H16-F16-D16-B16</f>
        <v>0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4"/>
      <c r="C17" s="11"/>
      <c r="D17" s="494"/>
      <c r="E17" s="11"/>
      <c r="F17" s="494"/>
      <c r="G17" s="11"/>
      <c r="H17" s="494"/>
      <c r="I17" s="11"/>
      <c r="J17" s="494"/>
      <c r="K17" s="11"/>
      <c r="L17" s="11"/>
      <c r="M17" s="11"/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4"/>
      <c r="C18" s="11"/>
      <c r="D18" s="494"/>
      <c r="E18" s="11"/>
      <c r="F18" s="494"/>
      <c r="G18" s="11"/>
      <c r="H18" s="494"/>
      <c r="I18" s="11"/>
      <c r="J18" s="494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4"/>
      <c r="C19" s="11"/>
      <c r="D19" s="494"/>
      <c r="E19" s="11"/>
      <c r="F19" s="494"/>
      <c r="G19" s="11"/>
      <c r="H19" s="494"/>
      <c r="I19" s="11"/>
      <c r="J19" s="494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4"/>
      <c r="C20" s="11"/>
      <c r="D20" s="494"/>
      <c r="E20" s="11"/>
      <c r="F20" s="494"/>
      <c r="G20" s="11"/>
      <c r="H20" s="494"/>
      <c r="I20" s="11"/>
      <c r="J20" s="494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4"/>
      <c r="C21" s="11"/>
      <c r="D21" s="494"/>
      <c r="E21" s="11"/>
      <c r="F21" s="494"/>
      <c r="G21" s="11"/>
      <c r="H21" s="494"/>
      <c r="I21" s="11"/>
      <c r="J21" s="494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4"/>
      <c r="C22" s="11"/>
      <c r="D22" s="494"/>
      <c r="E22" s="11"/>
      <c r="F22" s="494"/>
      <c r="G22" s="11"/>
      <c r="H22" s="494"/>
      <c r="I22" s="11"/>
      <c r="J22" s="494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4"/>
      <c r="C23" s="11"/>
      <c r="D23" s="494"/>
      <c r="E23" s="11"/>
      <c r="F23" s="494"/>
      <c r="G23" s="11"/>
      <c r="H23" s="494"/>
      <c r="I23" s="11"/>
      <c r="J23" s="494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4"/>
      <c r="C24" s="11"/>
      <c r="D24" s="494"/>
      <c r="E24" s="11"/>
      <c r="F24" s="494"/>
      <c r="G24" s="11"/>
      <c r="H24" s="494"/>
      <c r="I24" s="11"/>
      <c r="J24" s="494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4"/>
      <c r="C25" s="11"/>
      <c r="D25" s="494"/>
      <c r="E25" s="11"/>
      <c r="F25" s="494"/>
      <c r="G25" s="11"/>
      <c r="H25" s="494"/>
      <c r="I25" s="11"/>
      <c r="J25" s="494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4"/>
      <c r="C26" s="11"/>
      <c r="D26" s="494"/>
      <c r="E26" s="11"/>
      <c r="F26" s="494"/>
      <c r="G26" s="11"/>
      <c r="H26" s="494"/>
      <c r="I26" s="11"/>
      <c r="J26" s="494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4"/>
      <c r="C27" s="11"/>
      <c r="D27" s="494"/>
      <c r="E27" s="11"/>
      <c r="F27" s="494"/>
      <c r="G27" s="11"/>
      <c r="H27" s="494"/>
      <c r="I27" s="11"/>
      <c r="J27" s="494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4"/>
      <c r="C28" s="11"/>
      <c r="D28" s="494"/>
      <c r="E28" s="11"/>
      <c r="F28" s="494"/>
      <c r="G28" s="11"/>
      <c r="H28" s="494"/>
      <c r="I28" s="11"/>
      <c r="J28" s="494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4"/>
      <c r="C29" s="11"/>
      <c r="D29" s="494"/>
      <c r="E29" s="11"/>
      <c r="F29" s="494"/>
      <c r="G29" s="11"/>
      <c r="H29" s="494"/>
      <c r="I29" s="11"/>
      <c r="J29" s="494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4"/>
      <c r="C30" s="11"/>
      <c r="D30" s="494"/>
      <c r="E30" s="11"/>
      <c r="F30" s="494"/>
      <c r="G30" s="11"/>
      <c r="H30" s="494"/>
      <c r="I30" s="11"/>
      <c r="J30" s="494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-6827</v>
      </c>
      <c r="M37" s="11">
        <f>SUM(M6:M36)</f>
        <v>-7416</v>
      </c>
      <c r="N37" s="11">
        <f t="shared" si="1"/>
        <v>-589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2.0499999999999998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-1207.4499999999998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37287</v>
      </c>
      <c r="C41" s="25"/>
      <c r="E41" s="25"/>
      <c r="G41" s="25"/>
      <c r="I41" s="25"/>
      <c r="K41" s="25"/>
      <c r="M41" s="25"/>
      <c r="N41" s="485">
        <v>25186.41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37296</v>
      </c>
      <c r="N43" s="319">
        <f>+N41+N39</f>
        <v>23978.959999999999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37287</v>
      </c>
      <c r="B48" s="32"/>
      <c r="C48" s="32"/>
      <c r="D48" s="486">
        <v>8555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37296</v>
      </c>
      <c r="B49" s="32"/>
      <c r="C49" s="32"/>
      <c r="D49" s="349">
        <f>+N37</f>
        <v>-589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7966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3" workbookViewId="0">
      <selection activeCell="D46" sqref="D4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205</v>
      </c>
      <c r="C3" s="87"/>
      <c r="D3" s="87"/>
    </row>
    <row r="4" spans="1:4" x14ac:dyDescent="0.2">
      <c r="A4" s="3"/>
      <c r="B4" s="328" t="s">
        <v>206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>
        <v>150</v>
      </c>
      <c r="D6" s="25">
        <f>+C6-B6</f>
        <v>150</v>
      </c>
    </row>
    <row r="7" spans="1:4" x14ac:dyDescent="0.2">
      <c r="A7" s="10">
        <v>2</v>
      </c>
      <c r="B7" s="11">
        <v>309</v>
      </c>
      <c r="C7" s="11">
        <v>150</v>
      </c>
      <c r="D7" s="25">
        <f t="shared" ref="D7:D36" si="0">+C7-B7</f>
        <v>-159</v>
      </c>
    </row>
    <row r="8" spans="1:4" x14ac:dyDescent="0.2">
      <c r="A8" s="10">
        <v>3</v>
      </c>
      <c r="B8" s="129">
        <v>285</v>
      </c>
      <c r="C8" s="11">
        <v>150</v>
      </c>
      <c r="D8" s="25">
        <f t="shared" si="0"/>
        <v>-135</v>
      </c>
    </row>
    <row r="9" spans="1:4" x14ac:dyDescent="0.2">
      <c r="A9" s="10">
        <v>4</v>
      </c>
      <c r="B9" s="129">
        <v>252</v>
      </c>
      <c r="C9" s="11">
        <v>150</v>
      </c>
      <c r="D9" s="25">
        <f t="shared" si="0"/>
        <v>-102</v>
      </c>
    </row>
    <row r="10" spans="1:4" x14ac:dyDescent="0.2">
      <c r="A10" s="10">
        <v>5</v>
      </c>
      <c r="B10" s="129">
        <v>300</v>
      </c>
      <c r="C10" s="11">
        <v>150</v>
      </c>
      <c r="D10" s="25">
        <f t="shared" si="0"/>
        <v>-150</v>
      </c>
    </row>
    <row r="11" spans="1:4" x14ac:dyDescent="0.2">
      <c r="A11" s="10">
        <v>6</v>
      </c>
      <c r="B11" s="129">
        <v>31</v>
      </c>
      <c r="C11" s="11">
        <v>150</v>
      </c>
      <c r="D11" s="25">
        <f t="shared" si="0"/>
        <v>119</v>
      </c>
    </row>
    <row r="12" spans="1:4" x14ac:dyDescent="0.2">
      <c r="A12" s="10">
        <v>7</v>
      </c>
      <c r="B12" s="129">
        <v>4</v>
      </c>
      <c r="C12" s="11">
        <v>150</v>
      </c>
      <c r="D12" s="25">
        <f t="shared" si="0"/>
        <v>146</v>
      </c>
    </row>
    <row r="13" spans="1:4" x14ac:dyDescent="0.2">
      <c r="A13" s="10">
        <v>8</v>
      </c>
      <c r="B13" s="11">
        <v>303</v>
      </c>
      <c r="C13" s="11">
        <v>150</v>
      </c>
      <c r="D13" s="25">
        <f t="shared" si="0"/>
        <v>-153</v>
      </c>
    </row>
    <row r="14" spans="1:4" x14ac:dyDescent="0.2">
      <c r="A14" s="10">
        <v>9</v>
      </c>
      <c r="B14" s="11">
        <v>289</v>
      </c>
      <c r="C14" s="11">
        <v>150</v>
      </c>
      <c r="D14" s="25">
        <f t="shared" si="0"/>
        <v>-139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1773</v>
      </c>
      <c r="C37" s="11">
        <f>SUM(C6:C36)</f>
        <v>1350</v>
      </c>
      <c r="D37" s="25">
        <f>SUM(D6:D36)</f>
        <v>-423</v>
      </c>
    </row>
    <row r="38" spans="1:4" x14ac:dyDescent="0.2">
      <c r="A38" s="26"/>
      <c r="C38" s="14"/>
      <c r="D38" s="326">
        <f>+summary!G5</f>
        <v>2.06</v>
      </c>
    </row>
    <row r="39" spans="1:4" x14ac:dyDescent="0.2">
      <c r="D39" s="138">
        <f>+D38*D37</f>
        <v>-871.38</v>
      </c>
    </row>
    <row r="40" spans="1:4" x14ac:dyDescent="0.2">
      <c r="A40" s="57">
        <v>37287</v>
      </c>
      <c r="C40" s="15"/>
      <c r="D40" s="602">
        <v>174593.14</v>
      </c>
    </row>
    <row r="41" spans="1:4" x14ac:dyDescent="0.2">
      <c r="A41" s="57">
        <v>37296</v>
      </c>
      <c r="C41" s="48"/>
      <c r="D41" s="138">
        <f>+D40+D39</f>
        <v>173721.76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603">
        <v>76390</v>
      </c>
    </row>
    <row r="47" spans="1:4" x14ac:dyDescent="0.2">
      <c r="A47" s="49">
        <f>+A41</f>
        <v>37296</v>
      </c>
      <c r="B47" s="32"/>
      <c r="C47" s="32"/>
      <c r="D47" s="349">
        <f>+D37</f>
        <v>-423</v>
      </c>
    </row>
    <row r="48" spans="1:4" x14ac:dyDescent="0.2">
      <c r="A48" s="32"/>
      <c r="B48" s="32"/>
      <c r="C48" s="32"/>
      <c r="D48" s="14">
        <f>+D47+D46</f>
        <v>75967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2" workbookViewId="0">
      <selection activeCell="G47" sqref="G47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208</v>
      </c>
      <c r="C3" s="87"/>
      <c r="D3" s="87"/>
    </row>
    <row r="4" spans="1:4" x14ac:dyDescent="0.2">
      <c r="A4" s="3"/>
      <c r="B4" s="328" t="s">
        <v>209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1125</v>
      </c>
      <c r="C6" s="11">
        <v>180</v>
      </c>
      <c r="D6" s="25">
        <f>+C6-B6</f>
        <v>-945</v>
      </c>
    </row>
    <row r="7" spans="1:4" x14ac:dyDescent="0.2">
      <c r="A7" s="10">
        <v>2</v>
      </c>
      <c r="B7" s="11">
        <v>1804</v>
      </c>
      <c r="C7" s="11">
        <v>180</v>
      </c>
      <c r="D7" s="25">
        <f t="shared" ref="D7:D36" si="0">+C7-B7</f>
        <v>-1624</v>
      </c>
    </row>
    <row r="8" spans="1:4" x14ac:dyDescent="0.2">
      <c r="A8" s="10">
        <v>3</v>
      </c>
      <c r="B8" s="129">
        <v>1335</v>
      </c>
      <c r="C8" s="11">
        <v>180</v>
      </c>
      <c r="D8" s="25">
        <f t="shared" si="0"/>
        <v>-1155</v>
      </c>
    </row>
    <row r="9" spans="1:4" x14ac:dyDescent="0.2">
      <c r="A9" s="10">
        <v>4</v>
      </c>
      <c r="B9" s="129">
        <v>1743</v>
      </c>
      <c r="C9" s="11">
        <v>180</v>
      </c>
      <c r="D9" s="25">
        <f t="shared" si="0"/>
        <v>-1563</v>
      </c>
    </row>
    <row r="10" spans="1:4" x14ac:dyDescent="0.2">
      <c r="A10" s="10">
        <v>5</v>
      </c>
      <c r="B10" s="129">
        <v>1680</v>
      </c>
      <c r="C10" s="11">
        <v>180</v>
      </c>
      <c r="D10" s="25">
        <f t="shared" si="0"/>
        <v>-1500</v>
      </c>
    </row>
    <row r="11" spans="1:4" x14ac:dyDescent="0.2">
      <c r="A11" s="10">
        <v>6</v>
      </c>
      <c r="B11" s="129">
        <v>559</v>
      </c>
      <c r="C11" s="11">
        <v>180</v>
      </c>
      <c r="D11" s="25">
        <f t="shared" si="0"/>
        <v>-379</v>
      </c>
    </row>
    <row r="12" spans="1:4" x14ac:dyDescent="0.2">
      <c r="A12" s="10">
        <v>7</v>
      </c>
      <c r="B12" s="129">
        <v>56</v>
      </c>
      <c r="C12" s="11">
        <v>180</v>
      </c>
      <c r="D12" s="25">
        <f t="shared" si="0"/>
        <v>124</v>
      </c>
    </row>
    <row r="13" spans="1:4" x14ac:dyDescent="0.2">
      <c r="A13" s="10">
        <v>8</v>
      </c>
      <c r="B13" s="11">
        <v>251</v>
      </c>
      <c r="C13" s="11">
        <v>180</v>
      </c>
      <c r="D13" s="25">
        <f t="shared" si="0"/>
        <v>-71</v>
      </c>
    </row>
    <row r="14" spans="1:4" x14ac:dyDescent="0.2">
      <c r="A14" s="10">
        <v>9</v>
      </c>
      <c r="B14" s="11">
        <v>28</v>
      </c>
      <c r="C14" s="11">
        <v>180</v>
      </c>
      <c r="D14" s="25">
        <f t="shared" si="0"/>
        <v>152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8581</v>
      </c>
      <c r="C37" s="11">
        <f>SUM(C6:C36)</f>
        <v>1620</v>
      </c>
      <c r="D37" s="25">
        <f>SUM(D6:D36)</f>
        <v>-6961</v>
      </c>
    </row>
    <row r="38" spans="1:4" x14ac:dyDescent="0.2">
      <c r="A38" s="26"/>
      <c r="C38" s="14"/>
      <c r="D38" s="326">
        <f>+summary!G5</f>
        <v>2.06</v>
      </c>
    </row>
    <row r="39" spans="1:4" x14ac:dyDescent="0.2">
      <c r="D39" s="138">
        <f>+D38*D37</f>
        <v>-14339.66</v>
      </c>
    </row>
    <row r="40" spans="1:4" x14ac:dyDescent="0.2">
      <c r="A40" s="57">
        <v>37287</v>
      </c>
      <c r="C40" s="15"/>
      <c r="D40" s="602">
        <v>146678.41</v>
      </c>
    </row>
    <row r="41" spans="1:4" x14ac:dyDescent="0.2">
      <c r="A41" s="57">
        <v>37296</v>
      </c>
      <c r="C41" s="48"/>
      <c r="D41" s="138">
        <f>+D40+D39</f>
        <v>132338.75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603">
        <v>26945</v>
      </c>
    </row>
    <row r="47" spans="1:4" x14ac:dyDescent="0.2">
      <c r="A47" s="49">
        <f>+A41</f>
        <v>37296</v>
      </c>
      <c r="B47" s="32"/>
      <c r="C47" s="32"/>
      <c r="D47" s="349">
        <f>+D37</f>
        <v>-6961</v>
      </c>
    </row>
    <row r="48" spans="1:4" x14ac:dyDescent="0.2">
      <c r="A48" s="32"/>
      <c r="B48" s="32"/>
      <c r="C48" s="32"/>
      <c r="D48" s="14">
        <f>+D47+D46</f>
        <v>19984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topLeftCell="A10" workbookViewId="0">
      <selection activeCell="D14" sqref="D14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  <col min="11" max="11" width="9.5703125" bestFit="1" customWidth="1"/>
    <col min="12" max="12" width="10.42578125" bestFit="1" customWidth="1"/>
    <col min="13" max="14" width="9.5703125" bestFit="1" customWidth="1"/>
    <col min="16" max="16" width="9.85546875" style="2" bestFit="1" customWidth="1"/>
  </cols>
  <sheetData>
    <row r="2" spans="1:33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">
      <c r="A5" s="41">
        <v>1</v>
      </c>
      <c r="B5" s="11"/>
      <c r="C5" s="11"/>
      <c r="D5" s="11">
        <v>-12545</v>
      </c>
      <c r="E5" s="11">
        <v>-12020</v>
      </c>
      <c r="F5" s="11">
        <f>+C5-B5+E5-D5</f>
        <v>525</v>
      </c>
      <c r="G5" s="41"/>
      <c r="H5" s="11"/>
      <c r="I5" s="11"/>
    </row>
    <row r="6" spans="1:33" x14ac:dyDescent="0.2">
      <c r="A6" s="41">
        <v>2</v>
      </c>
      <c r="B6" s="11">
        <v>-10540</v>
      </c>
      <c r="C6" s="11">
        <v>-10000</v>
      </c>
      <c r="D6" s="11">
        <v>-48006</v>
      </c>
      <c r="E6" s="11">
        <v>-47537</v>
      </c>
      <c r="F6" s="11">
        <f t="shared" ref="F6:F35" si="0">+C6-B6+E6-D6</f>
        <v>1009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">
      <c r="A7" s="41">
        <v>3</v>
      </c>
      <c r="B7" s="11">
        <v>-11307</v>
      </c>
      <c r="C7" s="11">
        <v>-10000</v>
      </c>
      <c r="D7" s="11">
        <v>-48201</v>
      </c>
      <c r="E7" s="11">
        <v>-47537</v>
      </c>
      <c r="F7" s="11">
        <f t="shared" si="0"/>
        <v>1971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">
      <c r="A8" s="41">
        <v>4</v>
      </c>
      <c r="B8" s="11">
        <v>-10040</v>
      </c>
      <c r="C8" s="11">
        <v>-10000</v>
      </c>
      <c r="D8" s="11">
        <v>-47983</v>
      </c>
      <c r="E8" s="11">
        <v>-47537</v>
      </c>
      <c r="F8" s="11">
        <f t="shared" si="0"/>
        <v>486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311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5" x14ac:dyDescent="0.35">
      <c r="A9" s="41">
        <v>5</v>
      </c>
      <c r="B9" s="11">
        <v>-10313</v>
      </c>
      <c r="C9" s="11">
        <v>-10000</v>
      </c>
      <c r="D9" s="11">
        <v>-25316</v>
      </c>
      <c r="E9" s="11">
        <v>-25163</v>
      </c>
      <c r="F9" s="11">
        <f t="shared" si="0"/>
        <v>466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572" t="s">
        <v>49</v>
      </c>
      <c r="P9" s="573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">
      <c r="A10" s="41">
        <v>6</v>
      </c>
      <c r="B10" s="11">
        <v>-10601</v>
      </c>
      <c r="C10" s="11">
        <v>-10000</v>
      </c>
      <c r="D10" s="11">
        <v>-109993</v>
      </c>
      <c r="E10" s="11">
        <v>-109606</v>
      </c>
      <c r="F10" s="11">
        <f t="shared" si="0"/>
        <v>988</v>
      </c>
      <c r="G10" s="41"/>
      <c r="H10" s="43"/>
      <c r="I10" s="43"/>
      <c r="J10" s="101">
        <v>36861</v>
      </c>
      <c r="K10" s="2" t="s">
        <v>310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">
      <c r="A11" s="41">
        <v>7</v>
      </c>
      <c r="B11" s="129">
        <v>-10815</v>
      </c>
      <c r="C11" s="11">
        <v>-10000</v>
      </c>
      <c r="D11" s="129">
        <v>-37521</v>
      </c>
      <c r="E11" s="11">
        <v>-37520</v>
      </c>
      <c r="F11" s="11">
        <f t="shared" si="0"/>
        <v>816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">
      <c r="A12" s="41">
        <v>8</v>
      </c>
      <c r="B12" s="11">
        <v>-10723</v>
      </c>
      <c r="C12" s="11">
        <v>-10000</v>
      </c>
      <c r="D12" s="129">
        <v>-34718</v>
      </c>
      <c r="E12" s="11">
        <v>-35326</v>
      </c>
      <c r="F12" s="11">
        <f t="shared" si="0"/>
        <v>115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">
      <c r="A13" s="41">
        <v>9</v>
      </c>
      <c r="B13" s="129">
        <v>-10791</v>
      </c>
      <c r="C13" s="11">
        <v>-10000</v>
      </c>
      <c r="D13" s="129">
        <v>-56402</v>
      </c>
      <c r="E13" s="11">
        <v>-56224</v>
      </c>
      <c r="F13" s="11">
        <f t="shared" si="0"/>
        <v>969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">
      <c r="A14" s="41">
        <v>10</v>
      </c>
      <c r="B14" s="11">
        <v>-9867</v>
      </c>
      <c r="C14" s="11">
        <v>-10000</v>
      </c>
      <c r="D14" s="129"/>
      <c r="E14" s="11"/>
      <c r="F14" s="11">
        <f t="shared" si="0"/>
        <v>-133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312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">
      <c r="A36" s="41"/>
      <c r="B36" s="11">
        <f>SUM(B5:B35)</f>
        <v>-94997</v>
      </c>
      <c r="C36" s="44">
        <f>SUM(C5:C35)</f>
        <v>-90000</v>
      </c>
      <c r="D36" s="43">
        <f>SUM(D5:D35)</f>
        <v>-420685</v>
      </c>
      <c r="E36" s="43">
        <f>SUM(E5:E35)</f>
        <v>-418470</v>
      </c>
      <c r="F36" s="11">
        <f>SUM(F5:F35)</f>
        <v>7212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0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">
      <c r="A39" s="32"/>
      <c r="B39" s="32"/>
      <c r="C39" s="15"/>
      <c r="D39" s="15"/>
      <c r="E39" s="15"/>
      <c r="F39" s="490">
        <f>+summary!G5</f>
        <v>2.06</v>
      </c>
      <c r="G39" s="32"/>
      <c r="H39" s="204"/>
      <c r="I39" s="150"/>
      <c r="J39" s="345"/>
      <c r="K39" s="451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">
      <c r="A40" s="32"/>
      <c r="B40" s="32"/>
      <c r="C40" s="48"/>
      <c r="D40" s="47"/>
      <c r="E40" s="48"/>
      <c r="F40" s="46">
        <f>+F39*F36</f>
        <v>14856.720000000001</v>
      </c>
      <c r="G40" s="32"/>
      <c r="H40" s="204"/>
      <c r="I40" s="206"/>
      <c r="J40" s="345"/>
      <c r="K40" s="345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">
      <c r="A41" s="32"/>
      <c r="B41" s="32"/>
      <c r="C41" s="47"/>
      <c r="D41" s="47"/>
      <c r="E41" s="47"/>
      <c r="F41" s="24"/>
      <c r="G41" s="32"/>
      <c r="H41" s="452"/>
      <c r="I41" s="206"/>
      <c r="J41" s="453"/>
      <c r="K41" s="453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">
      <c r="A42" s="57">
        <v>37287</v>
      </c>
      <c r="B42" s="32"/>
      <c r="C42" s="460"/>
      <c r="D42" s="111"/>
      <c r="E42" s="460"/>
      <c r="F42" s="577">
        <f>9676+25004</f>
        <v>34680</v>
      </c>
      <c r="G42" s="32"/>
      <c r="H42" s="452"/>
      <c r="I42" s="206"/>
      <c r="J42" s="453"/>
      <c r="K42" s="453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">
      <c r="A43" s="57">
        <v>37297</v>
      </c>
      <c r="B43" s="32"/>
      <c r="C43" s="106"/>
      <c r="D43" s="106"/>
      <c r="E43" s="106"/>
      <c r="F43" s="24">
        <f>+F42+F36</f>
        <v>41892</v>
      </c>
      <c r="H43" s="290"/>
      <c r="I43" s="290"/>
      <c r="J43" s="290"/>
      <c r="K43" s="290"/>
      <c r="L43" s="454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">
      <c r="A47" s="32" t="s">
        <v>292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">
      <c r="A48" s="49">
        <f>+A42</f>
        <v>37287</v>
      </c>
      <c r="B48" s="32"/>
      <c r="C48" s="32"/>
      <c r="D48" s="578">
        <v>71928.960000000006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">
      <c r="A49" s="49">
        <f>+A43</f>
        <v>37297</v>
      </c>
      <c r="B49" s="32"/>
      <c r="C49" s="32"/>
      <c r="D49" s="76">
        <f>+F36</f>
        <v>7212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">
      <c r="A50" s="32"/>
      <c r="B50" s="32"/>
      <c r="C50" s="32"/>
      <c r="D50" s="75">
        <f>+D49+D48</f>
        <v>79140.960000000006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5" workbookViewId="0">
      <selection activeCell="F40" sqref="F40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4" t="s">
        <v>213</v>
      </c>
      <c r="C3" s="208"/>
      <c r="D3" s="444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-2410</v>
      </c>
      <c r="C6" s="24">
        <v>-3699</v>
      </c>
      <c r="D6" s="24">
        <v>-2210</v>
      </c>
      <c r="E6" s="24">
        <v>-2000</v>
      </c>
      <c r="F6" s="24">
        <f>+C6+E6-B6-D6</f>
        <v>-1079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-2402</v>
      </c>
      <c r="C7" s="24">
        <v>-3699</v>
      </c>
      <c r="D7" s="24">
        <v>-18</v>
      </c>
      <c r="E7" s="24">
        <v>-2000</v>
      </c>
      <c r="F7" s="24">
        <f t="shared" ref="F7:F36" si="0">+C7+E7-B7-D7</f>
        <v>-3279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-877</v>
      </c>
      <c r="C8" s="24">
        <v>-3699</v>
      </c>
      <c r="D8" s="24">
        <v>-674</v>
      </c>
      <c r="E8" s="24">
        <v>-2000</v>
      </c>
      <c r="F8" s="24">
        <f t="shared" si="0"/>
        <v>-4148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-2234</v>
      </c>
      <c r="C9" s="24">
        <v>-3699</v>
      </c>
      <c r="D9" s="51">
        <v>-2562</v>
      </c>
      <c r="E9" s="24">
        <v>-2000</v>
      </c>
      <c r="F9" s="24">
        <f t="shared" si="0"/>
        <v>-903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-2473</v>
      </c>
      <c r="C10" s="24">
        <v>-3699</v>
      </c>
      <c r="D10" s="51">
        <v>-2615</v>
      </c>
      <c r="E10" s="24">
        <v>-2000</v>
      </c>
      <c r="F10" s="24">
        <f t="shared" si="0"/>
        <v>-611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-2204</v>
      </c>
      <c r="C11" s="24">
        <v>-1736</v>
      </c>
      <c r="D11" s="24">
        <v>-2601</v>
      </c>
      <c r="E11" s="24">
        <v>-2000</v>
      </c>
      <c r="F11" s="24">
        <f t="shared" si="0"/>
        <v>1069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-2381</v>
      </c>
      <c r="C12" s="24">
        <v>-1736</v>
      </c>
      <c r="D12" s="51">
        <v>-2459</v>
      </c>
      <c r="E12" s="24">
        <v>-2000</v>
      </c>
      <c r="F12" s="24">
        <f t="shared" si="0"/>
        <v>1104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-2271</v>
      </c>
      <c r="C13" s="24">
        <v>-1736</v>
      </c>
      <c r="D13" s="24">
        <v>-1917</v>
      </c>
      <c r="E13" s="24">
        <v>-2000</v>
      </c>
      <c r="F13" s="24">
        <f t="shared" si="0"/>
        <v>452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-2359</v>
      </c>
      <c r="C14" s="24">
        <v>-1736</v>
      </c>
      <c r="D14" s="24">
        <v>-95</v>
      </c>
      <c r="E14" s="24">
        <v>-2000</v>
      </c>
      <c r="F14" s="24">
        <f t="shared" si="0"/>
        <v>-1282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-19611</v>
      </c>
      <c r="C37" s="24">
        <f>SUM(C6:C36)</f>
        <v>-25439</v>
      </c>
      <c r="D37" s="24">
        <f>SUM(D6:D36)</f>
        <v>-15151</v>
      </c>
      <c r="E37" s="24">
        <f>SUM(E6:E36)</f>
        <v>-18000</v>
      </c>
      <c r="F37" s="24">
        <f>SUM(F6:F36)</f>
        <v>-8677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2.0499999999999998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-17787.849999999999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C40" s="319"/>
      <c r="D40" s="262"/>
      <c r="E40" s="262"/>
      <c r="F40" s="580">
        <f>-125437.16+8640.37</f>
        <v>-116796.79000000001</v>
      </c>
      <c r="G40" s="441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37296</v>
      </c>
      <c r="C41" s="319"/>
      <c r="D41" s="262"/>
      <c r="E41" s="262"/>
      <c r="F41" s="104">
        <f>+F40+F39</f>
        <v>-134584.64000000001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79">
        <f>6619-39586</f>
        <v>-32967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37296</v>
      </c>
      <c r="B47" s="32"/>
      <c r="C47" s="32"/>
      <c r="D47" s="349">
        <f>+F37</f>
        <v>-8677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-41644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H33" workbookViewId="0">
      <selection activeCell="P40" sqref="P40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4" t="s">
        <v>221</v>
      </c>
      <c r="C3" s="208"/>
      <c r="D3" s="444" t="s">
        <v>223</v>
      </c>
      <c r="E3" s="207"/>
      <c r="F3" s="444" t="s">
        <v>225</v>
      </c>
      <c r="G3" s="207"/>
      <c r="H3" s="444" t="s">
        <v>227</v>
      </c>
      <c r="I3" s="207"/>
      <c r="J3" s="444" t="s">
        <v>229</v>
      </c>
      <c r="K3" s="207"/>
      <c r="L3" s="444" t="s">
        <v>231</v>
      </c>
      <c r="M3" s="207"/>
      <c r="N3" s="444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-2376</v>
      </c>
      <c r="C6" s="24">
        <v>-2100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251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-2273</v>
      </c>
      <c r="C7" s="24">
        <v>-2100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148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-2269</v>
      </c>
      <c r="C8" s="24">
        <v>-2100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144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-2236</v>
      </c>
      <c r="C9" s="24">
        <v>-2100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111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-2299</v>
      </c>
      <c r="C10" s="24">
        <v>-2100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174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-2010</v>
      </c>
      <c r="C11" s="24">
        <v>-2100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-115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-2194</v>
      </c>
      <c r="C12" s="24">
        <v>-2100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69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-2162</v>
      </c>
      <c r="C13" s="24">
        <v>-2100</v>
      </c>
      <c r="D13" s="24"/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37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-2326</v>
      </c>
      <c r="C14" s="24">
        <v>-2100</v>
      </c>
      <c r="D14" s="24"/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201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-20145</v>
      </c>
      <c r="C37" s="24">
        <f t="shared" si="1"/>
        <v>-18900</v>
      </c>
      <c r="D37" s="24">
        <f t="shared" si="1"/>
        <v>0</v>
      </c>
      <c r="E37" s="24">
        <f t="shared" si="1"/>
        <v>-225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1020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2.0499999999999998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1"/>
      <c r="P39" s="104">
        <f>+P38*P37</f>
        <v>2091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1">
        <v>37287</v>
      </c>
      <c r="E40" s="14"/>
      <c r="O40" s="441"/>
      <c r="P40" s="580">
        <v>89767.28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1">
        <v>37296</v>
      </c>
      <c r="E41" s="14"/>
      <c r="O41" s="441"/>
      <c r="P41" s="104">
        <f>+P40+P39</f>
        <v>91858.28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37287</v>
      </c>
      <c r="B46" s="32"/>
      <c r="C46" s="32"/>
      <c r="D46" s="579">
        <v>37041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37296</v>
      </c>
      <c r="B47" s="32"/>
      <c r="C47" s="32"/>
      <c r="D47" s="349">
        <f>+P37</f>
        <v>1020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38061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5" workbookViewId="0">
      <selection activeCell="C32" sqref="C3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277</v>
      </c>
      <c r="C3" s="87"/>
      <c r="D3" s="87"/>
    </row>
    <row r="4" spans="1:4" x14ac:dyDescent="0.2">
      <c r="A4" s="3"/>
      <c r="B4" s="328" t="s">
        <v>276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-14096</v>
      </c>
      <c r="C6" s="11">
        <v>-14000</v>
      </c>
      <c r="D6" s="25">
        <f>+C6-B6</f>
        <v>96</v>
      </c>
    </row>
    <row r="7" spans="1:4" x14ac:dyDescent="0.2">
      <c r="A7" s="10">
        <v>2</v>
      </c>
      <c r="B7" s="11">
        <v>-29052</v>
      </c>
      <c r="C7" s="11">
        <v>-29000</v>
      </c>
      <c r="D7" s="25">
        <f t="shared" ref="D7:D36" si="0">+C7-B7</f>
        <v>52</v>
      </c>
    </row>
    <row r="8" spans="1:4" x14ac:dyDescent="0.2">
      <c r="A8" s="10">
        <v>3</v>
      </c>
      <c r="B8" s="129">
        <v>-28909</v>
      </c>
      <c r="C8" s="11">
        <v>-28963</v>
      </c>
      <c r="D8" s="25">
        <f t="shared" si="0"/>
        <v>-54</v>
      </c>
    </row>
    <row r="9" spans="1:4" x14ac:dyDescent="0.2">
      <c r="A9" s="10">
        <v>4</v>
      </c>
      <c r="B9" s="129">
        <v>-29235</v>
      </c>
      <c r="C9" s="11">
        <v>-29000</v>
      </c>
      <c r="D9" s="25">
        <f t="shared" si="0"/>
        <v>235</v>
      </c>
    </row>
    <row r="10" spans="1:4" x14ac:dyDescent="0.2">
      <c r="A10" s="10">
        <v>5</v>
      </c>
      <c r="B10" s="129">
        <v>-13842</v>
      </c>
      <c r="C10" s="11">
        <v>-14000</v>
      </c>
      <c r="D10" s="25">
        <f t="shared" si="0"/>
        <v>-158</v>
      </c>
    </row>
    <row r="11" spans="1:4" x14ac:dyDescent="0.2">
      <c r="A11" s="10">
        <v>6</v>
      </c>
      <c r="B11" s="129">
        <v>-13715</v>
      </c>
      <c r="C11" s="11">
        <v>-14000</v>
      </c>
      <c r="D11" s="25">
        <f t="shared" si="0"/>
        <v>-285</v>
      </c>
    </row>
    <row r="12" spans="1:4" x14ac:dyDescent="0.2">
      <c r="A12" s="10">
        <v>7</v>
      </c>
      <c r="B12" s="129">
        <v>-14374</v>
      </c>
      <c r="C12" s="11">
        <v>-14000</v>
      </c>
      <c r="D12" s="25">
        <f t="shared" si="0"/>
        <v>374</v>
      </c>
    </row>
    <row r="13" spans="1:4" x14ac:dyDescent="0.2">
      <c r="A13" s="10">
        <v>8</v>
      </c>
      <c r="B13" s="11">
        <v>-14059</v>
      </c>
      <c r="C13" s="11">
        <v>-14000</v>
      </c>
      <c r="D13" s="25">
        <f t="shared" si="0"/>
        <v>59</v>
      </c>
    </row>
    <row r="14" spans="1:4" x14ac:dyDescent="0.2">
      <c r="A14" s="10">
        <v>9</v>
      </c>
      <c r="B14" s="11">
        <v>-14018</v>
      </c>
      <c r="C14" s="11">
        <v>-14000</v>
      </c>
      <c r="D14" s="25">
        <f t="shared" si="0"/>
        <v>18</v>
      </c>
    </row>
    <row r="15" spans="1:4" x14ac:dyDescent="0.2">
      <c r="A15" s="10">
        <v>10</v>
      </c>
      <c r="B15" s="11">
        <v>-13988</v>
      </c>
      <c r="C15" s="11">
        <v>-14000</v>
      </c>
      <c r="D15" s="25">
        <f t="shared" si="0"/>
        <v>-12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29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-185288</v>
      </c>
      <c r="C37" s="11">
        <f>SUM(C6:C36)</f>
        <v>-184963</v>
      </c>
      <c r="D37" s="25">
        <f>SUM(D6:D36)</f>
        <v>325</v>
      </c>
    </row>
    <row r="38" spans="1:4" x14ac:dyDescent="0.2">
      <c r="A38" s="26"/>
      <c r="C38" s="14"/>
      <c r="D38" s="326">
        <f>+summary!G4</f>
        <v>2.0499999999999998</v>
      </c>
    </row>
    <row r="39" spans="1:4" x14ac:dyDescent="0.2">
      <c r="D39" s="138">
        <f>+D38*D37</f>
        <v>666.24999999999989</v>
      </c>
    </row>
    <row r="40" spans="1:4" x14ac:dyDescent="0.2">
      <c r="A40" s="57">
        <v>37287</v>
      </c>
      <c r="C40" s="15"/>
      <c r="D40" s="602">
        <v>-27179.17</v>
      </c>
    </row>
    <row r="41" spans="1:4" x14ac:dyDescent="0.2">
      <c r="A41" s="57">
        <v>37297</v>
      </c>
      <c r="C41" s="48"/>
      <c r="D41" s="138">
        <f>+D40+D39</f>
        <v>-26512.92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603">
        <v>-12</v>
      </c>
    </row>
    <row r="47" spans="1:4" x14ac:dyDescent="0.2">
      <c r="A47" s="49">
        <f>+A41</f>
        <v>37297</v>
      </c>
      <c r="B47" s="32"/>
      <c r="C47" s="32"/>
      <c r="D47" s="349">
        <f>+D37</f>
        <v>325</v>
      </c>
    </row>
    <row r="48" spans="1:4" x14ac:dyDescent="0.2">
      <c r="A48" s="32"/>
      <c r="B48" s="32"/>
      <c r="C48" s="32"/>
      <c r="D48" s="14">
        <f>+D47+D46</f>
        <v>313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9"/>
  <sheetViews>
    <sheetView topLeftCell="A28" workbookViewId="0">
      <selection activeCell="D46" sqref="D46:E4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296</v>
      </c>
      <c r="C3" s="87"/>
      <c r="D3" s="87"/>
    </row>
    <row r="4" spans="1:4" x14ac:dyDescent="0.2">
      <c r="A4" s="3"/>
      <c r="B4" s="328" t="s">
        <v>297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5" x14ac:dyDescent="0.2">
      <c r="A33" s="10">
        <v>28</v>
      </c>
      <c r="B33" s="11"/>
      <c r="C33" s="11"/>
      <c r="D33" s="25">
        <f t="shared" si="0"/>
        <v>0</v>
      </c>
    </row>
    <row r="34" spans="1:5" x14ac:dyDescent="0.2">
      <c r="A34" s="10">
        <v>29</v>
      </c>
      <c r="B34" s="11"/>
      <c r="C34" s="11"/>
      <c r="D34" s="25">
        <f t="shared" si="0"/>
        <v>0</v>
      </c>
    </row>
    <row r="35" spans="1:5" x14ac:dyDescent="0.2">
      <c r="A35" s="10">
        <v>30</v>
      </c>
      <c r="B35" s="11"/>
      <c r="C35" s="11"/>
      <c r="D35" s="25">
        <f t="shared" si="0"/>
        <v>0</v>
      </c>
    </row>
    <row r="36" spans="1:5" x14ac:dyDescent="0.2">
      <c r="A36" s="10">
        <v>31</v>
      </c>
      <c r="B36" s="11"/>
      <c r="C36" s="11"/>
      <c r="D36" s="25">
        <f t="shared" si="0"/>
        <v>0</v>
      </c>
    </row>
    <row r="37" spans="1:5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5" x14ac:dyDescent="0.2">
      <c r="A38" s="26"/>
      <c r="C38" s="14"/>
      <c r="D38" s="326">
        <f>+summary!G5</f>
        <v>2.06</v>
      </c>
    </row>
    <row r="39" spans="1:5" x14ac:dyDescent="0.2">
      <c r="D39" s="138">
        <f>+D38*D37</f>
        <v>0</v>
      </c>
    </row>
    <row r="40" spans="1:5" x14ac:dyDescent="0.2">
      <c r="A40" s="57">
        <v>37287</v>
      </c>
      <c r="C40" s="15"/>
      <c r="D40" s="602">
        <v>48490.31</v>
      </c>
    </row>
    <row r="41" spans="1:5" x14ac:dyDescent="0.2">
      <c r="A41" s="57">
        <v>37287</v>
      </c>
      <c r="C41" s="48"/>
      <c r="D41" s="138">
        <f>+D40+D39</f>
        <v>48490.31</v>
      </c>
    </row>
    <row r="42" spans="1:5" x14ac:dyDescent="0.2">
      <c r="D42" s="24"/>
    </row>
    <row r="45" spans="1:5" x14ac:dyDescent="0.2">
      <c r="A45" s="32" t="s">
        <v>149</v>
      </c>
      <c r="B45" s="32"/>
      <c r="C45" s="32"/>
      <c r="D45" s="32"/>
    </row>
    <row r="46" spans="1:5" x14ac:dyDescent="0.2">
      <c r="A46" s="49">
        <f>+A40</f>
        <v>37287</v>
      </c>
      <c r="B46" s="32"/>
      <c r="C46" s="32"/>
      <c r="D46" s="603">
        <v>17403</v>
      </c>
      <c r="E46" s="604"/>
    </row>
    <row r="47" spans="1:5" x14ac:dyDescent="0.2">
      <c r="A47" s="49">
        <f>+A41</f>
        <v>37287</v>
      </c>
      <c r="B47" s="32"/>
      <c r="C47" s="32"/>
      <c r="D47" s="349">
        <f>+D37</f>
        <v>0</v>
      </c>
    </row>
    <row r="48" spans="1:5" x14ac:dyDescent="0.2">
      <c r="A48" s="32"/>
      <c r="B48" s="32"/>
      <c r="C48" s="32"/>
      <c r="D48" s="14">
        <f>+D47+D46</f>
        <v>17403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N41" sqref="N41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31" t="s">
        <v>280</v>
      </c>
    </row>
    <row r="3" spans="1:37" x14ac:dyDescent="0.2">
      <c r="B3" s="463">
        <v>10518</v>
      </c>
      <c r="D3" s="463">
        <v>13276</v>
      </c>
      <c r="F3" s="463">
        <v>13475</v>
      </c>
      <c r="H3" s="463">
        <v>500176</v>
      </c>
      <c r="J3" s="463">
        <v>500390</v>
      </c>
      <c r="L3" s="463">
        <v>500612</v>
      </c>
    </row>
    <row r="4" spans="1:37" x14ac:dyDescent="0.2">
      <c r="B4" s="532" t="s">
        <v>282</v>
      </c>
      <c r="C4" s="533"/>
      <c r="D4" s="534" t="s">
        <v>283</v>
      </c>
      <c r="E4" s="533"/>
      <c r="F4" s="534" t="s">
        <v>284</v>
      </c>
      <c r="G4" s="533"/>
      <c r="H4" s="534" t="s">
        <v>285</v>
      </c>
      <c r="I4" s="533"/>
      <c r="J4" s="534" t="s">
        <v>286</v>
      </c>
      <c r="K4" s="533"/>
      <c r="L4" s="534" t="s">
        <v>287</v>
      </c>
      <c r="M4" s="533"/>
      <c r="N4" s="533"/>
    </row>
    <row r="5" spans="1:37" x14ac:dyDescent="0.2">
      <c r="A5" s="535" t="s">
        <v>10</v>
      </c>
      <c r="B5" s="464" t="s">
        <v>19</v>
      </c>
      <c r="C5" s="464" t="s">
        <v>20</v>
      </c>
      <c r="D5" s="464" t="s">
        <v>19</v>
      </c>
      <c r="E5" s="464" t="s">
        <v>20</v>
      </c>
      <c r="F5" s="464" t="s">
        <v>19</v>
      </c>
      <c r="G5" s="464" t="s">
        <v>20</v>
      </c>
      <c r="H5" s="464" t="s">
        <v>19</v>
      </c>
      <c r="I5" s="464" t="s">
        <v>20</v>
      </c>
      <c r="J5" s="464" t="s">
        <v>19</v>
      </c>
      <c r="K5" s="464" t="s">
        <v>20</v>
      </c>
      <c r="L5" s="464" t="s">
        <v>19</v>
      </c>
      <c r="M5" s="464" t="s">
        <v>20</v>
      </c>
      <c r="N5" s="464"/>
      <c r="P5" s="536"/>
      <c r="Q5" s="536"/>
      <c r="R5" s="536"/>
      <c r="S5" s="536"/>
      <c r="T5" s="536"/>
      <c r="V5" s="537"/>
      <c r="AA5" s="538"/>
      <c r="AB5" s="536"/>
      <c r="AC5" s="536"/>
      <c r="AD5" s="536"/>
      <c r="AE5" s="536"/>
      <c r="AF5" s="536"/>
      <c r="AH5" s="537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36"/>
      <c r="Q6" s="536"/>
      <c r="R6" s="536"/>
      <c r="S6" s="536"/>
      <c r="T6" s="536"/>
      <c r="U6" s="539"/>
      <c r="V6" s="537"/>
      <c r="Y6" s="540"/>
      <c r="AA6" s="538"/>
      <c r="AB6" s="536"/>
      <c r="AC6" s="536"/>
      <c r="AD6" s="536"/>
      <c r="AE6" s="536"/>
      <c r="AF6" s="536"/>
      <c r="AG6" s="539"/>
      <c r="AH6" s="537"/>
      <c r="AK6" s="540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41"/>
      <c r="AB7" s="542"/>
      <c r="AC7" s="542"/>
      <c r="AD7" s="542"/>
      <c r="AE7" s="542"/>
      <c r="AF7" s="542"/>
      <c r="AG7" s="19"/>
      <c r="AH7" s="543"/>
      <c r="AI7" s="252"/>
      <c r="AJ7" s="264"/>
      <c r="AK7" s="540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42"/>
      <c r="Q8" s="542"/>
      <c r="R8" s="542"/>
      <c r="S8" s="542"/>
      <c r="T8" s="542"/>
      <c r="U8" s="19"/>
      <c r="V8" s="543"/>
      <c r="W8" s="252"/>
      <c r="X8" s="264"/>
      <c r="Y8" s="540"/>
      <c r="AA8" s="541"/>
      <c r="AB8" s="542"/>
      <c r="AC8" s="542"/>
      <c r="AD8" s="542"/>
      <c r="AE8" s="542"/>
      <c r="AF8" s="542"/>
      <c r="AG8" s="19"/>
      <c r="AH8" s="543"/>
      <c r="AI8" s="252"/>
      <c r="AJ8" s="264"/>
      <c r="AK8" s="540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42"/>
      <c r="S9" s="28"/>
      <c r="T9" s="542"/>
      <c r="U9" s="19"/>
      <c r="V9" s="543"/>
      <c r="W9" s="252"/>
      <c r="X9" s="264"/>
      <c r="Y9" s="540"/>
      <c r="AA9" s="541"/>
      <c r="AB9" s="542"/>
      <c r="AC9" s="542"/>
      <c r="AD9" s="542"/>
      <c r="AE9" s="542"/>
      <c r="AF9" s="542"/>
      <c r="AG9" s="19"/>
      <c r="AH9" s="543"/>
      <c r="AI9" s="252"/>
      <c r="AJ9" s="264"/>
      <c r="AK9" s="540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42"/>
      <c r="S10" s="28"/>
      <c r="T10" s="542"/>
      <c r="U10" s="19"/>
      <c r="V10" s="543"/>
      <c r="W10" s="252"/>
      <c r="X10" s="264"/>
      <c r="Y10" s="540"/>
      <c r="AA10" s="541"/>
      <c r="AB10" s="542"/>
      <c r="AC10" s="542"/>
      <c r="AD10" s="542"/>
      <c r="AE10" s="542"/>
      <c r="AF10" s="542"/>
      <c r="AG10" s="19"/>
      <c r="AH10" s="543"/>
      <c r="AI10" s="252"/>
      <c r="AJ10" s="264"/>
      <c r="AK10" s="540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42"/>
      <c r="S11" s="28"/>
      <c r="T11" s="542"/>
      <c r="U11" s="19"/>
      <c r="V11" s="543"/>
      <c r="W11" s="252"/>
      <c r="X11" s="264"/>
      <c r="Y11" s="540"/>
      <c r="AA11" s="541"/>
      <c r="AB11" s="542"/>
      <c r="AC11" s="542"/>
      <c r="AD11" s="542"/>
      <c r="AE11" s="542"/>
      <c r="AF11" s="542"/>
      <c r="AG11" s="19"/>
      <c r="AH11" s="543"/>
      <c r="AI11" s="252"/>
      <c r="AJ11" s="264"/>
      <c r="AK11" s="540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42"/>
      <c r="S12" s="28"/>
      <c r="T12" s="542"/>
      <c r="U12" s="19"/>
      <c r="V12" s="543"/>
      <c r="W12" s="252"/>
      <c r="X12" s="264"/>
      <c r="Y12" s="540"/>
      <c r="AA12" s="541"/>
      <c r="AB12" s="542"/>
      <c r="AC12" s="542"/>
      <c r="AD12" s="542"/>
      <c r="AE12" s="542"/>
      <c r="AF12" s="542"/>
      <c r="AG12" s="19"/>
      <c r="AH12" s="543"/>
      <c r="AI12" s="252"/>
      <c r="AJ12" s="264"/>
      <c r="AK12" s="540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42"/>
      <c r="S13" s="544"/>
      <c r="T13" s="542"/>
      <c r="U13" s="19"/>
      <c r="V13" s="543"/>
      <c r="W13" s="252"/>
      <c r="X13" s="264"/>
      <c r="Y13" s="540"/>
      <c r="AA13" s="541"/>
      <c r="AB13" s="542"/>
      <c r="AC13" s="542"/>
      <c r="AD13" s="542"/>
      <c r="AE13" s="542"/>
      <c r="AF13" s="542"/>
      <c r="AG13" s="19"/>
      <c r="AH13" s="543"/>
      <c r="AI13" s="252"/>
      <c r="AJ13" s="264"/>
      <c r="AK13" s="540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42"/>
      <c r="S14" s="544"/>
      <c r="T14" s="542"/>
      <c r="U14" s="19"/>
      <c r="V14" s="543"/>
      <c r="W14" s="252"/>
      <c r="X14" s="264"/>
      <c r="Y14" s="540"/>
      <c r="AA14" s="541"/>
      <c r="AB14" s="542"/>
      <c r="AC14" s="542"/>
      <c r="AD14" s="542"/>
      <c r="AE14" s="542"/>
      <c r="AF14" s="542"/>
      <c r="AG14" s="19"/>
      <c r="AH14" s="543"/>
      <c r="AI14" s="252"/>
      <c r="AJ14" s="264"/>
      <c r="AK14" s="540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42"/>
      <c r="S15" s="544"/>
      <c r="T15" s="542"/>
      <c r="U15" s="19"/>
      <c r="V15" s="543"/>
      <c r="W15" s="252"/>
      <c r="X15" s="264"/>
      <c r="Y15" s="540"/>
      <c r="AA15" s="541"/>
      <c r="AB15" s="542"/>
      <c r="AC15" s="542"/>
      <c r="AD15" s="542"/>
      <c r="AE15" s="542"/>
      <c r="AF15" s="542"/>
      <c r="AG15" s="19"/>
      <c r="AH15" s="543"/>
      <c r="AI15" s="252"/>
      <c r="AJ15" s="264"/>
      <c r="AK15" s="540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42"/>
      <c r="S16" s="544"/>
      <c r="T16" s="542"/>
      <c r="U16" s="19"/>
      <c r="V16" s="543"/>
      <c r="W16" s="252"/>
      <c r="X16" s="264"/>
      <c r="Y16" s="540"/>
      <c r="AA16" s="541"/>
      <c r="AB16" s="542"/>
      <c r="AC16" s="542"/>
      <c r="AD16" s="542"/>
      <c r="AE16" s="542"/>
      <c r="AF16" s="542"/>
      <c r="AG16" s="19"/>
      <c r="AH16" s="543"/>
      <c r="AI16" s="252"/>
      <c r="AJ16" s="264"/>
      <c r="AK16" s="540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42"/>
      <c r="S17" s="544"/>
      <c r="T17" s="542"/>
      <c r="U17" s="19"/>
      <c r="V17" s="543"/>
      <c r="W17" s="252"/>
      <c r="X17" s="264"/>
      <c r="Y17" s="540"/>
      <c r="AA17" s="541"/>
      <c r="AB17" s="542"/>
      <c r="AC17" s="542"/>
      <c r="AD17" s="542"/>
      <c r="AE17" s="542"/>
      <c r="AF17" s="542"/>
      <c r="AG17" s="19"/>
      <c r="AH17" s="543"/>
      <c r="AI17" s="252"/>
      <c r="AJ17" s="264"/>
      <c r="AK17" s="540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42"/>
      <c r="S18" s="544"/>
      <c r="T18" s="542"/>
      <c r="U18" s="19"/>
      <c r="V18" s="543"/>
      <c r="W18" s="252"/>
      <c r="X18" s="264"/>
      <c r="Y18" s="540"/>
      <c r="AA18" s="541"/>
      <c r="AB18" s="542"/>
      <c r="AF18" s="542"/>
      <c r="AG18" s="19"/>
      <c r="AH18" s="543"/>
      <c r="AI18" s="252"/>
      <c r="AJ18" s="264"/>
      <c r="AK18" s="540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42"/>
      <c r="T19" s="542"/>
      <c r="U19" s="19"/>
      <c r="V19" s="543"/>
      <c r="W19" s="252"/>
      <c r="X19" s="264"/>
      <c r="Y19" s="540"/>
      <c r="AA19" s="541"/>
      <c r="AB19" s="542"/>
      <c r="AF19" s="542"/>
      <c r="AG19" s="19"/>
      <c r="AH19" s="543"/>
      <c r="AI19" s="252"/>
      <c r="AJ19" s="264"/>
      <c r="AK19" s="540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42"/>
      <c r="T20" s="542"/>
      <c r="U20" s="19"/>
      <c r="V20" s="543"/>
      <c r="W20" s="252"/>
      <c r="X20" s="264"/>
      <c r="Y20" s="540"/>
      <c r="AA20" s="541"/>
      <c r="AB20" s="542"/>
      <c r="AF20" s="542"/>
      <c r="AG20" s="19"/>
      <c r="AH20" s="543"/>
      <c r="AI20" s="252"/>
      <c r="AJ20" s="264"/>
      <c r="AK20" s="540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41"/>
      <c r="AB21" s="542"/>
      <c r="AF21" s="542"/>
      <c r="AG21" s="19"/>
      <c r="AH21" s="543"/>
      <c r="AI21" s="252"/>
      <c r="AJ21" s="264"/>
      <c r="AK21" s="540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41"/>
      <c r="AB22" s="51"/>
      <c r="AF22" s="542"/>
      <c r="AG22" s="19"/>
      <c r="AH22" s="543"/>
      <c r="AI22" s="252"/>
      <c r="AJ22" s="264"/>
      <c r="AK22" s="540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42"/>
      <c r="Q23" s="542"/>
      <c r="R23" s="542"/>
      <c r="S23" s="542"/>
      <c r="T23" s="542"/>
      <c r="U23" s="19"/>
      <c r="V23" s="543"/>
      <c r="W23" s="252"/>
      <c r="X23" s="264"/>
      <c r="Y23" s="540"/>
      <c r="AA23" s="541"/>
      <c r="AB23" s="51"/>
      <c r="AF23" s="542"/>
      <c r="AG23" s="19"/>
      <c r="AH23" s="543"/>
      <c r="AI23" s="252"/>
      <c r="AJ23" s="264"/>
      <c r="AK23" s="540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42"/>
      <c r="Q24" s="542"/>
      <c r="R24" s="542"/>
      <c r="S24" s="542"/>
      <c r="T24" s="542"/>
      <c r="U24" s="19"/>
      <c r="V24" s="543"/>
      <c r="W24" s="252"/>
      <c r="X24" s="264"/>
      <c r="Y24" s="540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42"/>
      <c r="Q25" s="542"/>
      <c r="R25" s="542"/>
      <c r="S25" s="542"/>
      <c r="T25" s="542"/>
      <c r="U25" s="19"/>
      <c r="V25" s="543"/>
      <c r="W25" s="252"/>
      <c r="X25" s="264"/>
      <c r="Y25" s="540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42"/>
      <c r="Q26" s="542"/>
      <c r="R26" s="542"/>
      <c r="S26" s="542"/>
      <c r="T26" s="542"/>
      <c r="U26" s="19"/>
      <c r="V26" s="543"/>
      <c r="W26" s="252"/>
      <c r="X26" s="264"/>
      <c r="Y26" s="540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42"/>
      <c r="Q27" s="542"/>
      <c r="R27" s="542"/>
      <c r="S27" s="542"/>
      <c r="T27" s="542"/>
      <c r="U27" s="19"/>
      <c r="V27" s="543"/>
      <c r="W27" s="252"/>
      <c r="X27" s="264"/>
      <c r="Y27" s="540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42"/>
      <c r="Q28" s="542"/>
      <c r="R28" s="542"/>
      <c r="S28" s="542"/>
      <c r="T28" s="542"/>
      <c r="U28" s="19"/>
      <c r="V28" s="543"/>
      <c r="W28" s="252"/>
      <c r="X28" s="264"/>
      <c r="Y28" s="540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42"/>
      <c r="Q29" s="542"/>
      <c r="R29" s="542"/>
      <c r="S29" s="542"/>
      <c r="T29" s="542"/>
      <c r="U29" s="19"/>
      <c r="V29" s="543"/>
      <c r="W29" s="252"/>
      <c r="X29" s="264"/>
      <c r="Y29" s="540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42"/>
      <c r="Q30" s="542"/>
      <c r="R30" s="542"/>
      <c r="S30" s="542"/>
      <c r="T30" s="542"/>
      <c r="U30" s="19"/>
      <c r="V30" s="543"/>
      <c r="W30" s="252"/>
      <c r="X30" s="264"/>
      <c r="Y30" s="540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42"/>
      <c r="Q31" s="542"/>
      <c r="R31" s="542"/>
      <c r="S31" s="542"/>
      <c r="T31" s="542"/>
      <c r="U31" s="19"/>
      <c r="V31" s="543"/>
      <c r="W31" s="252"/>
      <c r="X31" s="264"/>
      <c r="Y31" s="540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42"/>
      <c r="Q32" s="542"/>
      <c r="R32" s="542"/>
      <c r="S32" s="542"/>
      <c r="T32" s="542"/>
      <c r="U32" s="19"/>
      <c r="V32" s="543"/>
      <c r="W32" s="252"/>
      <c r="X32" s="264"/>
      <c r="Y32" s="540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42"/>
      <c r="Q33" s="542"/>
      <c r="R33" s="542"/>
      <c r="S33" s="542"/>
      <c r="T33" s="542"/>
      <c r="U33" s="19"/>
      <c r="V33" s="543"/>
      <c r="W33" s="252"/>
      <c r="X33" s="264"/>
      <c r="Y33" s="540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42"/>
      <c r="T34" s="542"/>
      <c r="U34" s="19"/>
      <c r="V34" s="543"/>
      <c r="W34" s="252"/>
      <c r="X34" s="264"/>
      <c r="Y34" s="540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42"/>
      <c r="T35" s="542"/>
      <c r="U35" s="19"/>
      <c r="V35" s="543"/>
      <c r="W35" s="252"/>
      <c r="X35" s="264"/>
      <c r="Y35" s="540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42"/>
      <c r="T36" s="542"/>
      <c r="U36" s="19"/>
      <c r="V36" s="543"/>
      <c r="W36" s="252"/>
      <c r="X36" s="264"/>
      <c r="Y36" s="540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42"/>
      <c r="T37" s="542"/>
      <c r="U37" s="19"/>
      <c r="V37" s="543"/>
      <c r="W37" s="252"/>
      <c r="X37" s="264"/>
      <c r="Y37" s="540"/>
    </row>
    <row r="38" spans="1:25" x14ac:dyDescent="0.2">
      <c r="N38" s="264">
        <f>+summary!G4</f>
        <v>2.0499999999999998</v>
      </c>
      <c r="P38" s="51"/>
      <c r="T38" s="542"/>
      <c r="U38" s="19"/>
      <c r="V38" s="543"/>
      <c r="W38" s="252"/>
      <c r="X38" s="264"/>
      <c r="Y38" s="540"/>
    </row>
    <row r="39" spans="1:25" x14ac:dyDescent="0.2">
      <c r="H39" s="262"/>
      <c r="I39" s="262"/>
      <c r="J39" s="262"/>
      <c r="K39" s="262"/>
      <c r="L39" s="262"/>
      <c r="M39" s="262"/>
      <c r="N39" s="471">
        <f>+N38*N37</f>
        <v>0</v>
      </c>
      <c r="P39" s="51"/>
      <c r="T39" s="542"/>
      <c r="U39" s="19"/>
      <c r="V39" s="543"/>
      <c r="W39" s="252"/>
      <c r="X39" s="264"/>
      <c r="Y39" s="540"/>
    </row>
    <row r="40" spans="1:25" x14ac:dyDescent="0.2">
      <c r="N40" s="329"/>
      <c r="P40" s="542"/>
      <c r="T40" s="542"/>
      <c r="U40" s="19"/>
      <c r="V40" s="543"/>
      <c r="W40" s="252"/>
      <c r="X40" s="264"/>
      <c r="Y40" s="540"/>
    </row>
    <row r="41" spans="1:25" x14ac:dyDescent="0.2">
      <c r="A41" s="263">
        <v>37287</v>
      </c>
      <c r="C41" s="131"/>
      <c r="E41" s="131"/>
      <c r="G41" s="131"/>
      <c r="I41" s="131"/>
      <c r="K41" s="131"/>
      <c r="M41" s="131"/>
      <c r="N41" s="585">
        <f>121241.56-58000</f>
        <v>63241.56</v>
      </c>
      <c r="P41" s="542"/>
      <c r="T41" s="542"/>
      <c r="U41" s="19"/>
      <c r="V41" s="543"/>
      <c r="W41" s="252"/>
      <c r="X41" s="264"/>
      <c r="Y41" s="540"/>
    </row>
    <row r="42" spans="1:25" x14ac:dyDescent="0.2">
      <c r="N42" s="319"/>
      <c r="P42" s="542"/>
      <c r="T42" s="542"/>
      <c r="U42" s="19"/>
      <c r="V42" s="543"/>
      <c r="W42" s="252"/>
      <c r="X42" s="264"/>
      <c r="Y42" s="540"/>
    </row>
    <row r="43" spans="1:25" x14ac:dyDescent="0.2">
      <c r="A43" s="263">
        <v>37287</v>
      </c>
      <c r="N43" s="319">
        <f>+N41+N39</f>
        <v>63241.56</v>
      </c>
      <c r="P43" s="542"/>
      <c r="T43" s="542"/>
      <c r="U43" s="19"/>
      <c r="V43" s="543"/>
      <c r="W43" s="252"/>
      <c r="X43" s="264"/>
      <c r="Y43" s="540"/>
    </row>
    <row r="44" spans="1:25" x14ac:dyDescent="0.2">
      <c r="N44" s="329"/>
      <c r="P44" s="542"/>
      <c r="T44" s="542"/>
      <c r="U44" s="19"/>
      <c r="V44" s="543"/>
      <c r="W44" s="252"/>
      <c r="X44" s="264"/>
      <c r="Y44" s="540"/>
    </row>
    <row r="45" spans="1:25" x14ac:dyDescent="0.2">
      <c r="P45" s="542"/>
      <c r="T45" s="542"/>
      <c r="U45" s="19"/>
      <c r="V45" s="543"/>
      <c r="W45" s="252"/>
      <c r="X45" s="264"/>
      <c r="Y45" s="540"/>
    </row>
    <row r="46" spans="1:25" x14ac:dyDescent="0.2">
      <c r="B46" s="463"/>
      <c r="D46" s="463"/>
      <c r="F46" s="463"/>
      <c r="H46" s="463"/>
      <c r="J46" s="463"/>
      <c r="L46" s="463"/>
      <c r="O46" s="541"/>
      <c r="P46" s="51"/>
      <c r="T46" s="542"/>
      <c r="U46" s="19"/>
      <c r="V46" s="543"/>
      <c r="W46" s="252"/>
      <c r="X46" s="264"/>
      <c r="Y46" s="540"/>
    </row>
    <row r="47" spans="1:25" x14ac:dyDescent="0.2">
      <c r="A47" s="249" t="s">
        <v>149</v>
      </c>
      <c r="B47" s="249"/>
      <c r="C47" s="249"/>
      <c r="D47" s="249"/>
      <c r="E47" s="533"/>
      <c r="F47" s="533"/>
      <c r="G47" s="533"/>
      <c r="H47" s="533"/>
      <c r="I47" s="533"/>
      <c r="J47" s="533"/>
      <c r="K47" s="533"/>
      <c r="L47" s="533"/>
      <c r="M47" s="533"/>
      <c r="N47" s="533"/>
      <c r="O47" s="541"/>
      <c r="P47" s="51"/>
      <c r="T47" s="542"/>
      <c r="U47" s="19"/>
      <c r="V47" s="543"/>
      <c r="W47" s="252"/>
      <c r="X47" s="264"/>
      <c r="Y47" s="540"/>
    </row>
    <row r="48" spans="1:25" x14ac:dyDescent="0.2">
      <c r="A48" s="545">
        <f>+A41</f>
        <v>37287</v>
      </c>
      <c r="B48" s="249"/>
      <c r="C48" s="249"/>
      <c r="D48" s="579">
        <f>42706-20422</f>
        <v>22284</v>
      </c>
      <c r="E48" s="464"/>
      <c r="F48" s="464"/>
      <c r="G48" s="464"/>
      <c r="H48" s="464"/>
      <c r="I48" s="464"/>
      <c r="J48" s="464"/>
      <c r="K48" s="464"/>
      <c r="L48" s="464"/>
      <c r="M48" s="464"/>
      <c r="N48" s="464"/>
      <c r="O48" s="541"/>
      <c r="T48" s="542"/>
      <c r="U48" s="19"/>
      <c r="V48" s="543"/>
      <c r="W48" s="252"/>
      <c r="X48" s="264"/>
      <c r="Y48" s="540"/>
    </row>
    <row r="49" spans="1:25" x14ac:dyDescent="0.2">
      <c r="A49" s="545">
        <f>+A43</f>
        <v>37287</v>
      </c>
      <c r="B49" s="249"/>
      <c r="C49" s="249"/>
      <c r="D49" s="457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41"/>
      <c r="T49" s="542"/>
      <c r="U49" s="19"/>
      <c r="V49" s="543"/>
      <c r="W49" s="252"/>
      <c r="X49" s="264"/>
      <c r="Y49" s="540"/>
    </row>
    <row r="50" spans="1:25" x14ac:dyDescent="0.2">
      <c r="A50" s="249"/>
      <c r="B50" s="249"/>
      <c r="C50" s="249"/>
      <c r="D50" s="262">
        <f>+D49+D48</f>
        <v>22284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41"/>
      <c r="U50" s="19"/>
    </row>
    <row r="51" spans="1:25" x14ac:dyDescent="0.2">
      <c r="A51" s="546"/>
      <c r="B51" s="547"/>
      <c r="C51" s="476"/>
      <c r="D51" s="476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41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41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41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41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41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41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41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41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41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41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41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41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41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41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41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41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41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41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41"/>
      <c r="P70" s="542"/>
      <c r="Q70" s="542"/>
      <c r="R70" s="542"/>
      <c r="S70" s="542"/>
      <c r="T70" s="542"/>
      <c r="U70" s="28"/>
      <c r="V70" s="548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41"/>
      <c r="P71" s="542"/>
      <c r="Q71" s="542"/>
      <c r="R71" s="542"/>
      <c r="S71" s="542"/>
      <c r="T71" s="542"/>
      <c r="U71" s="28"/>
      <c r="V71" s="548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41"/>
      <c r="P72" s="542"/>
      <c r="Q72" s="542"/>
      <c r="R72" s="542"/>
      <c r="S72" s="542"/>
      <c r="T72" s="542"/>
      <c r="U72" s="28"/>
      <c r="V72" s="548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41"/>
      <c r="P73" s="542"/>
      <c r="Q73" s="542"/>
      <c r="R73" s="542"/>
      <c r="S73" s="542"/>
      <c r="T73" s="542"/>
      <c r="U73" s="28"/>
      <c r="V73" s="548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41"/>
      <c r="P74" s="542"/>
      <c r="Q74" s="542"/>
      <c r="R74" s="542"/>
      <c r="S74" s="542"/>
      <c r="T74" s="542"/>
      <c r="U74" s="28"/>
      <c r="V74" s="548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41"/>
      <c r="P75" s="542"/>
      <c r="Q75" s="542"/>
      <c r="R75" s="542"/>
      <c r="S75" s="542"/>
      <c r="T75" s="542"/>
      <c r="U75" s="28"/>
      <c r="V75" s="548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41"/>
      <c r="P76" s="542"/>
      <c r="Q76" s="542"/>
      <c r="R76" s="542"/>
      <c r="S76" s="542"/>
      <c r="T76" s="542"/>
      <c r="U76" s="28"/>
      <c r="V76" s="548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41"/>
      <c r="P77" s="542"/>
      <c r="Q77" s="542"/>
      <c r="R77" s="542"/>
      <c r="S77" s="542"/>
      <c r="T77" s="542"/>
      <c r="U77" s="28"/>
      <c r="V77" s="548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41"/>
      <c r="P78" s="542"/>
      <c r="Q78" s="542"/>
      <c r="R78" s="542"/>
      <c r="S78" s="542"/>
      <c r="T78" s="542"/>
      <c r="U78" s="28"/>
      <c r="V78" s="548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41"/>
      <c r="P79" s="542"/>
      <c r="Q79" s="542"/>
      <c r="R79" s="542"/>
      <c r="S79" s="542"/>
      <c r="T79" s="542"/>
      <c r="U79" s="28"/>
      <c r="V79" s="548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41"/>
      <c r="P80" s="542"/>
      <c r="Q80" s="542"/>
      <c r="R80" s="542"/>
      <c r="S80" s="542"/>
      <c r="T80" s="542"/>
      <c r="U80" s="28"/>
      <c r="V80" s="548"/>
    </row>
    <row r="81" spans="1:22" x14ac:dyDescent="0.2">
      <c r="A81" s="261"/>
      <c r="C81" s="131"/>
      <c r="E81" s="131"/>
      <c r="G81" s="131"/>
      <c r="I81" s="131"/>
      <c r="K81" s="131"/>
      <c r="M81" s="131"/>
      <c r="O81" s="541"/>
      <c r="P81" s="542"/>
      <c r="Q81" s="542"/>
      <c r="R81" s="542"/>
      <c r="S81" s="542"/>
      <c r="T81" s="542"/>
      <c r="U81" s="28"/>
      <c r="V81" s="548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41"/>
      <c r="P82" s="542"/>
      <c r="Q82" s="542"/>
      <c r="R82" s="542"/>
      <c r="S82" s="542"/>
      <c r="T82" s="542"/>
      <c r="U82" s="28"/>
      <c r="V82" s="548"/>
    </row>
    <row r="83" spans="1:22" x14ac:dyDescent="0.2">
      <c r="A83" s="261"/>
      <c r="C83" s="131"/>
      <c r="E83" s="131"/>
      <c r="H83" s="549"/>
      <c r="I83" s="549"/>
      <c r="J83" s="549"/>
      <c r="K83" s="549"/>
      <c r="L83" s="549"/>
      <c r="M83" s="549"/>
      <c r="N83" s="131"/>
      <c r="O83" s="541"/>
      <c r="P83" s="542"/>
      <c r="Q83" s="542"/>
      <c r="R83" s="542"/>
      <c r="S83" s="542"/>
      <c r="T83" s="542"/>
      <c r="V83" s="548"/>
    </row>
    <row r="84" spans="1:22" x14ac:dyDescent="0.2">
      <c r="A84" s="261"/>
      <c r="O84" s="541"/>
      <c r="P84" s="542"/>
      <c r="Q84" s="542"/>
      <c r="R84" s="542"/>
      <c r="S84" s="542"/>
      <c r="T84" s="542"/>
      <c r="V84" s="548"/>
    </row>
    <row r="85" spans="1:22" x14ac:dyDescent="0.2">
      <c r="A85" s="261"/>
      <c r="O85" s="541"/>
      <c r="P85" s="542"/>
      <c r="Q85" s="542"/>
      <c r="R85" s="542"/>
      <c r="S85" s="542"/>
      <c r="T85" s="542"/>
      <c r="V85" s="548"/>
    </row>
    <row r="86" spans="1:22" x14ac:dyDescent="0.2">
      <c r="A86" s="261"/>
      <c r="O86" s="541"/>
      <c r="P86" s="542"/>
      <c r="Q86" s="542"/>
      <c r="R86" s="542"/>
      <c r="S86" s="542"/>
      <c r="T86" s="542"/>
      <c r="V86" s="548"/>
    </row>
    <row r="87" spans="1:22" x14ac:dyDescent="0.2">
      <c r="A87" s="261"/>
      <c r="O87" s="541"/>
      <c r="P87" s="542"/>
      <c r="Q87" s="542"/>
      <c r="R87" s="542"/>
      <c r="S87" s="542"/>
      <c r="T87" s="542"/>
      <c r="V87" s="548"/>
    </row>
    <row r="88" spans="1:22" x14ac:dyDescent="0.2">
      <c r="A88" s="261"/>
      <c r="O88" s="541"/>
      <c r="P88" s="542"/>
      <c r="Q88" s="542"/>
      <c r="R88" s="542"/>
      <c r="S88" s="542"/>
      <c r="T88" s="542"/>
      <c r="V88" s="548"/>
    </row>
    <row r="89" spans="1:22" x14ac:dyDescent="0.2">
      <c r="A89" s="261"/>
      <c r="O89" s="541"/>
      <c r="P89" s="542"/>
      <c r="Q89" s="542"/>
      <c r="R89" s="542"/>
      <c r="S89" s="542"/>
      <c r="T89" s="542"/>
      <c r="V89" s="548"/>
    </row>
    <row r="90" spans="1:22" x14ac:dyDescent="0.2">
      <c r="B90" s="463"/>
      <c r="D90" s="463"/>
      <c r="F90" s="463"/>
      <c r="H90" s="463"/>
      <c r="J90" s="463"/>
      <c r="L90" s="463"/>
      <c r="O90" s="541"/>
      <c r="P90" s="542"/>
      <c r="Q90" s="542"/>
      <c r="R90" s="542"/>
      <c r="S90" s="542"/>
      <c r="T90" s="542"/>
      <c r="V90" s="548"/>
    </row>
    <row r="91" spans="1:22" x14ac:dyDescent="0.2">
      <c r="A91" s="550"/>
      <c r="B91" s="533"/>
      <c r="C91" s="533"/>
      <c r="D91" s="533"/>
      <c r="E91" s="533"/>
      <c r="F91" s="533"/>
      <c r="G91" s="533"/>
      <c r="H91" s="533"/>
      <c r="I91" s="533"/>
      <c r="J91" s="533"/>
      <c r="K91" s="533"/>
      <c r="L91" s="533"/>
      <c r="M91" s="533"/>
      <c r="N91" s="533"/>
      <c r="O91" s="541"/>
      <c r="P91" s="542"/>
      <c r="Q91" s="542"/>
      <c r="R91" s="542"/>
      <c r="S91" s="542"/>
      <c r="T91" s="542"/>
      <c r="V91" s="548"/>
    </row>
    <row r="92" spans="1:22" x14ac:dyDescent="0.2">
      <c r="A92" s="535"/>
      <c r="B92" s="464"/>
      <c r="C92" s="464"/>
      <c r="D92" s="464"/>
      <c r="E92" s="464"/>
      <c r="F92" s="464"/>
      <c r="G92" s="464"/>
      <c r="H92" s="464"/>
      <c r="I92" s="464"/>
      <c r="J92" s="464"/>
      <c r="K92" s="464"/>
      <c r="L92" s="464"/>
      <c r="M92" s="464"/>
      <c r="N92" s="464"/>
      <c r="O92" s="541"/>
      <c r="P92" s="549"/>
      <c r="Q92" s="549"/>
      <c r="R92" s="549"/>
      <c r="S92" s="549"/>
      <c r="T92" s="549"/>
      <c r="V92" s="536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49"/>
      <c r="I127" s="549"/>
      <c r="J127" s="549"/>
      <c r="K127" s="549"/>
      <c r="L127" s="549"/>
      <c r="M127" s="549"/>
      <c r="N127" s="131"/>
    </row>
    <row r="128" spans="1:14" x14ac:dyDescent="0.2">
      <c r="A128" s="261"/>
    </row>
    <row r="129" spans="1:14" x14ac:dyDescent="0.2">
      <c r="B129" s="463"/>
      <c r="D129" s="463"/>
      <c r="F129" s="463"/>
      <c r="H129" s="463"/>
      <c r="J129" s="463"/>
      <c r="L129" s="463"/>
    </row>
    <row r="130" spans="1:14" x14ac:dyDescent="0.2">
      <c r="B130" s="532"/>
      <c r="C130" s="533"/>
      <c r="D130" s="533"/>
      <c r="E130" s="533"/>
      <c r="F130" s="533"/>
      <c r="G130" s="533"/>
      <c r="H130" s="533"/>
      <c r="I130" s="533"/>
      <c r="J130" s="533"/>
      <c r="K130" s="533"/>
      <c r="L130" s="533"/>
      <c r="M130" s="533"/>
      <c r="N130" s="533"/>
    </row>
    <row r="131" spans="1:14" x14ac:dyDescent="0.2">
      <c r="A131" s="535"/>
      <c r="B131" s="464"/>
      <c r="C131" s="464"/>
      <c r="D131" s="464"/>
      <c r="E131" s="464"/>
      <c r="F131" s="464"/>
      <c r="G131" s="464"/>
      <c r="H131" s="464"/>
      <c r="I131" s="464"/>
      <c r="J131" s="464"/>
      <c r="K131" s="464"/>
      <c r="L131" s="464"/>
      <c r="M131" s="464"/>
      <c r="N131" s="464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51"/>
      <c r="K166" s="551"/>
      <c r="M166" s="551"/>
      <c r="N166" s="51"/>
    </row>
    <row r="167" spans="1:14" x14ac:dyDescent="0.2">
      <c r="N167" s="51"/>
    </row>
    <row r="171" spans="1:14" x14ac:dyDescent="0.2">
      <c r="B171" s="463"/>
      <c r="D171" s="463"/>
      <c r="F171" s="463"/>
      <c r="H171" s="463"/>
      <c r="J171" s="463"/>
      <c r="L171" s="463"/>
    </row>
    <row r="172" spans="1:14" x14ac:dyDescent="0.2">
      <c r="B172" s="532"/>
      <c r="C172" s="533"/>
      <c r="D172" s="533"/>
      <c r="E172" s="533"/>
      <c r="F172" s="533"/>
      <c r="G172" s="533"/>
      <c r="H172" s="533"/>
      <c r="I172" s="533"/>
      <c r="J172" s="533"/>
      <c r="K172" s="533"/>
      <c r="L172" s="533"/>
      <c r="M172" s="533"/>
    </row>
    <row r="173" spans="1:14" x14ac:dyDescent="0.2">
      <c r="A173" s="535"/>
      <c r="B173" s="464"/>
      <c r="C173" s="464"/>
      <c r="D173" s="464"/>
      <c r="E173" s="464"/>
      <c r="F173" s="464"/>
      <c r="G173" s="464"/>
      <c r="H173" s="464"/>
      <c r="I173" s="464"/>
      <c r="J173" s="464"/>
      <c r="K173" s="464"/>
      <c r="L173" s="464"/>
      <c r="M173" s="464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51"/>
      <c r="K208" s="551"/>
      <c r="M208" s="551"/>
    </row>
    <row r="214" spans="1:13" x14ac:dyDescent="0.2">
      <c r="B214" s="463"/>
      <c r="D214" s="463"/>
      <c r="F214" s="463"/>
      <c r="H214" s="463"/>
      <c r="J214" s="463"/>
      <c r="L214" s="463"/>
    </row>
    <row r="215" spans="1:13" x14ac:dyDescent="0.2">
      <c r="B215" s="532"/>
      <c r="C215" s="533"/>
      <c r="D215" s="533"/>
      <c r="E215" s="533"/>
      <c r="F215" s="533"/>
      <c r="G215" s="533"/>
      <c r="H215" s="533"/>
      <c r="I215" s="533"/>
      <c r="J215" s="533"/>
      <c r="K215" s="533"/>
      <c r="L215" s="533"/>
      <c r="M215" s="533"/>
    </row>
    <row r="216" spans="1:13" x14ac:dyDescent="0.2">
      <c r="A216" s="535"/>
      <c r="B216" s="464"/>
      <c r="C216" s="464"/>
      <c r="D216" s="464"/>
      <c r="E216" s="464"/>
      <c r="F216" s="464"/>
      <c r="G216" s="464"/>
      <c r="H216" s="464"/>
      <c r="I216" s="464"/>
      <c r="J216" s="464"/>
      <c r="K216" s="464"/>
      <c r="L216" s="464"/>
      <c r="M216" s="464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51"/>
      <c r="K251" s="551"/>
      <c r="M251" s="551"/>
    </row>
    <row r="256" spans="1:21" x14ac:dyDescent="0.2">
      <c r="B256" s="463"/>
      <c r="D256" s="463"/>
      <c r="F256" s="463"/>
      <c r="H256" s="463"/>
      <c r="J256" s="463"/>
      <c r="L256" s="463"/>
      <c r="O256" s="463"/>
      <c r="Q256" s="463"/>
      <c r="S256" s="463"/>
      <c r="U256" s="463"/>
    </row>
    <row r="257" spans="1:23" x14ac:dyDescent="0.2">
      <c r="B257" s="532"/>
      <c r="C257" s="533"/>
      <c r="D257" s="533"/>
      <c r="E257" s="533"/>
      <c r="F257" s="533"/>
      <c r="G257" s="533"/>
      <c r="H257" s="533"/>
      <c r="I257" s="533"/>
      <c r="J257" s="533"/>
      <c r="K257" s="533"/>
      <c r="L257" s="533"/>
      <c r="M257" s="533"/>
      <c r="O257" s="532"/>
      <c r="P257" s="533"/>
      <c r="Q257" s="533"/>
      <c r="R257" s="533"/>
      <c r="S257" s="533"/>
      <c r="T257" s="533"/>
      <c r="U257" s="533"/>
      <c r="V257" s="533"/>
      <c r="W257" s="533"/>
    </row>
    <row r="258" spans="1:23" x14ac:dyDescent="0.2">
      <c r="A258" s="535"/>
      <c r="B258" s="464"/>
      <c r="C258" s="464"/>
      <c r="D258" s="464"/>
      <c r="E258" s="464"/>
      <c r="F258" s="464"/>
      <c r="G258" s="464"/>
      <c r="H258" s="464"/>
      <c r="I258" s="464"/>
      <c r="J258" s="464"/>
      <c r="K258" s="464"/>
      <c r="L258" s="464"/>
      <c r="M258" s="464"/>
      <c r="N258" s="535"/>
      <c r="O258" s="464"/>
      <c r="P258" s="464"/>
      <c r="Q258" s="464"/>
      <c r="R258" s="464"/>
      <c r="S258" s="464"/>
      <c r="T258" s="464"/>
      <c r="U258" s="464"/>
      <c r="V258" s="464"/>
      <c r="W258" s="464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51"/>
      <c r="K293" s="551"/>
      <c r="M293" s="551"/>
      <c r="V293" s="551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3"/>
      <c r="Q297" s="463"/>
      <c r="S297" s="463"/>
      <c r="U297" s="463"/>
    </row>
    <row r="298" spans="1:23" x14ac:dyDescent="0.2">
      <c r="O298" s="532"/>
      <c r="P298" s="533"/>
      <c r="Q298" s="533"/>
      <c r="R298" s="533"/>
      <c r="S298" s="533"/>
      <c r="T298" s="533"/>
      <c r="U298" s="533"/>
      <c r="V298" s="533"/>
      <c r="W298" s="533"/>
    </row>
    <row r="299" spans="1:23" x14ac:dyDescent="0.2">
      <c r="N299" s="535"/>
      <c r="O299" s="464"/>
      <c r="P299" s="464"/>
      <c r="Q299" s="464"/>
      <c r="R299" s="464"/>
      <c r="S299" s="464"/>
      <c r="T299" s="464"/>
      <c r="U299" s="464"/>
      <c r="V299" s="464"/>
      <c r="W299" s="464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52"/>
      <c r="W336" s="51"/>
    </row>
    <row r="339" spans="14:23" x14ac:dyDescent="0.2">
      <c r="O339" s="463"/>
      <c r="Q339" s="463"/>
      <c r="S339" s="463"/>
      <c r="U339" s="463"/>
    </row>
    <row r="340" spans="14:23" x14ac:dyDescent="0.2">
      <c r="O340" s="532"/>
      <c r="P340" s="533"/>
      <c r="Q340" s="533"/>
      <c r="R340" s="533"/>
      <c r="S340" s="533"/>
      <c r="T340" s="533"/>
      <c r="U340" s="533"/>
      <c r="V340" s="533"/>
      <c r="W340" s="533"/>
    </row>
    <row r="341" spans="14:23" x14ac:dyDescent="0.2">
      <c r="N341" s="535"/>
      <c r="O341" s="464"/>
      <c r="P341" s="464"/>
      <c r="Q341" s="464"/>
      <c r="R341" s="464"/>
      <c r="S341" s="464"/>
      <c r="T341" s="464"/>
      <c r="U341" s="464"/>
      <c r="V341" s="464"/>
      <c r="W341" s="464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31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52"/>
      <c r="W378" s="553"/>
    </row>
    <row r="381" spans="14:23" x14ac:dyDescent="0.2">
      <c r="O381" s="463"/>
      <c r="Q381" s="463"/>
      <c r="S381" s="463"/>
      <c r="U381" s="463"/>
    </row>
    <row r="382" spans="14:23" x14ac:dyDescent="0.2">
      <c r="O382" s="532"/>
      <c r="P382" s="533"/>
      <c r="Q382" s="533"/>
      <c r="R382" s="533"/>
      <c r="S382" s="533"/>
      <c r="T382" s="533"/>
      <c r="U382" s="533"/>
      <c r="V382" s="533"/>
      <c r="W382" s="533"/>
    </row>
    <row r="383" spans="14:23" x14ac:dyDescent="0.2">
      <c r="N383" s="535"/>
      <c r="O383" s="464"/>
      <c r="P383" s="464"/>
      <c r="Q383" s="464"/>
      <c r="R383" s="464"/>
      <c r="S383" s="464"/>
      <c r="T383" s="464"/>
      <c r="U383" s="464"/>
      <c r="V383" s="464"/>
      <c r="W383" s="464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31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52"/>
      <c r="W420" s="553"/>
    </row>
    <row r="425" spans="14:23" x14ac:dyDescent="0.2">
      <c r="O425" s="463"/>
      <c r="Q425" s="463"/>
      <c r="S425" s="463"/>
      <c r="U425" s="463"/>
    </row>
    <row r="426" spans="14:23" x14ac:dyDescent="0.2">
      <c r="O426" s="532"/>
      <c r="P426" s="533"/>
      <c r="Q426" s="533"/>
      <c r="R426" s="533"/>
      <c r="S426" s="533"/>
      <c r="T426" s="533"/>
      <c r="U426" s="533"/>
      <c r="V426" s="533"/>
      <c r="W426" s="533"/>
    </row>
    <row r="427" spans="14:23" x14ac:dyDescent="0.2">
      <c r="N427" s="535"/>
      <c r="O427" s="464"/>
      <c r="P427" s="464"/>
      <c r="Q427" s="464"/>
      <c r="R427" s="464"/>
      <c r="S427" s="464"/>
      <c r="T427" s="464"/>
      <c r="U427" s="464"/>
      <c r="V427" s="464"/>
      <c r="W427" s="464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31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52"/>
      <c r="W464" s="51"/>
    </row>
    <row r="467" spans="14:33" x14ac:dyDescent="0.2">
      <c r="O467" s="463"/>
      <c r="Q467" s="463"/>
      <c r="S467" s="463"/>
      <c r="U467" s="463"/>
      <c r="Y467" s="463"/>
      <c r="AA467" s="463"/>
      <c r="AC467" s="463"/>
      <c r="AE467" s="463"/>
    </row>
    <row r="468" spans="14:33" x14ac:dyDescent="0.2">
      <c r="O468" s="532"/>
      <c r="P468" s="533"/>
      <c r="Q468" s="533"/>
      <c r="R468" s="533"/>
      <c r="S468" s="533"/>
      <c r="T468" s="533"/>
      <c r="U468" s="533"/>
      <c r="V468" s="533"/>
      <c r="W468" s="533"/>
      <c r="Y468" s="532"/>
      <c r="Z468" s="533"/>
      <c r="AA468" s="533"/>
      <c r="AB468" s="533"/>
      <c r="AC468" s="533"/>
      <c r="AD468" s="533"/>
      <c r="AE468" s="533"/>
      <c r="AF468" s="533"/>
      <c r="AG468" s="533"/>
    </row>
    <row r="469" spans="14:33" x14ac:dyDescent="0.2">
      <c r="N469" s="535"/>
      <c r="O469" s="464"/>
      <c r="P469" s="464"/>
      <c r="Q469" s="464"/>
      <c r="R469" s="464"/>
      <c r="S469" s="464"/>
      <c r="T469" s="464"/>
      <c r="U469" s="464"/>
      <c r="V469" s="464"/>
      <c r="W469" s="464"/>
      <c r="X469" s="535"/>
      <c r="Y469" s="464"/>
      <c r="Z469" s="464"/>
      <c r="AA469" s="464"/>
      <c r="AB469" s="464"/>
      <c r="AC469" s="464"/>
      <c r="AD469" s="464"/>
      <c r="AE469" s="464"/>
      <c r="AF469" s="464"/>
      <c r="AG469" s="464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31"/>
      <c r="P504" s="131"/>
      <c r="R504" s="131"/>
      <c r="T504" s="131"/>
      <c r="V504" s="131"/>
      <c r="W504" s="51"/>
      <c r="X504" s="531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52"/>
      <c r="W506" s="51"/>
      <c r="X506" s="552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workbookViewId="0">
      <selection activeCell="C10" sqref="C10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128480</v>
      </c>
      <c r="C7" s="11">
        <v>128394</v>
      </c>
      <c r="D7" s="25">
        <f>+C7-B7</f>
        <v>-86</v>
      </c>
    </row>
    <row r="8" spans="1:4" x14ac:dyDescent="0.2">
      <c r="A8" s="10">
        <v>2</v>
      </c>
      <c r="B8" s="11">
        <v>149328</v>
      </c>
      <c r="C8" s="11">
        <v>149088</v>
      </c>
      <c r="D8" s="25">
        <f>+C8-B8</f>
        <v>-240</v>
      </c>
    </row>
    <row r="9" spans="1:4" x14ac:dyDescent="0.2">
      <c r="A9" s="10">
        <v>3</v>
      </c>
      <c r="B9" s="11">
        <v>142965</v>
      </c>
      <c r="C9" s="11">
        <v>142375</v>
      </c>
      <c r="D9" s="25">
        <f t="shared" ref="D9:D37" si="0">+C9-B9</f>
        <v>-590</v>
      </c>
    </row>
    <row r="10" spans="1:4" x14ac:dyDescent="0.2">
      <c r="A10" s="10">
        <v>4</v>
      </c>
      <c r="B10" s="11"/>
      <c r="C10" s="11"/>
      <c r="D10" s="25">
        <f t="shared" si="0"/>
        <v>0</v>
      </c>
    </row>
    <row r="11" spans="1:4" x14ac:dyDescent="0.2">
      <c r="A11" s="10">
        <v>5</v>
      </c>
      <c r="B11" s="129"/>
      <c r="C11" s="11"/>
      <c r="D11" s="25">
        <f t="shared" si="0"/>
        <v>0</v>
      </c>
    </row>
    <row r="12" spans="1:4" x14ac:dyDescent="0.2">
      <c r="A12" s="10">
        <v>6</v>
      </c>
      <c r="B12" s="11"/>
      <c r="C12" s="11"/>
      <c r="D12" s="25">
        <f t="shared" si="0"/>
        <v>0</v>
      </c>
    </row>
    <row r="13" spans="1:4" x14ac:dyDescent="0.2">
      <c r="A13" s="10">
        <v>7</v>
      </c>
      <c r="B13" s="129"/>
      <c r="C13" s="11"/>
      <c r="D13" s="25">
        <f t="shared" si="0"/>
        <v>0</v>
      </c>
    </row>
    <row r="14" spans="1:4" x14ac:dyDescent="0.2">
      <c r="A14" s="10">
        <v>8</v>
      </c>
      <c r="B14" s="11"/>
      <c r="C14" s="11"/>
      <c r="D14" s="25">
        <f t="shared" si="0"/>
        <v>0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29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420773</v>
      </c>
      <c r="C38" s="11">
        <f>SUM(C7:C37)</f>
        <v>419857</v>
      </c>
      <c r="D38" s="11">
        <f>SUM(D7:D37)</f>
        <v>-916</v>
      </c>
    </row>
    <row r="39" spans="1:8" x14ac:dyDescent="0.2">
      <c r="A39" s="26"/>
      <c r="C39" s="14"/>
      <c r="D39" s="106">
        <f>+summary!G3</f>
        <v>2.06</v>
      </c>
    </row>
    <row r="40" spans="1:8" x14ac:dyDescent="0.2">
      <c r="D40" s="138">
        <f>+D39*D38</f>
        <v>-1886.96</v>
      </c>
      <c r="H40">
        <v>20</v>
      </c>
    </row>
    <row r="41" spans="1:8" x14ac:dyDescent="0.2">
      <c r="A41" s="57">
        <v>37287</v>
      </c>
      <c r="C41" s="15"/>
      <c r="D41" s="524">
        <v>-13712</v>
      </c>
      <c r="H41">
        <v>530</v>
      </c>
    </row>
    <row r="42" spans="1:8" x14ac:dyDescent="0.2">
      <c r="A42" s="57">
        <v>37290</v>
      </c>
      <c r="D42" s="319">
        <f>+D41+D40</f>
        <v>-15598.96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149</v>
      </c>
      <c r="B46" s="32"/>
      <c r="C46" s="32"/>
      <c r="D46" s="32"/>
    </row>
    <row r="47" spans="1:8" x14ac:dyDescent="0.2">
      <c r="A47" s="49">
        <f>+A41</f>
        <v>37287</v>
      </c>
      <c r="B47" s="32"/>
      <c r="C47" s="32"/>
      <c r="D47" s="516">
        <v>-9206</v>
      </c>
    </row>
    <row r="48" spans="1:8" x14ac:dyDescent="0.2">
      <c r="A48" s="49">
        <f>+A42</f>
        <v>37290</v>
      </c>
      <c r="B48" s="32"/>
      <c r="C48" s="32"/>
      <c r="D48" s="349">
        <f>+D38</f>
        <v>-916</v>
      </c>
    </row>
    <row r="49" spans="1:4" x14ac:dyDescent="0.2">
      <c r="A49" s="32"/>
      <c r="B49" s="32"/>
      <c r="C49" s="32"/>
      <c r="D49" s="14">
        <f>+D48+D47</f>
        <v>-10122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31" workbookViewId="0">
      <selection activeCell="D45" sqref="D45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-246404</v>
      </c>
      <c r="C4" s="11">
        <v>-244010</v>
      </c>
      <c r="D4" s="25">
        <f>+C4-B4</f>
        <v>2394</v>
      </c>
    </row>
    <row r="5" spans="1:4" x14ac:dyDescent="0.2">
      <c r="A5" s="10">
        <v>2</v>
      </c>
      <c r="B5" s="129">
        <v>-244917</v>
      </c>
      <c r="C5" s="11">
        <v>-244299</v>
      </c>
      <c r="D5" s="25">
        <f t="shared" ref="D5:D34" si="0">+C5-B5</f>
        <v>618</v>
      </c>
    </row>
    <row r="6" spans="1:4" x14ac:dyDescent="0.2">
      <c r="A6" s="10">
        <v>3</v>
      </c>
      <c r="B6" s="129">
        <v>-242647</v>
      </c>
      <c r="C6" s="11">
        <v>-242291</v>
      </c>
      <c r="D6" s="25">
        <f t="shared" si="0"/>
        <v>356</v>
      </c>
    </row>
    <row r="7" spans="1:4" x14ac:dyDescent="0.2">
      <c r="A7" s="10">
        <v>4</v>
      </c>
      <c r="B7" s="129">
        <v>-244008</v>
      </c>
      <c r="C7" s="11">
        <v>-243254</v>
      </c>
      <c r="D7" s="25">
        <f t="shared" si="0"/>
        <v>754</v>
      </c>
    </row>
    <row r="8" spans="1:4" x14ac:dyDescent="0.2">
      <c r="A8" s="10">
        <v>5</v>
      </c>
      <c r="B8" s="129">
        <v>-246342</v>
      </c>
      <c r="C8" s="11">
        <v>-243974</v>
      </c>
      <c r="D8" s="25">
        <f t="shared" si="0"/>
        <v>2368</v>
      </c>
    </row>
    <row r="9" spans="1:4" x14ac:dyDescent="0.2">
      <c r="A9" s="10">
        <v>6</v>
      </c>
      <c r="B9" s="129">
        <v>-251402</v>
      </c>
      <c r="C9" s="11">
        <v>-250987</v>
      </c>
      <c r="D9" s="25">
        <f t="shared" si="0"/>
        <v>415</v>
      </c>
    </row>
    <row r="10" spans="1:4" x14ac:dyDescent="0.2">
      <c r="A10" s="10">
        <v>7</v>
      </c>
      <c r="B10" s="129">
        <v>-248856</v>
      </c>
      <c r="C10" s="11">
        <v>-248311</v>
      </c>
      <c r="D10" s="25">
        <f t="shared" si="0"/>
        <v>545</v>
      </c>
    </row>
    <row r="11" spans="1:4" x14ac:dyDescent="0.2">
      <c r="A11" s="10">
        <v>8</v>
      </c>
      <c r="B11" s="11">
        <v>-264991</v>
      </c>
      <c r="C11" s="11">
        <v>-264300</v>
      </c>
      <c r="D11" s="25">
        <f t="shared" si="0"/>
        <v>691</v>
      </c>
    </row>
    <row r="12" spans="1:4" x14ac:dyDescent="0.2">
      <c r="A12" s="10">
        <v>9</v>
      </c>
      <c r="B12" s="11">
        <v>-253917</v>
      </c>
      <c r="C12" s="11">
        <v>-251967</v>
      </c>
      <c r="D12" s="25">
        <f t="shared" si="0"/>
        <v>1950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-2243484</v>
      </c>
      <c r="C35" s="11">
        <f>SUM(C4:C34)</f>
        <v>-2233393</v>
      </c>
      <c r="D35" s="11">
        <f>SUM(D4:D34)</f>
        <v>10091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37287</v>
      </c>
      <c r="D38" s="587">
        <v>28722</v>
      </c>
    </row>
    <row r="39" spans="1:30" x14ac:dyDescent="0.2">
      <c r="A39" s="12"/>
      <c r="D39" s="51"/>
    </row>
    <row r="40" spans="1:30" x14ac:dyDescent="0.2">
      <c r="A40" s="245">
        <v>37296</v>
      </c>
      <c r="D40" s="51">
        <f>+D38+D35</f>
        <v>38813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150</v>
      </c>
      <c r="B44" s="32"/>
      <c r="C44" s="32"/>
      <c r="D44" s="471"/>
      <c r="K44"/>
    </row>
    <row r="45" spans="1:30" x14ac:dyDescent="0.2">
      <c r="A45" s="49">
        <f>+A38</f>
        <v>37287</v>
      </c>
      <c r="B45" s="32"/>
      <c r="C45" s="32"/>
      <c r="D45" s="586">
        <v>-143669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37296</v>
      </c>
      <c r="B46" s="32"/>
      <c r="C46" s="32"/>
      <c r="D46" s="374">
        <f>+D35*'by type_area'!G4</f>
        <v>20686.55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-122982.45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31" workbookViewId="0">
      <selection activeCell="C34" sqref="C34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-612464</v>
      </c>
      <c r="C4" s="11">
        <v>-611587</v>
      </c>
      <c r="D4" s="11"/>
      <c r="E4" s="11"/>
      <c r="F4" s="25">
        <f>+E4+C4-D4-B4</f>
        <v>877</v>
      </c>
      <c r="H4" s="10"/>
      <c r="I4" s="11"/>
    </row>
    <row r="5" spans="1:11" x14ac:dyDescent="0.2">
      <c r="A5" s="10">
        <v>2</v>
      </c>
      <c r="B5" s="11">
        <v>-602028</v>
      </c>
      <c r="C5" s="11">
        <v>-603119</v>
      </c>
      <c r="D5" s="11"/>
      <c r="E5" s="11"/>
      <c r="F5" s="25">
        <f t="shared" ref="F5:F34" si="0">+C5-B5+E5-D5</f>
        <v>-1091</v>
      </c>
      <c r="H5" s="10"/>
      <c r="I5" s="11"/>
    </row>
    <row r="6" spans="1:11" x14ac:dyDescent="0.2">
      <c r="A6" s="10">
        <v>3</v>
      </c>
      <c r="B6" s="11">
        <v>-605205</v>
      </c>
      <c r="C6" s="11">
        <v>-615801</v>
      </c>
      <c r="D6" s="11"/>
      <c r="E6" s="11"/>
      <c r="F6" s="25">
        <f t="shared" si="0"/>
        <v>-10596</v>
      </c>
      <c r="H6" s="10"/>
      <c r="I6" s="11"/>
    </row>
    <row r="7" spans="1:11" x14ac:dyDescent="0.2">
      <c r="A7" s="10">
        <v>4</v>
      </c>
      <c r="B7" s="11">
        <v>-600868</v>
      </c>
      <c r="C7" s="11">
        <v>-601843</v>
      </c>
      <c r="D7" s="11"/>
      <c r="E7" s="11"/>
      <c r="F7" s="25">
        <f t="shared" si="0"/>
        <v>-975</v>
      </c>
      <c r="H7" s="10"/>
      <c r="I7" s="11"/>
      <c r="K7" s="25"/>
    </row>
    <row r="8" spans="1:11" x14ac:dyDescent="0.2">
      <c r="A8" s="10">
        <v>5</v>
      </c>
      <c r="B8" s="129">
        <v>-593916</v>
      </c>
      <c r="C8" s="11">
        <v>-602338</v>
      </c>
      <c r="D8" s="11"/>
      <c r="E8" s="11"/>
      <c r="F8" s="25">
        <f t="shared" si="0"/>
        <v>-8422</v>
      </c>
      <c r="H8" s="10"/>
      <c r="I8" s="11"/>
    </row>
    <row r="9" spans="1:11" x14ac:dyDescent="0.2">
      <c r="A9" s="10">
        <v>6</v>
      </c>
      <c r="B9" s="11">
        <v>-575011</v>
      </c>
      <c r="C9" s="11">
        <v>-571740</v>
      </c>
      <c r="D9" s="11"/>
      <c r="E9" s="11"/>
      <c r="F9" s="25">
        <f t="shared" si="0"/>
        <v>3271</v>
      </c>
      <c r="H9" s="10"/>
      <c r="I9" s="11"/>
    </row>
    <row r="10" spans="1:11" x14ac:dyDescent="0.2">
      <c r="A10" s="10">
        <v>7</v>
      </c>
      <c r="B10" s="129">
        <v>-669282</v>
      </c>
      <c r="C10" s="11">
        <v>-667521</v>
      </c>
      <c r="D10" s="129"/>
      <c r="E10" s="11"/>
      <c r="F10" s="25">
        <f t="shared" si="0"/>
        <v>1761</v>
      </c>
      <c r="H10" s="10"/>
      <c r="I10" s="11"/>
    </row>
    <row r="11" spans="1:11" x14ac:dyDescent="0.2">
      <c r="A11" s="10">
        <v>8</v>
      </c>
      <c r="B11" s="11">
        <v>-671065</v>
      </c>
      <c r="C11" s="11">
        <v>-664800</v>
      </c>
      <c r="D11" s="11"/>
      <c r="E11" s="11"/>
      <c r="F11" s="25">
        <f t="shared" si="0"/>
        <v>6265</v>
      </c>
      <c r="H11" s="10"/>
      <c r="I11" s="11"/>
    </row>
    <row r="12" spans="1:11" x14ac:dyDescent="0.2">
      <c r="A12" s="10">
        <v>9</v>
      </c>
      <c r="B12" s="11">
        <v>-571431</v>
      </c>
      <c r="C12" s="11">
        <v>-572711</v>
      </c>
      <c r="D12" s="11"/>
      <c r="E12" s="11"/>
      <c r="F12" s="25">
        <f t="shared" si="0"/>
        <v>-1280</v>
      </c>
      <c r="H12" s="10"/>
      <c r="I12" s="11"/>
    </row>
    <row r="13" spans="1:11" x14ac:dyDescent="0.2">
      <c r="A13" s="10">
        <v>10</v>
      </c>
      <c r="B13" s="11">
        <v>-571738</v>
      </c>
      <c r="C13" s="11">
        <v>-572576</v>
      </c>
      <c r="D13" s="129"/>
      <c r="E13" s="11"/>
      <c r="F13" s="25">
        <f t="shared" si="0"/>
        <v>-838</v>
      </c>
      <c r="H13" s="10"/>
      <c r="I13" s="11"/>
    </row>
    <row r="14" spans="1:11" x14ac:dyDescent="0.2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-6073008</v>
      </c>
      <c r="C35" s="11">
        <f>SUM(C4:C34)</f>
        <v>-6084036</v>
      </c>
      <c r="D35" s="11">
        <f>SUM(D4:D34)</f>
        <v>0</v>
      </c>
      <c r="E35" s="11">
        <f>SUM(E4:E34)</f>
        <v>0</v>
      </c>
      <c r="F35" s="11">
        <f>SUM(F4:F34)</f>
        <v>-11028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37287</v>
      </c>
      <c r="D38" s="246"/>
      <c r="E38" s="246"/>
      <c r="F38" s="588">
        <v>94012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37297</v>
      </c>
      <c r="D40" s="246"/>
      <c r="E40" s="246"/>
      <c r="F40" s="51">
        <f>+F38+F35</f>
        <v>82984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150</v>
      </c>
      <c r="B44" s="32"/>
      <c r="C44" s="32"/>
      <c r="D44" s="471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37287</v>
      </c>
      <c r="B45" s="32"/>
      <c r="C45" s="32"/>
      <c r="D45" s="586">
        <v>310268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37297</v>
      </c>
      <c r="B46" s="32"/>
      <c r="C46" s="32"/>
      <c r="D46" s="472">
        <f>+F35*'by type_area'!G4</f>
        <v>-22607.399999999998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70">
        <f>+D46+D45</f>
        <v>287660.59999999998</v>
      </c>
      <c r="E47" s="246"/>
      <c r="F47" s="473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22" workbookViewId="0">
      <selection activeCell="E40" sqref="E40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28515625" style="32" bestFit="1" customWidth="1"/>
    <col min="20" max="20" width="10.7109375" style="32" bestFit="1" customWidth="1"/>
    <col min="21" max="16384" width="9.14062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2" t="s">
        <v>49</v>
      </c>
    </row>
    <row r="3" spans="1:19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13" t="s">
        <v>49</v>
      </c>
      <c r="Q3" s="514" t="s">
        <v>15</v>
      </c>
      <c r="R3" s="515" t="s">
        <v>27</v>
      </c>
    </row>
    <row r="4" spans="1:19" ht="18" customHeight="1" x14ac:dyDescent="0.2">
      <c r="A4" s="41">
        <v>1</v>
      </c>
      <c r="B4" s="11">
        <v>-39508</v>
      </c>
      <c r="C4" s="11">
        <v>217</v>
      </c>
      <c r="D4" s="11"/>
      <c r="E4" s="11">
        <v>-39867</v>
      </c>
      <c r="F4" s="11"/>
      <c r="G4" s="11"/>
      <c r="H4" s="11">
        <f>+G4+E4+C4-F4-D4-B4</f>
        <v>-142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-28824</v>
      </c>
      <c r="C5" s="11">
        <v>217</v>
      </c>
      <c r="D5" s="129"/>
      <c r="E5" s="11">
        <v>-29867</v>
      </c>
      <c r="F5" s="11"/>
      <c r="G5" s="11"/>
      <c r="H5" s="11">
        <f t="shared" ref="H5:H34" si="0">+G5+E5+C5-F5-D5-B5</f>
        <v>-826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9" ht="18" customHeight="1" x14ac:dyDescent="0.2">
      <c r="A6" s="41">
        <v>3</v>
      </c>
      <c r="B6" s="11">
        <v>-29526</v>
      </c>
      <c r="C6" s="11">
        <v>217</v>
      </c>
      <c r="D6" s="11"/>
      <c r="E6" s="11">
        <v>-29867</v>
      </c>
      <c r="F6" s="11"/>
      <c r="G6" s="11"/>
      <c r="H6" s="11">
        <f t="shared" si="0"/>
        <v>-124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-30161</v>
      </c>
      <c r="C7" s="11">
        <v>217</v>
      </c>
      <c r="D7" s="129"/>
      <c r="E7" s="11">
        <v>-15867</v>
      </c>
      <c r="F7" s="11"/>
      <c r="G7" s="11"/>
      <c r="H7" s="11">
        <f t="shared" si="0"/>
        <v>14511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-37240</v>
      </c>
      <c r="C8" s="11">
        <v>217</v>
      </c>
      <c r="D8" s="11"/>
      <c r="E8" s="11">
        <v>-50976</v>
      </c>
      <c r="F8" s="11"/>
      <c r="G8" s="11"/>
      <c r="H8" s="11">
        <f t="shared" si="0"/>
        <v>-13519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-28035</v>
      </c>
      <c r="C9" s="11">
        <v>-1757</v>
      </c>
      <c r="D9" s="11"/>
      <c r="E9" s="11">
        <v>-26019</v>
      </c>
      <c r="F9" s="11"/>
      <c r="G9" s="11"/>
      <c r="H9" s="11">
        <f t="shared" si="0"/>
        <v>259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>
        <v>-41922</v>
      </c>
      <c r="C10" s="11">
        <v>-5885</v>
      </c>
      <c r="D10" s="11"/>
      <c r="E10" s="11">
        <v>-34934</v>
      </c>
      <c r="F10" s="11"/>
      <c r="G10" s="11"/>
      <c r="H10" s="11">
        <f t="shared" si="0"/>
        <v>1103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>
        <v>-54425</v>
      </c>
      <c r="C11" s="11">
        <v>217</v>
      </c>
      <c r="D11" s="129"/>
      <c r="E11" s="11">
        <v>-54667</v>
      </c>
      <c r="F11" s="11"/>
      <c r="G11" s="11"/>
      <c r="H11" s="11">
        <f t="shared" si="0"/>
        <v>-25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>
        <v>-59844</v>
      </c>
      <c r="C12" s="11">
        <v>-9648</v>
      </c>
      <c r="D12" s="11"/>
      <c r="E12" s="11">
        <v>-49867</v>
      </c>
      <c r="F12" s="11"/>
      <c r="G12" s="11"/>
      <c r="H12" s="11">
        <f t="shared" si="0"/>
        <v>329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/>
      <c r="C17" s="11"/>
      <c r="D17" s="11"/>
      <c r="E17" s="11"/>
      <c r="F17" s="11"/>
      <c r="G17" s="11"/>
      <c r="H17" s="11">
        <f>+G17+E17+C17-F17-D17-B17</f>
        <v>0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/>
      <c r="C18" s="11"/>
      <c r="D18" s="11"/>
      <c r="E18" s="11"/>
      <c r="F18" s="11"/>
      <c r="G18" s="11"/>
      <c r="H18" s="11">
        <f>+G18+E18+C18-F18-D18-B18</f>
        <v>0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541367.22000000009</v>
      </c>
    </row>
    <row r="20" spans="1:18" ht="12.75" x14ac:dyDescent="0.2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504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04"/>
      <c r="L22" s="11"/>
      <c r="M22" s="11"/>
      <c r="N22" s="11"/>
      <c r="O22" s="2"/>
      <c r="R22" s="15">
        <f>+R21+R19</f>
        <v>-49647.129999999888</v>
      </c>
    </row>
    <row r="23" spans="1:18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04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04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04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04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04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04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04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04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04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04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04"/>
      <c r="L34" s="11"/>
      <c r="M34" s="11"/>
      <c r="N34" s="11"/>
    </row>
    <row r="35" spans="1:14" x14ac:dyDescent="0.2">
      <c r="A35" s="41"/>
      <c r="B35" s="11">
        <f t="shared" ref="B35:H35" si="3">SUM(B4:B34)</f>
        <v>-349485</v>
      </c>
      <c r="C35" s="44">
        <f t="shared" si="3"/>
        <v>-15988</v>
      </c>
      <c r="D35" s="11">
        <f t="shared" si="3"/>
        <v>0</v>
      </c>
      <c r="E35" s="44">
        <f t="shared" si="3"/>
        <v>-331931</v>
      </c>
      <c r="F35" s="11">
        <f t="shared" si="3"/>
        <v>0</v>
      </c>
      <c r="G35" s="11">
        <f t="shared" si="3"/>
        <v>0</v>
      </c>
      <c r="H35" s="11">
        <f t="shared" si="3"/>
        <v>1566</v>
      </c>
      <c r="I35" s="11"/>
      <c r="J35" s="102"/>
      <c r="K35" s="504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2.0499999999999998</v>
      </c>
      <c r="I36" s="11"/>
      <c r="J36" s="102"/>
      <c r="K36" s="504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3210.2999999999997</v>
      </c>
      <c r="I37" s="11"/>
      <c r="J37" s="102"/>
      <c r="K37" s="504"/>
      <c r="L37" s="11"/>
      <c r="M37" s="11"/>
      <c r="N37" s="11"/>
    </row>
    <row r="38" spans="1:14" x14ac:dyDescent="0.2">
      <c r="C38" s="24"/>
      <c r="D38" s="47"/>
      <c r="E38" s="474">
        <v>37287</v>
      </c>
      <c r="F38" s="471"/>
      <c r="G38" s="265"/>
      <c r="H38" s="491">
        <v>9867</v>
      </c>
      <c r="I38" s="262"/>
      <c r="J38" s="102"/>
      <c r="K38" s="505"/>
      <c r="L38" s="14"/>
      <c r="M38" s="14"/>
      <c r="N38" s="16"/>
    </row>
    <row r="39" spans="1:14" x14ac:dyDescent="0.2">
      <c r="C39" s="14"/>
      <c r="D39" s="47"/>
      <c r="E39" s="263">
        <v>37296</v>
      </c>
      <c r="F39" s="471"/>
      <c r="G39" s="471"/>
      <c r="H39" s="319">
        <f>+H38+H37</f>
        <v>13077.3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5"/>
      <c r="F40" s="263"/>
      <c r="G40" s="475"/>
      <c r="H40" s="111"/>
      <c r="I40" s="51"/>
      <c r="J40" s="102"/>
      <c r="K40" s="506"/>
      <c r="L40" s="47"/>
      <c r="M40" s="48"/>
      <c r="N40" s="46"/>
    </row>
    <row r="41" spans="1:14" x14ac:dyDescent="0.2">
      <c r="C41" s="14"/>
      <c r="D41" s="50"/>
      <c r="E41" s="475"/>
      <c r="F41" s="263"/>
      <c r="G41" s="475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7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7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37287</v>
      </c>
      <c r="E46" s="483">
        <v>32476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37296</v>
      </c>
      <c r="E47" s="457">
        <f>+H35</f>
        <v>1566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34042</v>
      </c>
      <c r="F48" s="129"/>
      <c r="G48" s="129"/>
      <c r="H48" s="129"/>
      <c r="I48" s="262"/>
      <c r="J48" s="102"/>
      <c r="K48" s="508"/>
      <c r="L48" s="38"/>
      <c r="M48" s="4"/>
    </row>
    <row r="49" spans="1:15" ht="12.75" x14ac:dyDescent="0.2">
      <c r="A49" s="101"/>
      <c r="B49" s="139"/>
      <c r="C49" s="119"/>
      <c r="D49" s="140"/>
      <c r="E49" s="476"/>
      <c r="F49" s="129"/>
      <c r="G49" s="129"/>
      <c r="H49" s="129"/>
      <c r="I49" s="477"/>
      <c r="J49" s="102"/>
      <c r="K49" s="509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04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504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504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504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04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04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04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04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04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04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04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04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04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04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04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04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04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04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04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04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04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04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04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04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04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04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04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04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04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04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04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04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06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7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7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08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09"/>
      <c r="L91" s="6"/>
      <c r="M91" s="6"/>
    </row>
    <row r="92" spans="1:14" x14ac:dyDescent="0.2">
      <c r="I92" s="11"/>
      <c r="J92" s="11"/>
      <c r="K92" s="504"/>
      <c r="L92" s="11"/>
      <c r="M92" s="11"/>
      <c r="N92" s="11"/>
    </row>
    <row r="93" spans="1:14" x14ac:dyDescent="0.2">
      <c r="G93" s="41"/>
      <c r="H93" s="11"/>
      <c r="I93" s="11"/>
      <c r="J93" s="11"/>
      <c r="K93" s="504"/>
      <c r="L93" s="11"/>
      <c r="M93" s="11"/>
      <c r="N93" s="11"/>
    </row>
    <row r="94" spans="1:14" x14ac:dyDescent="0.2">
      <c r="G94" s="41"/>
      <c r="H94" s="11"/>
      <c r="I94" s="11"/>
      <c r="J94" s="11"/>
      <c r="K94" s="504"/>
      <c r="L94" s="11"/>
      <c r="M94" s="11"/>
      <c r="N94" s="11"/>
    </row>
    <row r="95" spans="1:14" x14ac:dyDescent="0.2">
      <c r="G95" s="41"/>
      <c r="H95" s="11"/>
      <c r="I95" s="11"/>
      <c r="J95" s="11"/>
      <c r="K95" s="504"/>
      <c r="L95" s="11"/>
      <c r="M95" s="11"/>
      <c r="N95" s="11"/>
    </row>
    <row r="96" spans="1:14" x14ac:dyDescent="0.2">
      <c r="G96" s="41"/>
      <c r="H96" s="11"/>
      <c r="I96" s="11"/>
      <c r="J96" s="11"/>
      <c r="K96" s="504"/>
      <c r="L96" s="11"/>
      <c r="M96" s="11"/>
      <c r="N96" s="11"/>
    </row>
    <row r="97" spans="7:14" x14ac:dyDescent="0.2">
      <c r="G97" s="41"/>
      <c r="H97" s="11"/>
      <c r="I97" s="11"/>
      <c r="J97" s="11"/>
      <c r="K97" s="504"/>
      <c r="L97" s="11"/>
      <c r="M97" s="11"/>
      <c r="N97" s="11"/>
    </row>
    <row r="98" spans="7:14" x14ac:dyDescent="0.2">
      <c r="G98" s="41"/>
      <c r="H98" s="11"/>
      <c r="I98" s="11"/>
      <c r="J98" s="11"/>
      <c r="K98" s="504"/>
      <c r="L98" s="11"/>
      <c r="M98" s="11"/>
      <c r="N98" s="11"/>
    </row>
    <row r="99" spans="7:14" x14ac:dyDescent="0.2">
      <c r="G99" s="41"/>
      <c r="H99" s="11"/>
      <c r="I99" s="11"/>
      <c r="J99" s="11"/>
      <c r="K99" s="504"/>
      <c r="L99" s="11"/>
      <c r="M99" s="11"/>
      <c r="N99" s="11"/>
    </row>
    <row r="100" spans="7:14" x14ac:dyDescent="0.2">
      <c r="G100" s="41"/>
      <c r="H100" s="11"/>
      <c r="I100" s="11"/>
      <c r="J100" s="11"/>
      <c r="K100" s="504"/>
      <c r="L100" s="11"/>
      <c r="M100" s="11"/>
      <c r="N100" s="11"/>
    </row>
    <row r="101" spans="7:14" x14ac:dyDescent="0.2">
      <c r="G101" s="41"/>
      <c r="H101" s="11"/>
      <c r="I101" s="11"/>
      <c r="J101" s="11"/>
      <c r="K101" s="504"/>
      <c r="L101" s="11"/>
      <c r="M101" s="11"/>
      <c r="N101" s="11"/>
    </row>
    <row r="102" spans="7:14" x14ac:dyDescent="0.2">
      <c r="G102" s="41"/>
      <c r="H102" s="11"/>
      <c r="I102" s="11"/>
      <c r="J102" s="11"/>
      <c r="K102" s="504"/>
      <c r="L102" s="11"/>
      <c r="M102" s="11"/>
      <c r="N102" s="11"/>
    </row>
    <row r="103" spans="7:14" x14ac:dyDescent="0.2">
      <c r="G103" s="41"/>
      <c r="H103" s="11"/>
      <c r="I103" s="11"/>
      <c r="J103" s="11"/>
      <c r="K103" s="504"/>
      <c r="L103" s="11"/>
      <c r="M103" s="11"/>
      <c r="N103" s="11"/>
    </row>
    <row r="104" spans="7:14" x14ac:dyDescent="0.2">
      <c r="G104" s="41"/>
      <c r="H104" s="11"/>
      <c r="I104" s="11"/>
      <c r="J104" s="11"/>
      <c r="K104" s="504"/>
      <c r="L104" s="11"/>
      <c r="M104" s="11"/>
      <c r="N104" s="11"/>
    </row>
    <row r="105" spans="7:14" x14ac:dyDescent="0.2">
      <c r="G105" s="41"/>
      <c r="H105" s="11"/>
      <c r="I105" s="11"/>
      <c r="J105" s="11"/>
      <c r="K105" s="504"/>
      <c r="L105" s="11"/>
      <c r="M105" s="11"/>
      <c r="N105" s="11"/>
    </row>
    <row r="106" spans="7:14" x14ac:dyDescent="0.2">
      <c r="G106" s="41"/>
      <c r="H106" s="11"/>
      <c r="I106" s="11"/>
      <c r="J106" s="11"/>
      <c r="K106" s="504"/>
      <c r="L106" s="11"/>
      <c r="M106" s="11"/>
      <c r="N106" s="11"/>
    </row>
    <row r="107" spans="7:14" x14ac:dyDescent="0.2">
      <c r="G107" s="41"/>
      <c r="H107" s="11"/>
      <c r="I107" s="11"/>
      <c r="J107" s="11"/>
      <c r="K107" s="504"/>
      <c r="L107" s="11"/>
      <c r="M107" s="11"/>
      <c r="N107" s="11"/>
    </row>
    <row r="108" spans="7:14" x14ac:dyDescent="0.2">
      <c r="G108" s="41"/>
      <c r="H108" s="11"/>
      <c r="I108" s="11"/>
      <c r="J108" s="11"/>
      <c r="K108" s="504"/>
      <c r="L108" s="11"/>
      <c r="M108" s="11"/>
      <c r="N108" s="11"/>
    </row>
    <row r="109" spans="7:14" x14ac:dyDescent="0.2">
      <c r="G109" s="41"/>
      <c r="H109" s="11"/>
      <c r="I109" s="11"/>
      <c r="J109" s="11"/>
      <c r="K109" s="504"/>
      <c r="L109" s="11"/>
      <c r="M109" s="11"/>
      <c r="N109" s="11"/>
    </row>
    <row r="110" spans="7:14" x14ac:dyDescent="0.2">
      <c r="G110" s="41"/>
      <c r="H110" s="11"/>
      <c r="I110" s="11"/>
      <c r="J110" s="11"/>
      <c r="K110" s="504"/>
      <c r="L110" s="11"/>
      <c r="M110" s="11"/>
      <c r="N110" s="11"/>
    </row>
    <row r="111" spans="7:14" x14ac:dyDescent="0.2">
      <c r="G111" s="41"/>
      <c r="H111" s="11"/>
      <c r="I111" s="11"/>
      <c r="J111" s="11"/>
      <c r="K111" s="504"/>
      <c r="L111" s="11"/>
      <c r="M111" s="11"/>
      <c r="N111" s="11"/>
    </row>
    <row r="112" spans="7:14" x14ac:dyDescent="0.2">
      <c r="G112" s="41"/>
      <c r="H112" s="11"/>
      <c r="I112" s="11"/>
      <c r="J112" s="11"/>
      <c r="K112" s="504"/>
      <c r="L112" s="11"/>
      <c r="M112" s="11"/>
      <c r="N112" s="11"/>
    </row>
    <row r="113" spans="7:14" x14ac:dyDescent="0.2">
      <c r="G113" s="41"/>
      <c r="H113" s="11"/>
      <c r="I113" s="11"/>
      <c r="J113" s="11"/>
      <c r="K113" s="504"/>
      <c r="L113" s="11"/>
      <c r="M113" s="11"/>
      <c r="N113" s="11"/>
    </row>
    <row r="114" spans="7:14" x14ac:dyDescent="0.2">
      <c r="G114" s="41"/>
      <c r="H114" s="11"/>
      <c r="I114" s="11"/>
      <c r="J114" s="11"/>
      <c r="K114" s="504"/>
      <c r="L114" s="11"/>
      <c r="M114" s="11"/>
      <c r="N114" s="11"/>
    </row>
    <row r="115" spans="7:14" x14ac:dyDescent="0.2">
      <c r="G115" s="41"/>
      <c r="H115" s="11"/>
      <c r="I115" s="11"/>
      <c r="J115" s="11"/>
      <c r="K115" s="504"/>
      <c r="L115" s="11"/>
      <c r="M115" s="11"/>
      <c r="N115" s="11"/>
    </row>
    <row r="116" spans="7:14" x14ac:dyDescent="0.2">
      <c r="G116" s="41"/>
      <c r="H116" s="11"/>
      <c r="I116" s="11"/>
      <c r="J116" s="11"/>
      <c r="K116" s="504"/>
      <c r="L116" s="11"/>
      <c r="M116" s="11"/>
      <c r="N116" s="11"/>
    </row>
    <row r="117" spans="7:14" x14ac:dyDescent="0.2">
      <c r="G117" s="41"/>
      <c r="H117" s="11"/>
      <c r="I117" s="11"/>
      <c r="J117" s="11"/>
      <c r="K117" s="504"/>
      <c r="L117" s="11"/>
      <c r="M117" s="11"/>
      <c r="N117" s="11"/>
    </row>
    <row r="118" spans="7:14" x14ac:dyDescent="0.2">
      <c r="G118" s="41"/>
      <c r="H118" s="11"/>
      <c r="I118" s="11"/>
      <c r="J118" s="11"/>
      <c r="K118" s="504"/>
      <c r="L118" s="11"/>
      <c r="M118" s="11"/>
      <c r="N118" s="11"/>
    </row>
    <row r="119" spans="7:14" x14ac:dyDescent="0.2">
      <c r="G119" s="41"/>
      <c r="H119" s="11"/>
      <c r="I119" s="11"/>
      <c r="J119" s="11"/>
      <c r="K119" s="504"/>
      <c r="L119" s="11"/>
      <c r="M119" s="11"/>
      <c r="N119" s="11"/>
    </row>
    <row r="120" spans="7:14" x14ac:dyDescent="0.2">
      <c r="G120" s="41"/>
      <c r="H120" s="11"/>
      <c r="I120" s="11"/>
      <c r="J120" s="11"/>
      <c r="K120" s="504"/>
      <c r="L120" s="11"/>
      <c r="M120" s="11"/>
      <c r="N120" s="11"/>
    </row>
    <row r="121" spans="7:14" x14ac:dyDescent="0.2">
      <c r="G121" s="41"/>
      <c r="H121" s="11"/>
      <c r="I121" s="11"/>
      <c r="J121" s="11"/>
      <c r="K121" s="504"/>
      <c r="L121" s="11"/>
      <c r="M121" s="11"/>
      <c r="N121" s="11"/>
    </row>
    <row r="122" spans="7:14" x14ac:dyDescent="0.2">
      <c r="G122" s="41"/>
      <c r="H122" s="11"/>
      <c r="I122" s="11"/>
      <c r="J122" s="11"/>
      <c r="K122" s="504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06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07"/>
      <c r="L127" s="50"/>
      <c r="M127" s="50"/>
      <c r="N127" s="106"/>
    </row>
    <row r="128" spans="7:14" x14ac:dyDescent="0.2">
      <c r="G128" s="57"/>
      <c r="J128" s="50"/>
      <c r="K128" s="507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08"/>
      <c r="L133" s="38"/>
      <c r="M133" s="4"/>
    </row>
    <row r="134" spans="7:14" x14ac:dyDescent="0.2">
      <c r="G134" s="39"/>
      <c r="H134" s="6"/>
      <c r="I134" s="40"/>
      <c r="J134" s="6"/>
      <c r="K134" s="509"/>
      <c r="L134" s="6"/>
      <c r="M134" s="6"/>
    </row>
    <row r="135" spans="7:14" x14ac:dyDescent="0.2">
      <c r="G135" s="41"/>
      <c r="H135" s="11"/>
      <c r="I135" s="11"/>
      <c r="J135" s="11"/>
      <c r="K135" s="504"/>
      <c r="L135" s="11"/>
      <c r="M135" s="11"/>
      <c r="N135" s="11"/>
    </row>
    <row r="136" spans="7:14" x14ac:dyDescent="0.2">
      <c r="G136" s="41"/>
      <c r="H136" s="11"/>
      <c r="I136" s="11"/>
      <c r="J136" s="11"/>
      <c r="K136" s="504"/>
      <c r="L136" s="11"/>
      <c r="M136" s="11"/>
      <c r="N136" s="11"/>
    </row>
    <row r="137" spans="7:14" x14ac:dyDescent="0.2">
      <c r="G137" s="41"/>
      <c r="H137" s="11"/>
      <c r="I137" s="11"/>
      <c r="J137" s="11"/>
      <c r="K137" s="504"/>
      <c r="L137" s="11"/>
      <c r="M137" s="11"/>
      <c r="N137" s="11"/>
    </row>
    <row r="138" spans="7:14" x14ac:dyDescent="0.2">
      <c r="G138" s="41"/>
      <c r="H138" s="11"/>
      <c r="I138" s="11"/>
      <c r="J138" s="11"/>
      <c r="K138" s="504"/>
      <c r="L138" s="11"/>
      <c r="M138" s="11"/>
      <c r="N138" s="11"/>
    </row>
    <row r="139" spans="7:14" x14ac:dyDescent="0.2">
      <c r="G139" s="41"/>
      <c r="H139" s="11"/>
      <c r="I139" s="11"/>
      <c r="J139" s="11"/>
      <c r="K139" s="504"/>
      <c r="L139" s="11"/>
      <c r="M139" s="11"/>
      <c r="N139" s="11"/>
    </row>
    <row r="140" spans="7:14" x14ac:dyDescent="0.2">
      <c r="G140" s="41"/>
      <c r="H140" s="11"/>
      <c r="I140" s="11"/>
      <c r="J140" s="11"/>
      <c r="K140" s="504"/>
      <c r="L140" s="11"/>
      <c r="M140" s="11"/>
      <c r="N140" s="11"/>
    </row>
    <row r="141" spans="7:14" x14ac:dyDescent="0.2">
      <c r="G141" s="41"/>
      <c r="H141" s="11"/>
      <c r="I141" s="11"/>
      <c r="J141" s="11"/>
      <c r="K141" s="504"/>
      <c r="L141" s="11"/>
      <c r="M141" s="11"/>
      <c r="N141" s="11"/>
    </row>
    <row r="142" spans="7:14" x14ac:dyDescent="0.2">
      <c r="G142" s="41"/>
      <c r="H142" s="11"/>
      <c r="I142" s="11"/>
      <c r="J142" s="11"/>
      <c r="K142" s="504"/>
      <c r="L142" s="11"/>
      <c r="M142" s="11"/>
      <c r="N142" s="11"/>
    </row>
    <row r="143" spans="7:14" x14ac:dyDescent="0.2">
      <c r="G143" s="41"/>
      <c r="H143" s="11"/>
      <c r="I143" s="11"/>
      <c r="J143" s="11"/>
      <c r="K143" s="504"/>
      <c r="L143" s="11"/>
      <c r="M143" s="11"/>
      <c r="N143" s="11"/>
    </row>
    <row r="144" spans="7:14" x14ac:dyDescent="0.2">
      <c r="G144" s="41"/>
      <c r="H144" s="11"/>
      <c r="I144" s="11"/>
      <c r="J144" s="11"/>
      <c r="K144" s="504"/>
      <c r="L144" s="11"/>
      <c r="M144" s="11"/>
      <c r="N144" s="11"/>
    </row>
    <row r="145" spans="7:14" x14ac:dyDescent="0.2">
      <c r="G145" s="41"/>
      <c r="H145" s="11"/>
      <c r="I145" s="11"/>
      <c r="J145" s="11"/>
      <c r="K145" s="504"/>
      <c r="L145" s="11"/>
      <c r="M145" s="11"/>
      <c r="N145" s="11"/>
    </row>
    <row r="146" spans="7:14" x14ac:dyDescent="0.2">
      <c r="G146" s="41"/>
      <c r="H146" s="11"/>
      <c r="I146" s="11"/>
      <c r="J146" s="11"/>
      <c r="K146" s="504"/>
      <c r="L146" s="11"/>
      <c r="M146" s="11"/>
      <c r="N146" s="11"/>
    </row>
    <row r="147" spans="7:14" x14ac:dyDescent="0.2">
      <c r="G147" s="41"/>
      <c r="H147" s="11"/>
      <c r="I147" s="11"/>
      <c r="J147" s="11"/>
      <c r="K147" s="504"/>
      <c r="L147" s="11"/>
      <c r="M147" s="11"/>
      <c r="N147" s="11"/>
    </row>
    <row r="148" spans="7:14" x14ac:dyDescent="0.2">
      <c r="G148" s="41"/>
      <c r="H148" s="11"/>
      <c r="I148" s="11"/>
      <c r="J148" s="11"/>
      <c r="K148" s="504"/>
      <c r="L148" s="11"/>
      <c r="M148" s="11"/>
      <c r="N148" s="11"/>
    </row>
    <row r="149" spans="7:14" x14ac:dyDescent="0.2">
      <c r="G149" s="41"/>
      <c r="H149" s="11"/>
      <c r="I149" s="11"/>
      <c r="J149" s="11"/>
      <c r="K149" s="504"/>
      <c r="L149" s="11"/>
      <c r="M149" s="11"/>
      <c r="N149" s="11"/>
    </row>
    <row r="150" spans="7:14" x14ac:dyDescent="0.2">
      <c r="G150" s="41"/>
      <c r="H150" s="11"/>
      <c r="I150" s="11"/>
      <c r="J150" s="11"/>
      <c r="K150" s="504"/>
      <c r="L150" s="11"/>
      <c r="M150" s="11"/>
      <c r="N150" s="11"/>
    </row>
    <row r="151" spans="7:14" x14ac:dyDescent="0.2">
      <c r="G151" s="41"/>
      <c r="H151" s="11"/>
      <c r="I151" s="11"/>
      <c r="J151" s="11"/>
      <c r="K151" s="504"/>
      <c r="L151" s="11"/>
      <c r="M151" s="11"/>
      <c r="N151" s="11"/>
    </row>
    <row r="152" spans="7:14" x14ac:dyDescent="0.2">
      <c r="G152" s="41"/>
      <c r="H152" s="11"/>
      <c r="I152" s="11"/>
      <c r="J152" s="11"/>
      <c r="K152" s="504"/>
      <c r="L152" s="11"/>
      <c r="M152" s="11"/>
      <c r="N152" s="11"/>
    </row>
    <row r="153" spans="7:14" x14ac:dyDescent="0.2">
      <c r="G153" s="41"/>
      <c r="H153" s="11"/>
      <c r="I153" s="11"/>
      <c r="J153" s="11"/>
      <c r="K153" s="504"/>
      <c r="L153" s="11"/>
      <c r="M153" s="11"/>
      <c r="N153" s="11"/>
    </row>
    <row r="154" spans="7:14" x14ac:dyDescent="0.2">
      <c r="G154" s="41"/>
      <c r="H154" s="11"/>
      <c r="I154" s="11"/>
      <c r="J154" s="11"/>
      <c r="K154" s="504"/>
      <c r="L154" s="11"/>
      <c r="M154" s="11"/>
      <c r="N154" s="11"/>
    </row>
    <row r="155" spans="7:14" x14ac:dyDescent="0.2">
      <c r="G155" s="41"/>
      <c r="H155" s="11"/>
      <c r="I155" s="11"/>
      <c r="J155" s="11"/>
      <c r="K155" s="504"/>
      <c r="L155" s="11"/>
      <c r="M155" s="11"/>
      <c r="N155" s="11"/>
    </row>
    <row r="156" spans="7:14" x14ac:dyDescent="0.2">
      <c r="G156" s="41"/>
      <c r="H156" s="11"/>
      <c r="I156" s="11"/>
      <c r="J156" s="11"/>
      <c r="K156" s="504"/>
      <c r="L156" s="11"/>
      <c r="M156" s="11"/>
      <c r="N156" s="11"/>
    </row>
    <row r="157" spans="7:14" x14ac:dyDescent="0.2">
      <c r="G157" s="41"/>
      <c r="H157" s="11"/>
      <c r="I157" s="11"/>
      <c r="J157" s="11"/>
      <c r="K157" s="504"/>
      <c r="L157" s="11"/>
      <c r="M157" s="11"/>
      <c r="N157" s="11"/>
    </row>
    <row r="158" spans="7:14" x14ac:dyDescent="0.2">
      <c r="G158" s="41"/>
      <c r="H158" s="11"/>
      <c r="I158" s="11"/>
      <c r="J158" s="11"/>
      <c r="K158" s="504"/>
      <c r="L158" s="11"/>
      <c r="M158" s="11"/>
      <c r="N158" s="11"/>
    </row>
    <row r="159" spans="7:14" x14ac:dyDescent="0.2">
      <c r="G159" s="41"/>
      <c r="H159" s="11"/>
      <c r="I159" s="11"/>
      <c r="J159" s="11"/>
      <c r="K159" s="504"/>
      <c r="L159" s="11"/>
      <c r="M159" s="11"/>
      <c r="N159" s="11"/>
    </row>
    <row r="160" spans="7:14" x14ac:dyDescent="0.2">
      <c r="G160" s="41"/>
      <c r="H160" s="11"/>
      <c r="I160" s="11"/>
      <c r="J160" s="11"/>
      <c r="K160" s="504"/>
      <c r="L160" s="11"/>
      <c r="M160" s="11"/>
      <c r="N160" s="11"/>
    </row>
    <row r="161" spans="7:14" x14ac:dyDescent="0.2">
      <c r="G161" s="41"/>
      <c r="H161" s="11"/>
      <c r="I161" s="11"/>
      <c r="J161" s="11"/>
      <c r="K161" s="504"/>
      <c r="L161" s="11"/>
      <c r="M161" s="11"/>
      <c r="N161" s="11"/>
    </row>
    <row r="162" spans="7:14" x14ac:dyDescent="0.2">
      <c r="G162" s="41"/>
      <c r="H162" s="11"/>
      <c r="I162" s="11"/>
      <c r="J162" s="11"/>
      <c r="K162" s="504"/>
      <c r="L162" s="11"/>
      <c r="M162" s="11"/>
      <c r="N162" s="11"/>
    </row>
    <row r="163" spans="7:14" x14ac:dyDescent="0.2">
      <c r="G163" s="41"/>
      <c r="H163" s="11"/>
      <c r="I163" s="11"/>
      <c r="J163" s="11"/>
      <c r="K163" s="504"/>
      <c r="L163" s="11"/>
      <c r="M163" s="11"/>
      <c r="N163" s="11"/>
    </row>
    <row r="164" spans="7:14" x14ac:dyDescent="0.2">
      <c r="G164" s="41"/>
      <c r="H164" s="11"/>
      <c r="I164" s="11"/>
      <c r="J164" s="11"/>
      <c r="K164" s="504"/>
      <c r="L164" s="11"/>
      <c r="M164" s="11"/>
      <c r="N164" s="11"/>
    </row>
    <row r="165" spans="7:14" x14ac:dyDescent="0.2">
      <c r="G165" s="41"/>
      <c r="H165" s="42"/>
      <c r="I165" s="42"/>
      <c r="J165" s="42"/>
      <c r="K165" s="510"/>
      <c r="L165" s="42"/>
      <c r="M165" s="42"/>
      <c r="N165" s="42"/>
    </row>
    <row r="166" spans="7:14" x14ac:dyDescent="0.2">
      <c r="G166" s="41"/>
      <c r="H166" s="11"/>
      <c r="I166" s="44"/>
      <c r="J166" s="11"/>
      <c r="K166" s="511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06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07"/>
      <c r="L171" s="57"/>
      <c r="M171" s="50"/>
      <c r="N171" s="106"/>
    </row>
    <row r="172" spans="7:14" x14ac:dyDescent="0.2">
      <c r="J172" s="50"/>
      <c r="K172" s="507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08"/>
      <c r="L177" s="38"/>
      <c r="M177" s="4"/>
    </row>
    <row r="178" spans="7:14" x14ac:dyDescent="0.2">
      <c r="G178" s="39"/>
      <c r="H178" s="6"/>
      <c r="I178" s="40"/>
      <c r="J178" s="6"/>
      <c r="K178" s="509"/>
      <c r="L178" s="6"/>
      <c r="M178" s="6"/>
    </row>
    <row r="179" spans="7:14" x14ac:dyDescent="0.2">
      <c r="G179" s="41"/>
      <c r="H179" s="11"/>
      <c r="I179" s="11"/>
      <c r="J179" s="11"/>
      <c r="K179" s="504"/>
      <c r="L179" s="11"/>
      <c r="M179" s="11"/>
      <c r="N179" s="11"/>
    </row>
    <row r="180" spans="7:14" x14ac:dyDescent="0.2">
      <c r="G180" s="41"/>
      <c r="H180" s="11"/>
      <c r="I180" s="11"/>
      <c r="J180" s="11"/>
      <c r="K180" s="504"/>
      <c r="L180" s="11"/>
      <c r="M180" s="11"/>
      <c r="N180" s="11"/>
    </row>
    <row r="181" spans="7:14" x14ac:dyDescent="0.2">
      <c r="G181" s="41"/>
      <c r="H181" s="11"/>
      <c r="I181" s="11"/>
      <c r="J181" s="11"/>
      <c r="K181" s="504"/>
      <c r="L181" s="11"/>
      <c r="M181" s="11"/>
      <c r="N181" s="11"/>
    </row>
    <row r="182" spans="7:14" x14ac:dyDescent="0.2">
      <c r="G182" s="41"/>
      <c r="H182" s="11"/>
      <c r="I182" s="11"/>
      <c r="J182" s="11"/>
      <c r="K182" s="504"/>
      <c r="L182" s="11"/>
      <c r="M182" s="11"/>
      <c r="N182" s="11"/>
    </row>
    <row r="183" spans="7:14" x14ac:dyDescent="0.2">
      <c r="G183" s="41"/>
      <c r="H183" s="11"/>
      <c r="I183" s="11"/>
      <c r="J183" s="11"/>
      <c r="K183" s="504"/>
      <c r="L183" s="11"/>
      <c r="M183" s="11"/>
      <c r="N183" s="11"/>
    </row>
    <row r="184" spans="7:14" x14ac:dyDescent="0.2">
      <c r="G184" s="41"/>
      <c r="H184" s="11"/>
      <c r="I184" s="11"/>
      <c r="J184" s="11"/>
      <c r="K184" s="504"/>
      <c r="L184" s="11"/>
      <c r="M184" s="11"/>
      <c r="N184" s="11"/>
    </row>
    <row r="185" spans="7:14" x14ac:dyDescent="0.2">
      <c r="G185" s="41"/>
      <c r="H185" s="11"/>
      <c r="I185" s="11"/>
      <c r="J185" s="11"/>
      <c r="K185" s="504"/>
      <c r="L185" s="11"/>
      <c r="M185" s="11"/>
      <c r="N185" s="11"/>
    </row>
    <row r="186" spans="7:14" x14ac:dyDescent="0.2">
      <c r="G186" s="41"/>
      <c r="H186" s="11"/>
      <c r="I186" s="11"/>
      <c r="J186" s="11"/>
      <c r="K186" s="504"/>
      <c r="L186" s="11"/>
      <c r="M186" s="11"/>
      <c r="N186" s="11"/>
    </row>
    <row r="187" spans="7:14" x14ac:dyDescent="0.2">
      <c r="G187" s="41"/>
      <c r="H187" s="11"/>
      <c r="I187" s="11"/>
      <c r="J187" s="11"/>
      <c r="K187" s="504"/>
      <c r="L187" s="11"/>
      <c r="M187" s="11"/>
      <c r="N187" s="11"/>
    </row>
    <row r="188" spans="7:14" x14ac:dyDescent="0.2">
      <c r="G188" s="41"/>
      <c r="H188" s="11"/>
      <c r="I188" s="11"/>
      <c r="J188" s="11"/>
      <c r="K188" s="504"/>
      <c r="L188" s="11"/>
      <c r="M188" s="11"/>
      <c r="N188" s="11"/>
    </row>
    <row r="189" spans="7:14" x14ac:dyDescent="0.2">
      <c r="G189" s="41"/>
      <c r="H189" s="11"/>
      <c r="I189" s="11"/>
      <c r="J189" s="11"/>
      <c r="K189" s="504"/>
      <c r="L189" s="11"/>
      <c r="M189" s="11"/>
      <c r="N189" s="11"/>
    </row>
    <row r="190" spans="7:14" x14ac:dyDescent="0.2">
      <c r="G190" s="41"/>
      <c r="H190" s="11"/>
      <c r="I190" s="11"/>
      <c r="J190" s="11"/>
      <c r="K190" s="504"/>
      <c r="L190" s="11"/>
      <c r="M190" s="11"/>
      <c r="N190" s="11"/>
    </row>
    <row r="191" spans="7:14" x14ac:dyDescent="0.2">
      <c r="G191" s="41"/>
      <c r="H191" s="11"/>
      <c r="I191" s="11"/>
      <c r="J191" s="11"/>
      <c r="K191" s="504"/>
      <c r="L191" s="11"/>
      <c r="M191" s="11"/>
      <c r="N191" s="11"/>
    </row>
    <row r="192" spans="7:14" x14ac:dyDescent="0.2">
      <c r="G192" s="41"/>
      <c r="H192" s="11"/>
      <c r="I192" s="11"/>
      <c r="J192" s="11"/>
      <c r="K192" s="504"/>
      <c r="L192" s="11"/>
      <c r="M192" s="11"/>
      <c r="N192" s="11"/>
    </row>
    <row r="193" spans="7:14" x14ac:dyDescent="0.2">
      <c r="G193" s="41"/>
      <c r="H193" s="11"/>
      <c r="I193" s="11"/>
      <c r="J193" s="11"/>
      <c r="K193" s="504"/>
      <c r="L193" s="11"/>
      <c r="M193" s="11"/>
      <c r="N193" s="11"/>
    </row>
    <row r="194" spans="7:14" x14ac:dyDescent="0.2">
      <c r="G194" s="41"/>
      <c r="H194" s="11"/>
      <c r="I194" s="11"/>
      <c r="J194" s="11"/>
      <c r="K194" s="504"/>
      <c r="L194" s="11"/>
      <c r="M194" s="11"/>
      <c r="N194" s="11"/>
    </row>
    <row r="195" spans="7:14" x14ac:dyDescent="0.2">
      <c r="G195" s="41"/>
      <c r="H195" s="11"/>
      <c r="I195" s="11"/>
      <c r="J195" s="11"/>
      <c r="K195" s="504"/>
      <c r="L195" s="11"/>
      <c r="M195" s="11"/>
      <c r="N195" s="11"/>
    </row>
    <row r="196" spans="7:14" x14ac:dyDescent="0.2">
      <c r="G196" s="41"/>
      <c r="H196" s="11"/>
      <c r="I196" s="11"/>
      <c r="J196" s="11"/>
      <c r="K196" s="504"/>
      <c r="L196" s="11"/>
      <c r="M196" s="11"/>
      <c r="N196" s="11"/>
    </row>
    <row r="197" spans="7:14" x14ac:dyDescent="0.2">
      <c r="G197" s="41"/>
      <c r="H197" s="11"/>
      <c r="I197" s="11"/>
      <c r="J197" s="11"/>
      <c r="K197" s="504"/>
      <c r="L197" s="11"/>
      <c r="M197" s="11"/>
      <c r="N197" s="11"/>
    </row>
    <row r="198" spans="7:14" x14ac:dyDescent="0.2">
      <c r="G198" s="41"/>
      <c r="H198" s="11"/>
      <c r="I198" s="11"/>
      <c r="J198" s="11"/>
      <c r="K198" s="504"/>
      <c r="L198" s="11"/>
      <c r="M198" s="11"/>
      <c r="N198" s="11"/>
    </row>
    <row r="199" spans="7:14" x14ac:dyDescent="0.2">
      <c r="G199" s="41"/>
      <c r="H199" s="11"/>
      <c r="I199" s="11"/>
      <c r="J199" s="11"/>
      <c r="K199" s="504"/>
      <c r="L199" s="11"/>
      <c r="M199" s="11"/>
      <c r="N199" s="11"/>
    </row>
    <row r="200" spans="7:14" x14ac:dyDescent="0.2">
      <c r="G200" s="41"/>
      <c r="H200" s="11"/>
      <c r="I200" s="11"/>
      <c r="J200" s="11"/>
      <c r="K200" s="504"/>
      <c r="L200" s="11"/>
      <c r="M200" s="11"/>
      <c r="N200" s="11"/>
    </row>
    <row r="201" spans="7:14" x14ac:dyDescent="0.2">
      <c r="G201" s="41"/>
      <c r="H201" s="11"/>
      <c r="I201" s="11"/>
      <c r="J201" s="11"/>
      <c r="K201" s="504"/>
      <c r="L201" s="11"/>
      <c r="M201" s="11"/>
      <c r="N201" s="11"/>
    </row>
    <row r="202" spans="7:14" x14ac:dyDescent="0.2">
      <c r="G202" s="41"/>
      <c r="H202" s="11"/>
      <c r="I202" s="11"/>
      <c r="J202" s="11"/>
      <c r="K202" s="504"/>
      <c r="L202" s="11"/>
      <c r="M202" s="11"/>
      <c r="N202" s="11"/>
    </row>
    <row r="203" spans="7:14" x14ac:dyDescent="0.2">
      <c r="G203" s="41"/>
      <c r="H203" s="11"/>
      <c r="I203" s="11"/>
      <c r="J203" s="11"/>
      <c r="K203" s="504"/>
      <c r="L203" s="11"/>
      <c r="M203" s="11"/>
      <c r="N203" s="11"/>
    </row>
    <row r="204" spans="7:14" x14ac:dyDescent="0.2">
      <c r="G204" s="41"/>
      <c r="H204" s="11"/>
      <c r="I204" s="11"/>
      <c r="J204" s="11"/>
      <c r="K204" s="504"/>
      <c r="L204" s="11"/>
      <c r="M204" s="11"/>
      <c r="N204" s="11"/>
    </row>
    <row r="205" spans="7:14" x14ac:dyDescent="0.2">
      <c r="G205" s="41"/>
      <c r="H205" s="11"/>
      <c r="I205" s="11"/>
      <c r="J205" s="11"/>
      <c r="K205" s="504"/>
      <c r="L205" s="11"/>
      <c r="M205" s="11"/>
      <c r="N205" s="11"/>
    </row>
    <row r="206" spans="7:14" x14ac:dyDescent="0.2">
      <c r="G206" s="41"/>
      <c r="H206" s="11"/>
      <c r="I206" s="11"/>
      <c r="J206" s="11"/>
      <c r="K206" s="504"/>
      <c r="L206" s="11"/>
      <c r="M206" s="11"/>
      <c r="N206" s="11"/>
    </row>
    <row r="207" spans="7:14" x14ac:dyDescent="0.2">
      <c r="G207" s="41"/>
      <c r="H207" s="11"/>
      <c r="I207" s="11"/>
      <c r="J207" s="11"/>
      <c r="K207" s="504"/>
      <c r="L207" s="11"/>
      <c r="M207" s="11"/>
      <c r="N207" s="11"/>
    </row>
    <row r="208" spans="7:14" x14ac:dyDescent="0.2">
      <c r="G208" s="41"/>
      <c r="H208" s="11"/>
      <c r="I208" s="11"/>
      <c r="J208" s="11"/>
      <c r="K208" s="504"/>
      <c r="L208" s="11"/>
      <c r="M208" s="11"/>
      <c r="N208" s="11"/>
    </row>
    <row r="209" spans="7:14" x14ac:dyDescent="0.2">
      <c r="G209" s="41"/>
      <c r="H209" s="42"/>
      <c r="I209" s="42"/>
      <c r="J209" s="42"/>
      <c r="K209" s="510"/>
      <c r="L209" s="42"/>
      <c r="M209" s="42"/>
      <c r="N209" s="42"/>
    </row>
    <row r="210" spans="7:14" x14ac:dyDescent="0.2">
      <c r="G210" s="41"/>
      <c r="H210" s="11"/>
      <c r="I210" s="44"/>
      <c r="J210" s="11"/>
      <c r="K210" s="511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06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07"/>
      <c r="L215" s="57"/>
      <c r="M215" s="50"/>
      <c r="N215" s="106"/>
    </row>
    <row r="216" spans="7:14" x14ac:dyDescent="0.2">
      <c r="J216" s="50"/>
      <c r="K216" s="507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08"/>
      <c r="L220" s="38"/>
      <c r="M220" s="4"/>
    </row>
    <row r="221" spans="7:14" x14ac:dyDescent="0.2">
      <c r="G221" s="39"/>
      <c r="H221" s="6"/>
      <c r="I221" s="40"/>
      <c r="J221" s="6"/>
      <c r="K221" s="509"/>
      <c r="L221" s="6"/>
      <c r="M221" s="6"/>
    </row>
    <row r="222" spans="7:14" x14ac:dyDescent="0.2">
      <c r="G222" s="41"/>
      <c r="H222" s="11"/>
      <c r="I222" s="11"/>
      <c r="J222" s="11"/>
      <c r="K222" s="504"/>
      <c r="L222" s="11"/>
      <c r="M222" s="11"/>
      <c r="N222" s="11"/>
    </row>
    <row r="223" spans="7:14" x14ac:dyDescent="0.2">
      <c r="G223" s="41"/>
      <c r="H223" s="11"/>
      <c r="I223" s="11"/>
      <c r="J223" s="11"/>
      <c r="K223" s="504"/>
      <c r="L223" s="11"/>
      <c r="M223" s="11"/>
      <c r="N223" s="11"/>
    </row>
    <row r="224" spans="7:14" x14ac:dyDescent="0.2">
      <c r="G224" s="41"/>
      <c r="H224" s="11"/>
      <c r="I224" s="11"/>
      <c r="J224" s="11"/>
      <c r="K224" s="504"/>
      <c r="L224" s="11"/>
      <c r="M224" s="11"/>
      <c r="N224" s="11"/>
    </row>
    <row r="225" spans="7:14" x14ac:dyDescent="0.2">
      <c r="G225" s="41"/>
      <c r="H225" s="11"/>
      <c r="I225" s="11"/>
      <c r="J225" s="11"/>
      <c r="K225" s="504"/>
      <c r="L225" s="11"/>
      <c r="M225" s="11"/>
      <c r="N225" s="11"/>
    </row>
    <row r="226" spans="7:14" x14ac:dyDescent="0.2">
      <c r="G226" s="41"/>
      <c r="H226" s="11"/>
      <c r="I226" s="11"/>
      <c r="J226" s="11"/>
      <c r="K226" s="504"/>
      <c r="L226" s="11"/>
      <c r="M226" s="11"/>
      <c r="N226" s="11"/>
    </row>
    <row r="227" spans="7:14" x14ac:dyDescent="0.2">
      <c r="G227" s="41"/>
      <c r="H227" s="11"/>
      <c r="I227" s="11"/>
      <c r="J227" s="11"/>
      <c r="K227" s="504"/>
      <c r="L227" s="11"/>
      <c r="M227" s="11"/>
      <c r="N227" s="11"/>
    </row>
    <row r="228" spans="7:14" x14ac:dyDescent="0.2">
      <c r="G228" s="41"/>
      <c r="H228" s="11"/>
      <c r="I228" s="11"/>
      <c r="J228" s="11"/>
      <c r="K228" s="504"/>
      <c r="L228" s="11"/>
      <c r="M228" s="11"/>
      <c r="N228" s="11"/>
    </row>
    <row r="229" spans="7:14" x14ac:dyDescent="0.2">
      <c r="G229" s="41"/>
      <c r="H229" s="11"/>
      <c r="I229" s="11"/>
      <c r="J229" s="11"/>
      <c r="K229" s="504"/>
      <c r="L229" s="11"/>
      <c r="M229" s="11"/>
      <c r="N229" s="11"/>
    </row>
    <row r="230" spans="7:14" x14ac:dyDescent="0.2">
      <c r="G230" s="41"/>
      <c r="H230" s="11"/>
      <c r="I230" s="11"/>
      <c r="J230" s="11"/>
      <c r="K230" s="504"/>
      <c r="L230" s="11"/>
      <c r="M230" s="11"/>
      <c r="N230" s="11"/>
    </row>
    <row r="231" spans="7:14" x14ac:dyDescent="0.2">
      <c r="G231" s="41"/>
      <c r="H231" s="11"/>
      <c r="I231" s="11"/>
      <c r="J231" s="11"/>
      <c r="K231" s="504"/>
      <c r="L231" s="11"/>
      <c r="M231" s="11"/>
      <c r="N231" s="11"/>
    </row>
    <row r="232" spans="7:14" x14ac:dyDescent="0.2">
      <c r="G232" s="41"/>
      <c r="H232" s="11"/>
      <c r="I232" s="11"/>
      <c r="J232" s="11"/>
      <c r="K232" s="504"/>
      <c r="L232" s="11"/>
      <c r="M232" s="11"/>
      <c r="N232" s="11"/>
    </row>
    <row r="233" spans="7:14" x14ac:dyDescent="0.2">
      <c r="G233" s="41"/>
      <c r="H233" s="11"/>
      <c r="I233" s="11"/>
      <c r="J233" s="11"/>
      <c r="K233" s="504"/>
      <c r="L233" s="11"/>
      <c r="M233" s="11"/>
      <c r="N233" s="11"/>
    </row>
    <row r="234" spans="7:14" x14ac:dyDescent="0.2">
      <c r="G234" s="41"/>
      <c r="H234" s="11"/>
      <c r="I234" s="11"/>
      <c r="J234" s="11"/>
      <c r="K234" s="504"/>
      <c r="L234" s="11"/>
      <c r="M234" s="11"/>
      <c r="N234" s="11"/>
    </row>
    <row r="235" spans="7:14" x14ac:dyDescent="0.2">
      <c r="G235" s="41"/>
      <c r="H235" s="11"/>
      <c r="I235" s="11"/>
      <c r="J235" s="11"/>
      <c r="K235" s="504"/>
      <c r="L235" s="11"/>
      <c r="M235" s="11"/>
      <c r="N235" s="11"/>
    </row>
    <row r="236" spans="7:14" x14ac:dyDescent="0.2">
      <c r="G236" s="41"/>
      <c r="H236" s="11"/>
      <c r="I236" s="11"/>
      <c r="J236" s="11"/>
      <c r="K236" s="504"/>
      <c r="L236" s="11"/>
      <c r="M236" s="11"/>
      <c r="N236" s="11"/>
    </row>
    <row r="237" spans="7:14" x14ac:dyDescent="0.2">
      <c r="G237" s="41"/>
      <c r="H237" s="11"/>
      <c r="I237" s="11"/>
      <c r="J237" s="11"/>
      <c r="K237" s="504"/>
      <c r="L237" s="11"/>
      <c r="M237" s="11"/>
      <c r="N237" s="11"/>
    </row>
    <row r="238" spans="7:14" x14ac:dyDescent="0.2">
      <c r="G238" s="41"/>
      <c r="H238" s="11"/>
      <c r="I238" s="11"/>
      <c r="J238" s="11"/>
      <c r="K238" s="504"/>
      <c r="L238" s="11"/>
      <c r="M238" s="11"/>
      <c r="N238" s="11"/>
    </row>
    <row r="239" spans="7:14" x14ac:dyDescent="0.2">
      <c r="G239" s="41"/>
      <c r="H239" s="11"/>
      <c r="I239" s="11"/>
      <c r="J239" s="11"/>
      <c r="K239" s="504"/>
      <c r="L239" s="11"/>
      <c r="M239" s="11"/>
      <c r="N239" s="11"/>
    </row>
    <row r="240" spans="7:14" x14ac:dyDescent="0.2">
      <c r="G240" s="41"/>
      <c r="H240" s="11"/>
      <c r="I240" s="11"/>
      <c r="J240" s="11"/>
      <c r="K240" s="504"/>
      <c r="L240" s="11"/>
      <c r="M240" s="11"/>
      <c r="N240" s="11"/>
    </row>
    <row r="241" spans="7:14" x14ac:dyDescent="0.2">
      <c r="G241" s="41"/>
      <c r="H241" s="11"/>
      <c r="I241" s="11"/>
      <c r="J241" s="11"/>
      <c r="K241" s="504"/>
      <c r="L241" s="11"/>
      <c r="M241" s="11"/>
      <c r="N241" s="11"/>
    </row>
    <row r="242" spans="7:14" x14ac:dyDescent="0.2">
      <c r="G242" s="41"/>
      <c r="H242" s="11"/>
      <c r="I242" s="11"/>
      <c r="J242" s="11"/>
      <c r="K242" s="504"/>
      <c r="L242" s="11"/>
      <c r="M242" s="11"/>
      <c r="N242" s="11"/>
    </row>
    <row r="243" spans="7:14" x14ac:dyDescent="0.2">
      <c r="G243" s="41"/>
      <c r="H243" s="11"/>
      <c r="I243" s="11"/>
      <c r="J243" s="11"/>
      <c r="K243" s="504"/>
      <c r="L243" s="11"/>
      <c r="M243" s="11"/>
      <c r="N243" s="11"/>
    </row>
    <row r="244" spans="7:14" x14ac:dyDescent="0.2">
      <c r="G244" s="41"/>
      <c r="H244" s="11"/>
      <c r="I244" s="11"/>
      <c r="J244" s="11"/>
      <c r="K244" s="504"/>
      <c r="L244" s="11"/>
      <c r="M244" s="11"/>
      <c r="N244" s="11"/>
    </row>
    <row r="245" spans="7:14" x14ac:dyDescent="0.2">
      <c r="G245" s="41"/>
      <c r="H245" s="11"/>
      <c r="I245" s="11"/>
      <c r="J245" s="11"/>
      <c r="K245" s="504"/>
      <c r="L245" s="11"/>
      <c r="M245" s="11"/>
      <c r="N245" s="11"/>
    </row>
    <row r="246" spans="7:14" x14ac:dyDescent="0.2">
      <c r="G246" s="41"/>
      <c r="H246" s="11"/>
      <c r="I246" s="11"/>
      <c r="J246" s="11"/>
      <c r="K246" s="504"/>
      <c r="L246" s="11"/>
      <c r="M246" s="11"/>
      <c r="N246" s="11"/>
    </row>
    <row r="247" spans="7:14" x14ac:dyDescent="0.2">
      <c r="G247" s="41"/>
      <c r="H247" s="11"/>
      <c r="I247" s="11"/>
      <c r="J247" s="11"/>
      <c r="K247" s="504"/>
      <c r="L247" s="11"/>
      <c r="M247" s="11"/>
      <c r="N247" s="11"/>
    </row>
    <row r="248" spans="7:14" x14ac:dyDescent="0.2">
      <c r="G248" s="41"/>
      <c r="H248" s="11"/>
      <c r="I248" s="11"/>
      <c r="J248" s="11"/>
      <c r="K248" s="504"/>
      <c r="L248" s="11"/>
      <c r="M248" s="11"/>
      <c r="N248" s="11"/>
    </row>
    <row r="249" spans="7:14" x14ac:dyDescent="0.2">
      <c r="G249" s="41"/>
      <c r="H249" s="11"/>
      <c r="I249" s="11"/>
      <c r="J249" s="11"/>
      <c r="K249" s="504"/>
      <c r="L249" s="11"/>
      <c r="M249" s="11"/>
      <c r="N249" s="11"/>
    </row>
    <row r="250" spans="7:14" x14ac:dyDescent="0.2">
      <c r="G250" s="41"/>
      <c r="H250" s="11"/>
      <c r="I250" s="11"/>
      <c r="J250" s="11"/>
      <c r="K250" s="504"/>
      <c r="L250" s="11"/>
      <c r="M250" s="11"/>
      <c r="N250" s="11"/>
    </row>
    <row r="251" spans="7:14" x14ac:dyDescent="0.2">
      <c r="G251" s="41"/>
      <c r="H251" s="11"/>
      <c r="I251" s="11"/>
      <c r="J251" s="11"/>
      <c r="K251" s="504"/>
      <c r="L251" s="11"/>
      <c r="M251" s="11"/>
      <c r="N251" s="11"/>
    </row>
    <row r="252" spans="7:14" x14ac:dyDescent="0.2">
      <c r="G252" s="41"/>
      <c r="H252" s="42"/>
      <c r="I252" s="42"/>
      <c r="J252" s="42"/>
      <c r="K252" s="510"/>
      <c r="L252" s="42"/>
      <c r="M252" s="42"/>
      <c r="N252" s="42"/>
    </row>
    <row r="253" spans="7:14" x14ac:dyDescent="0.2">
      <c r="G253" s="41"/>
      <c r="H253" s="11"/>
      <c r="I253" s="44"/>
      <c r="J253" s="11"/>
      <c r="K253" s="511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06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07"/>
      <c r="L258" s="57"/>
      <c r="M258" s="50"/>
      <c r="N258" s="106"/>
    </row>
    <row r="259" spans="10:14" x14ac:dyDescent="0.2">
      <c r="J259" s="50"/>
      <c r="K259" s="507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30" workbookViewId="0">
      <selection activeCell="F35" sqref="F35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-311292</v>
      </c>
      <c r="E5" s="11">
        <v>-312820</v>
      </c>
      <c r="F5" s="11"/>
      <c r="G5" s="11"/>
      <c r="H5" s="24">
        <f>+E5-D5+C5-B5</f>
        <v>-1528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-318504</v>
      </c>
      <c r="E6" s="11">
        <v>-318554</v>
      </c>
      <c r="F6" s="11"/>
      <c r="G6" s="11"/>
      <c r="H6" s="24">
        <f t="shared" ref="H6:H35" si="0">+E6-D6+C6-B6</f>
        <v>-50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-313491</v>
      </c>
      <c r="E7" s="129">
        <v>-315029</v>
      </c>
      <c r="F7" s="11"/>
      <c r="G7" s="11"/>
      <c r="H7" s="24">
        <f t="shared" si="0"/>
        <v>-1538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08">
        <v>-325040</v>
      </c>
      <c r="E8" s="129">
        <v>-325040</v>
      </c>
      <c r="F8" s="11"/>
      <c r="G8" s="11"/>
      <c r="H8" s="24">
        <f t="shared" si="0"/>
        <v>0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-324486</v>
      </c>
      <c r="E9" s="11">
        <v>-323303</v>
      </c>
      <c r="F9" s="11"/>
      <c r="G9" s="11"/>
      <c r="H9" s="24">
        <f t="shared" si="0"/>
        <v>1183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-330164</v>
      </c>
      <c r="E10" s="11">
        <v>-332126</v>
      </c>
      <c r="F10" s="11"/>
      <c r="G10" s="11"/>
      <c r="H10" s="24">
        <f t="shared" si="0"/>
        <v>-1962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-340841</v>
      </c>
      <c r="E11" s="11">
        <v>-341414</v>
      </c>
      <c r="F11" s="11"/>
      <c r="G11" s="11"/>
      <c r="H11" s="24">
        <f t="shared" si="0"/>
        <v>-573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-336715</v>
      </c>
      <c r="E12" s="11">
        <v>-339882</v>
      </c>
      <c r="F12" s="11"/>
      <c r="G12" s="11"/>
      <c r="H12" s="24">
        <f t="shared" si="0"/>
        <v>-3167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-337635</v>
      </c>
      <c r="E13" s="11">
        <v>-329646</v>
      </c>
      <c r="F13" s="11"/>
      <c r="G13" s="11"/>
      <c r="H13" s="24">
        <f t="shared" si="0"/>
        <v>7989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-339372</v>
      </c>
      <c r="E14" s="11">
        <v>-335419</v>
      </c>
      <c r="F14" s="11"/>
      <c r="G14" s="11"/>
      <c r="H14" s="24">
        <f t="shared" si="0"/>
        <v>3953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29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-3277540</v>
      </c>
      <c r="E36" s="11">
        <f t="shared" si="15"/>
        <v>-3273233</v>
      </c>
      <c r="F36" s="11">
        <f t="shared" si="15"/>
        <v>0</v>
      </c>
      <c r="G36" s="11">
        <f t="shared" si="15"/>
        <v>0</v>
      </c>
      <c r="H36" s="11">
        <f t="shared" si="15"/>
        <v>4307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4307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37287</v>
      </c>
      <c r="B38" s="2" t="s">
        <v>45</v>
      </c>
      <c r="C38" s="590">
        <v>64269</v>
      </c>
      <c r="D38" s="320"/>
      <c r="E38" s="591">
        <v>14608</v>
      </c>
      <c r="F38" s="24"/>
      <c r="G38" s="24"/>
      <c r="H38" s="236">
        <f>+C38+E38+G38</f>
        <v>78877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37297</v>
      </c>
      <c r="B39" s="2" t="s">
        <v>45</v>
      </c>
      <c r="C39" s="131">
        <f>+C38+C37</f>
        <v>64269</v>
      </c>
      <c r="D39" s="252"/>
      <c r="E39" s="131">
        <f>+E38+E37</f>
        <v>18915</v>
      </c>
      <c r="F39" s="252"/>
      <c r="G39" s="131"/>
      <c r="H39" s="131">
        <f>+H38+H36</f>
        <v>83184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4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37287</v>
      </c>
      <c r="B44" s="32"/>
      <c r="C44" s="589">
        <v>-1582961.01</v>
      </c>
      <c r="D44" s="205"/>
      <c r="E44" s="592">
        <v>1116269.8600000001</v>
      </c>
      <c r="F44" s="47">
        <f>+E44+C44</f>
        <v>-466691.14999999991</v>
      </c>
      <c r="G44" s="247">
        <f>+G42-G43</f>
        <v>15616</v>
      </c>
      <c r="H44" s="378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37297</v>
      </c>
      <c r="B45" s="32"/>
      <c r="C45" s="47">
        <f>+C37*summary!G4</f>
        <v>0</v>
      </c>
      <c r="D45" s="205"/>
      <c r="E45" s="376">
        <f>+E37*summary!G3</f>
        <v>8872.42</v>
      </c>
      <c r="F45" s="47">
        <f>+E45+C45</f>
        <v>8872.42</v>
      </c>
      <c r="G45" s="247"/>
      <c r="H45" s="378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6">
        <v>925707</v>
      </c>
      <c r="F46" s="47">
        <f>+E46+C46</f>
        <v>-657254.01</v>
      </c>
      <c r="G46" s="247"/>
      <c r="H46" s="378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6"/>
      <c r="D47" s="376"/>
      <c r="E47" s="376"/>
      <c r="F47" s="47"/>
      <c r="G47" s="247"/>
      <c r="H47" s="378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33" workbookViewId="0">
      <selection activeCell="A46" sqref="A46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172347</v>
      </c>
      <c r="C8" s="11">
        <v>172157</v>
      </c>
      <c r="D8" s="11">
        <v>12538</v>
      </c>
      <c r="E8" s="11">
        <v>12380</v>
      </c>
      <c r="F8" s="11">
        <f>+C8-B8+E8-D8</f>
        <v>-348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186769</v>
      </c>
      <c r="C9" s="11">
        <v>186487</v>
      </c>
      <c r="D9" s="11">
        <v>12975</v>
      </c>
      <c r="E9" s="11">
        <v>13033</v>
      </c>
      <c r="F9" s="11">
        <f t="shared" ref="F9:F39" si="5">+C9-B9+E9-D9</f>
        <v>-224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187475</v>
      </c>
      <c r="C10" s="11">
        <v>187219</v>
      </c>
      <c r="D10" s="11">
        <v>12740</v>
      </c>
      <c r="E10" s="11">
        <v>13033</v>
      </c>
      <c r="F10" s="11">
        <f t="shared" si="5"/>
        <v>37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186595</v>
      </c>
      <c r="C11" s="11">
        <v>185831</v>
      </c>
      <c r="D11" s="11">
        <v>12819</v>
      </c>
      <c r="E11" s="11">
        <v>12744</v>
      </c>
      <c r="F11" s="11">
        <f t="shared" si="5"/>
        <v>-839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187267</v>
      </c>
      <c r="C12" s="11">
        <v>187334</v>
      </c>
      <c r="D12" s="11">
        <v>12093</v>
      </c>
      <c r="E12" s="11">
        <v>13033</v>
      </c>
      <c r="F12" s="11">
        <f t="shared" si="5"/>
        <v>1007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187870</v>
      </c>
      <c r="C13" s="11">
        <v>185482</v>
      </c>
      <c r="D13" s="11">
        <v>13082</v>
      </c>
      <c r="E13" s="11">
        <v>13033</v>
      </c>
      <c r="F13" s="11">
        <f t="shared" si="5"/>
        <v>-2437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182947</v>
      </c>
      <c r="C14" s="11">
        <v>187318</v>
      </c>
      <c r="D14" s="11">
        <v>13131</v>
      </c>
      <c r="E14" s="11">
        <v>13033</v>
      </c>
      <c r="F14" s="11">
        <f t="shared" si="5"/>
        <v>4273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187161</v>
      </c>
      <c r="C15" s="11">
        <v>186818</v>
      </c>
      <c r="D15" s="129">
        <v>13087</v>
      </c>
      <c r="E15" s="11">
        <v>13033</v>
      </c>
      <c r="F15" s="11">
        <f t="shared" si="5"/>
        <v>-397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188757</v>
      </c>
      <c r="C16" s="11">
        <v>187342</v>
      </c>
      <c r="D16" s="529">
        <v>14004</v>
      </c>
      <c r="E16" s="11">
        <v>13033</v>
      </c>
      <c r="F16" s="11">
        <f t="shared" si="5"/>
        <v>-2386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496">
        <f>+A45</f>
        <v>37296</v>
      </c>
      <c r="I23" s="11">
        <f>+B39</f>
        <v>1667188</v>
      </c>
      <c r="J23" s="11">
        <f>+C39</f>
        <v>1665988</v>
      </c>
      <c r="K23" s="11">
        <f>+D39</f>
        <v>116469</v>
      </c>
      <c r="L23" s="11">
        <f>+E39</f>
        <v>116355</v>
      </c>
      <c r="M23" s="42">
        <f>+J23-I23+L23-K23</f>
        <v>-1314</v>
      </c>
      <c r="N23" s="102">
        <f>+summary!G3</f>
        <v>2.06</v>
      </c>
      <c r="O23" s="498">
        <f>+N23*M23</f>
        <v>-2706.84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497">
        <f>SUM(M9:M23)</f>
        <v>88486</v>
      </c>
      <c r="N24" s="102"/>
      <c r="O24" s="102">
        <f>SUM(O9:O23)</f>
        <v>565409.5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/>
      <c r="C25" s="11"/>
      <c r="D25" s="11"/>
      <c r="E25" s="11"/>
      <c r="F25" s="11">
        <f t="shared" si="5"/>
        <v>0</v>
      </c>
      <c r="G25" s="306"/>
      <c r="H25" s="495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1667188</v>
      </c>
      <c r="C39" s="150">
        <f>SUM(C8:C38)</f>
        <v>1665988</v>
      </c>
      <c r="D39" s="150">
        <f>SUM(D8:D38)</f>
        <v>116469</v>
      </c>
      <c r="E39" s="150">
        <f>SUM(E8:E38)</f>
        <v>116355</v>
      </c>
      <c r="F39" s="11">
        <f t="shared" si="5"/>
        <v>-1314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90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37287</v>
      </c>
      <c r="B44" s="32"/>
      <c r="C44" s="460"/>
      <c r="D44" s="111"/>
      <c r="E44" s="460"/>
      <c r="F44" s="489">
        <v>18002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37296</v>
      </c>
      <c r="B45" s="32"/>
      <c r="C45" s="106"/>
      <c r="D45" s="106"/>
      <c r="E45" s="106"/>
      <c r="F45" s="24">
        <f>+F44+F39</f>
        <v>16688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288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37287</v>
      </c>
      <c r="B50" s="32"/>
      <c r="C50" s="32"/>
      <c r="D50" s="489">
        <v>409254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37296</v>
      </c>
      <c r="B51" s="32"/>
      <c r="C51" s="32"/>
      <c r="D51" s="349">
        <f>+F39*summary!G3</f>
        <v>-2706.84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406547.16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5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5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5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5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2002-02-04T17:10:29Z</cp:lastPrinted>
  <dcterms:created xsi:type="dcterms:W3CDTF">2000-03-28T16:52:23Z</dcterms:created>
  <dcterms:modified xsi:type="dcterms:W3CDTF">2014-09-03T14:23:07Z</dcterms:modified>
</cp:coreProperties>
</file>