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</bookViews>
  <sheets>
    <sheet name="monthly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0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D47" i="88" s="1"/>
  <c r="D48" i="88" s="1"/>
  <c r="D43" i="80" s="1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I5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G59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L8" i="74"/>
  <c r="D9" i="74"/>
  <c r="J9" i="74"/>
  <c r="L9" i="74"/>
  <c r="M9" i="74"/>
  <c r="D10" i="74"/>
  <c r="J10" i="74"/>
  <c r="D11" i="74"/>
  <c r="H11" i="74"/>
  <c r="J11" i="74"/>
  <c r="L11" i="74"/>
  <c r="D12" i="74"/>
  <c r="D37" i="74" s="1"/>
  <c r="H12" i="74"/>
  <c r="J12" i="74"/>
  <c r="L12" i="74" s="1"/>
  <c r="D13" i="74"/>
  <c r="J13" i="74"/>
  <c r="L13" i="74"/>
  <c r="D14" i="74"/>
  <c r="J14" i="74"/>
  <c r="L14" i="74" s="1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J19" i="74" s="1"/>
  <c r="C37" i="74"/>
  <c r="I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12" i="78" s="1"/>
  <c r="D23" i="78" s="1"/>
  <c r="D24" i="78" s="1"/>
  <c r="D16" i="80" s="1"/>
  <c r="D7" i="78"/>
  <c r="D8" i="78"/>
  <c r="D9" i="78"/>
  <c r="D10" i="78"/>
  <c r="D11" i="78"/>
  <c r="A22" i="78"/>
  <c r="A24" i="78"/>
  <c r="D6" i="79"/>
  <c r="D37" i="79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N5" i="13"/>
  <c r="F6" i="13"/>
  <c r="I6" i="13"/>
  <c r="J6" i="13"/>
  <c r="K6" i="13"/>
  <c r="M6" i="13"/>
  <c r="N6" i="13"/>
  <c r="F7" i="13"/>
  <c r="I7" i="13"/>
  <c r="K7" i="13" s="1"/>
  <c r="M7" i="13" s="1"/>
  <c r="J7" i="13"/>
  <c r="N7" i="13"/>
  <c r="F8" i="13"/>
  <c r="I8" i="13"/>
  <c r="J8" i="13"/>
  <c r="K8" i="13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D47" i="13" s="1"/>
  <c r="D48" i="13" s="1"/>
  <c r="D27" i="80" s="1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37" i="87" s="1"/>
  <c r="D47" i="87" s="1"/>
  <c r="D48" i="87" s="1"/>
  <c r="D42" i="80" s="1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H35" i="73"/>
  <c r="I35" i="73"/>
  <c r="C36" i="73"/>
  <c r="I36" i="73"/>
  <c r="C77" i="20" s="1"/>
  <c r="C37" i="73"/>
  <c r="F39" i="73"/>
  <c r="H41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3" i="73"/>
  <c r="B75" i="73"/>
  <c r="C75" i="73"/>
  <c r="B76" i="73"/>
  <c r="C76" i="73"/>
  <c r="B77" i="73"/>
  <c r="B78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8" i="86"/>
  <c r="A46" i="86"/>
  <c r="A47" i="86"/>
  <c r="D6" i="85"/>
  <c r="D7" i="85"/>
  <c r="D8" i="85"/>
  <c r="D9" i="85"/>
  <c r="D10" i="85"/>
  <c r="D11" i="85"/>
  <c r="D12" i="85"/>
  <c r="D13" i="85"/>
  <c r="D37" i="85" s="1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5" i="20"/>
  <c r="B18" i="20" s="1"/>
  <c r="J15" i="20"/>
  <c r="B17" i="20"/>
  <c r="B31" i="20"/>
  <c r="G39" i="20" s="1"/>
  <c r="E38" i="20"/>
  <c r="E39" i="20"/>
  <c r="H39" i="20"/>
  <c r="G40" i="20"/>
  <c r="C73" i="20" s="1"/>
  <c r="H40" i="20"/>
  <c r="B46" i="20"/>
  <c r="C74" i="20"/>
  <c r="B75" i="20"/>
  <c r="C75" i="20"/>
  <c r="B76" i="20"/>
  <c r="C76" i="20"/>
  <c r="B79" i="20"/>
  <c r="C79" i="20"/>
  <c r="B80" i="20"/>
  <c r="C80" i="20"/>
  <c r="B81" i="20"/>
  <c r="C81" i="20"/>
  <c r="B82" i="20"/>
  <c r="C82" i="20"/>
  <c r="H5" i="11"/>
  <c r="H6" i="11"/>
  <c r="H7" i="11"/>
  <c r="H8" i="11"/>
  <c r="AB8" i="11"/>
  <c r="AN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7" i="11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/>
  <c r="F12" i="5"/>
  <c r="O12" i="5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C5" i="94"/>
  <c r="C6" i="94"/>
  <c r="C7" i="94"/>
  <c r="C8" i="94"/>
  <c r="C9" i="94"/>
  <c r="C10" i="94"/>
  <c r="C11" i="94"/>
  <c r="C12" i="94"/>
  <c r="C13" i="94"/>
  <c r="C14" i="94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9" i="94"/>
  <c r="C30" i="94"/>
  <c r="C31" i="94"/>
  <c r="C32" i="94"/>
  <c r="C33" i="94"/>
  <c r="C34" i="94"/>
  <c r="C35" i="94"/>
  <c r="C37" i="94"/>
  <c r="C38" i="94"/>
  <c r="C39" i="94"/>
  <c r="C40" i="94"/>
  <c r="C41" i="94"/>
  <c r="C42" i="94"/>
  <c r="C45" i="94"/>
  <c r="B46" i="94"/>
  <c r="H3" i="67"/>
  <c r="H4" i="67"/>
  <c r="H5" i="67"/>
  <c r="H6" i="67"/>
  <c r="H7" i="67"/>
  <c r="H8" i="67"/>
  <c r="H9" i="67"/>
  <c r="H10" i="67"/>
  <c r="N10" i="67"/>
  <c r="P10" i="67"/>
  <c r="U10" i="67"/>
  <c r="W10" i="67" s="1"/>
  <c r="H11" i="67"/>
  <c r="L11" i="67"/>
  <c r="N11" i="67" s="1"/>
  <c r="P11" i="67"/>
  <c r="P16" i="67" s="1"/>
  <c r="U11" i="67"/>
  <c r="W11" i="67"/>
  <c r="H12" i="67"/>
  <c r="L12" i="67"/>
  <c r="N12" i="67"/>
  <c r="P12" i="67" s="1"/>
  <c r="U12" i="67"/>
  <c r="W12" i="67"/>
  <c r="H13" i="67"/>
  <c r="L13" i="67"/>
  <c r="N13" i="67"/>
  <c r="P13" i="67" s="1"/>
  <c r="U13" i="67"/>
  <c r="W13" i="67"/>
  <c r="H14" i="67"/>
  <c r="N14" i="67"/>
  <c r="P14" i="67" s="1"/>
  <c r="U14" i="67"/>
  <c r="H15" i="67"/>
  <c r="U15" i="67"/>
  <c r="H16" i="67"/>
  <c r="U16" i="67"/>
  <c r="H17" i="67"/>
  <c r="H18" i="67"/>
  <c r="H19" i="67"/>
  <c r="H20" i="67"/>
  <c r="I20" i="67"/>
  <c r="J20" i="67" s="1"/>
  <c r="H21" i="67"/>
  <c r="H22" i="67"/>
  <c r="H23" i="67"/>
  <c r="H24" i="67"/>
  <c r="I24" i="67"/>
  <c r="J24" i="67"/>
  <c r="J25" i="67" s="1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H37" i="67"/>
  <c r="A43" i="67"/>
  <c r="A44" i="67"/>
  <c r="F44" i="67"/>
  <c r="F45" i="67" s="1"/>
  <c r="H45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M23" i="77" s="1"/>
  <c r="D17" i="77"/>
  <c r="K17" i="77"/>
  <c r="M17" i="77"/>
  <c r="D18" i="77"/>
  <c r="K18" i="77"/>
  <c r="M18" i="77" s="1"/>
  <c r="D19" i="77"/>
  <c r="K19" i="77"/>
  <c r="M19" i="77" s="1"/>
  <c r="D20" i="77"/>
  <c r="K20" i="77"/>
  <c r="M20" i="77" s="1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G5" i="7" s="1"/>
  <c r="F6" i="7"/>
  <c r="Z6" i="7"/>
  <c r="AD6" i="7"/>
  <c r="AF6" i="7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7" i="7"/>
  <c r="Z7" i="7"/>
  <c r="AD7" i="7" s="1"/>
  <c r="AF7" i="7"/>
  <c r="F8" i="7"/>
  <c r="Z8" i="7"/>
  <c r="AD8" i="7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F36" i="7" s="1"/>
  <c r="Z12" i="7"/>
  <c r="AD12" i="7" s="1"/>
  <c r="AF12" i="7"/>
  <c r="F13" i="7"/>
  <c r="Z13" i="7"/>
  <c r="AD13" i="7" s="1"/>
  <c r="AF13" i="7" s="1"/>
  <c r="F14" i="7"/>
  <c r="Z14" i="7"/>
  <c r="AD14" i="7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/>
  <c r="F18" i="7"/>
  <c r="AI18" i="7"/>
  <c r="F19" i="7"/>
  <c r="Z19" i="7"/>
  <c r="AD19" i="7"/>
  <c r="AF19" i="7" s="1"/>
  <c r="AH19" i="7" s="1"/>
  <c r="AH20" i="7" s="1"/>
  <c r="AG19" i="7"/>
  <c r="AG20" i="7" s="1"/>
  <c r="AI19" i="7"/>
  <c r="F20" i="7"/>
  <c r="Z20" i="7"/>
  <c r="AD20" i="7" s="1"/>
  <c r="AF20" i="7"/>
  <c r="F21" i="7"/>
  <c r="Z21" i="7"/>
  <c r="AD21" i="7" s="1"/>
  <c r="AF21" i="7" s="1"/>
  <c r="AG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 s="1"/>
  <c r="R19" i="9" s="1"/>
  <c r="R22" i="9" s="1"/>
  <c r="H5" i="9"/>
  <c r="P5" i="9"/>
  <c r="R5" i="9"/>
  <c r="H6" i="9"/>
  <c r="P6" i="9"/>
  <c r="P19" i="9" s="1"/>
  <c r="R6" i="9"/>
  <c r="H7" i="9"/>
  <c r="N7" i="9"/>
  <c r="P7" i="9"/>
  <c r="R7" i="9" s="1"/>
  <c r="H8" i="9"/>
  <c r="H35" i="9" s="1"/>
  <c r="P8" i="9"/>
  <c r="R8" i="9" s="1"/>
  <c r="H9" i="9"/>
  <c r="N9" i="9"/>
  <c r="P9" i="9" s="1"/>
  <c r="R9" i="9"/>
  <c r="H10" i="9"/>
  <c r="P10" i="9"/>
  <c r="R10" i="9"/>
  <c r="H11" i="9"/>
  <c r="P11" i="9"/>
  <c r="R11" i="9" s="1"/>
  <c r="H12" i="9"/>
  <c r="P12" i="9"/>
  <c r="R12" i="9"/>
  <c r="H13" i="9"/>
  <c r="P13" i="9"/>
  <c r="R13" i="9"/>
  <c r="H14" i="9"/>
  <c r="P14" i="9"/>
  <c r="R14" i="9" s="1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V16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N28" i="15"/>
  <c r="AN39" i="15" s="1"/>
  <c r="B102" i="15" s="1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K23" i="15" s="1"/>
  <c r="E39" i="15"/>
  <c r="L23" i="15" s="1"/>
  <c r="AD39" i="15"/>
  <c r="AE39" i="15"/>
  <c r="AF39" i="15"/>
  <c r="AF45" i="15" s="1"/>
  <c r="AH39" i="15"/>
  <c r="AL39" i="15"/>
  <c r="AM39" i="15"/>
  <c r="AP39" i="15"/>
  <c r="AQ39" i="15"/>
  <c r="AR39" i="15"/>
  <c r="AR45" i="15" s="1"/>
  <c r="AT39" i="15"/>
  <c r="F44" i="15"/>
  <c r="A50" i="15"/>
  <c r="A51" i="15"/>
  <c r="AH52" i="15"/>
  <c r="AH54" i="15"/>
  <c r="F86" i="15"/>
  <c r="K86" i="15"/>
  <c r="F87" i="15"/>
  <c r="K87" i="15"/>
  <c r="F88" i="15"/>
  <c r="K88" i="15"/>
  <c r="K114" i="15" s="1"/>
  <c r="F89" i="15"/>
  <c r="F101" i="15" s="1"/>
  <c r="C101" i="15" s="1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F126" i="15"/>
  <c r="F127" i="15"/>
  <c r="F128" i="15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C166" i="15"/>
  <c r="C168" i="15"/>
  <c r="C174" i="15" s="1"/>
  <c r="F169" i="15"/>
  <c r="F170" i="15"/>
  <c r="F171" i="15"/>
  <c r="F172" i="15"/>
  <c r="F173" i="15"/>
  <c r="B174" i="15"/>
  <c r="C175" i="15"/>
  <c r="B176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37" i="92" s="1"/>
  <c r="D47" i="92" s="1"/>
  <c r="D48" i="92" s="1"/>
  <c r="D44" i="80" s="1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D39" i="92"/>
  <c r="A46" i="92"/>
  <c r="A47" i="92"/>
  <c r="G3" i="63"/>
  <c r="J3" i="63"/>
  <c r="G4" i="63"/>
  <c r="G5" i="63"/>
  <c r="D38" i="7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9" i="63"/>
  <c r="D40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B84" i="63"/>
  <c r="B85" i="63"/>
  <c r="D6" i="90"/>
  <c r="D7" i="90"/>
  <c r="D8" i="90"/>
  <c r="D9" i="90"/>
  <c r="D10" i="90"/>
  <c r="D11" i="90"/>
  <c r="D12" i="90"/>
  <c r="D13" i="90"/>
  <c r="D14" i="90"/>
  <c r="D15" i="90"/>
  <c r="D37" i="90" s="1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 s="1"/>
  <c r="J7" i="2"/>
  <c r="P7" i="2"/>
  <c r="R7" i="2"/>
  <c r="J8" i="2"/>
  <c r="P8" i="2"/>
  <c r="J9" i="2"/>
  <c r="P9" i="2"/>
  <c r="R9" i="2"/>
  <c r="J10" i="2"/>
  <c r="P10" i="2"/>
  <c r="R10" i="2" s="1"/>
  <c r="J11" i="2"/>
  <c r="P11" i="2"/>
  <c r="R11" i="2" s="1"/>
  <c r="J12" i="2"/>
  <c r="P12" i="2"/>
  <c r="R12" i="2"/>
  <c r="J13" i="2"/>
  <c r="P13" i="2"/>
  <c r="R13" i="2"/>
  <c r="J14" i="2"/>
  <c r="P14" i="2"/>
  <c r="R14" i="2" s="1"/>
  <c r="J15" i="2"/>
  <c r="P15" i="2"/>
  <c r="R15" i="2" s="1"/>
  <c r="J16" i="2"/>
  <c r="P16" i="2"/>
  <c r="R16" i="2"/>
  <c r="J17" i="2"/>
  <c r="N17" i="2"/>
  <c r="P17" i="2" s="1"/>
  <c r="R17" i="2" s="1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A48" i="83"/>
  <c r="A49" i="83"/>
  <c r="B42" i="94" l="1"/>
  <c r="D47" i="90"/>
  <c r="D48" i="90" s="1"/>
  <c r="D14" i="80" s="1"/>
  <c r="AV30" i="15"/>
  <c r="AU39" i="15"/>
  <c r="B39" i="94"/>
  <c r="D47" i="85"/>
  <c r="D48" i="85" s="1"/>
  <c r="D38" i="80" s="1"/>
  <c r="M5" i="13"/>
  <c r="K13" i="13"/>
  <c r="D47" i="79"/>
  <c r="D48" i="79" s="1"/>
  <c r="D13" i="80" s="1"/>
  <c r="B33" i="94"/>
  <c r="R8" i="2"/>
  <c r="S12" i="2"/>
  <c r="F35" i="6"/>
  <c r="D41" i="81"/>
  <c r="B43" i="94"/>
  <c r="D41" i="92"/>
  <c r="F102" i="15"/>
  <c r="F103" i="15" s="1"/>
  <c r="B103" i="15"/>
  <c r="B105" i="15" s="1"/>
  <c r="F105" i="15" s="1"/>
  <c r="D46" i="74"/>
  <c r="D47" i="74" s="1"/>
  <c r="D12" i="80" s="1"/>
  <c r="B29" i="94"/>
  <c r="F39" i="20"/>
  <c r="F40" i="20" s="1"/>
  <c r="B18" i="94"/>
  <c r="B16" i="94"/>
  <c r="D37" i="76"/>
  <c r="B13" i="94"/>
  <c r="D46" i="16"/>
  <c r="D47" i="16" s="1"/>
  <c r="D35" i="80" s="1"/>
  <c r="AN45" i="15"/>
  <c r="H34" i="67"/>
  <c r="J35" i="2"/>
  <c r="D38" i="79"/>
  <c r="D39" i="79" s="1"/>
  <c r="D41" i="79" s="1"/>
  <c r="F38" i="87"/>
  <c r="F39" i="87" s="1"/>
  <c r="F41" i="87" s="1"/>
  <c r="F40" i="18"/>
  <c r="J40" i="17"/>
  <c r="N38" i="93"/>
  <c r="F37" i="13"/>
  <c r="F38" i="13" s="1"/>
  <c r="F41" i="13" s="1"/>
  <c r="F38" i="22"/>
  <c r="F39" i="22" s="1"/>
  <c r="F41" i="22" s="1"/>
  <c r="D38" i="74"/>
  <c r="H36" i="9"/>
  <c r="H37" i="9" s="1"/>
  <c r="H39" i="9" s="1"/>
  <c r="P38" i="88"/>
  <c r="P39" i="88" s="1"/>
  <c r="P41" i="88" s="1"/>
  <c r="D13" i="78"/>
  <c r="D14" i="78" s="1"/>
  <c r="J36" i="70"/>
  <c r="J37" i="70" s="1"/>
  <c r="J41" i="70" s="1"/>
  <c r="D19" i="65"/>
  <c r="D20" i="65" s="1"/>
  <c r="D24" i="65" s="1"/>
  <c r="D18" i="64"/>
  <c r="D19" i="64" s="1"/>
  <c r="D23" i="64" s="1"/>
  <c r="D38" i="90"/>
  <c r="D39" i="90" s="1"/>
  <c r="D41" i="90" s="1"/>
  <c r="J38" i="83"/>
  <c r="J39" i="83" s="1"/>
  <c r="J43" i="83" s="1"/>
  <c r="G58" i="80"/>
  <c r="B32" i="20"/>
  <c r="C32" i="20" s="1"/>
  <c r="C33" i="20" s="1"/>
  <c r="D38" i="77"/>
  <c r="D39" i="77" s="1"/>
  <c r="D41" i="77" s="1"/>
  <c r="N38" i="91"/>
  <c r="G4" i="80"/>
  <c r="F40" i="71"/>
  <c r="AR51" i="15"/>
  <c r="AR48" i="15"/>
  <c r="N37" i="91"/>
  <c r="AH56" i="15"/>
  <c r="AH57" i="15" s="1"/>
  <c r="AH21" i="7"/>
  <c r="AI21" i="7" s="1"/>
  <c r="AI20" i="7"/>
  <c r="E39" i="11"/>
  <c r="B75" i="80" s="1"/>
  <c r="C75" i="80" s="1"/>
  <c r="E45" i="11"/>
  <c r="F45" i="11" s="1"/>
  <c r="AV39" i="15"/>
  <c r="R21" i="2"/>
  <c r="B9" i="94"/>
  <c r="E47" i="9"/>
  <c r="E48" i="9" s="1"/>
  <c r="D32" i="80" s="1"/>
  <c r="B30" i="94"/>
  <c r="D46" i="75"/>
  <c r="D47" i="75" s="1"/>
  <c r="D47" i="80" s="1"/>
  <c r="J37" i="83"/>
  <c r="F36" i="5"/>
  <c r="B25" i="94"/>
  <c r="D47" i="70"/>
  <c r="D48" i="70" s="1"/>
  <c r="D34" i="80" s="1"/>
  <c r="C39" i="11"/>
  <c r="C45" i="11"/>
  <c r="C46" i="11" s="1"/>
  <c r="D37" i="86"/>
  <c r="F39" i="71"/>
  <c r="D39" i="19"/>
  <c r="D41" i="19" s="1"/>
  <c r="D43" i="19" s="1"/>
  <c r="AI39" i="15"/>
  <c r="AJ28" i="15"/>
  <c r="AJ39" i="15" s="1"/>
  <c r="AJ45" i="15" s="1"/>
  <c r="B15" i="94"/>
  <c r="D39" i="75"/>
  <c r="D41" i="75" s="1"/>
  <c r="AC16" i="11"/>
  <c r="AC8" i="11"/>
  <c r="J35" i="73"/>
  <c r="J36" i="73" s="1"/>
  <c r="F36" i="73"/>
  <c r="F37" i="73" s="1"/>
  <c r="F35" i="73"/>
  <c r="D21" i="8"/>
  <c r="D25" i="8" s="1"/>
  <c r="C180" i="15"/>
  <c r="C176" i="15"/>
  <c r="F176" i="15" s="1"/>
  <c r="F133" i="15"/>
  <c r="C133" i="15" s="1"/>
  <c r="E37" i="73"/>
  <c r="E38" i="73" s="1"/>
  <c r="C38" i="73"/>
  <c r="C40" i="73" s="1"/>
  <c r="D39" i="69"/>
  <c r="G3" i="80"/>
  <c r="E48" i="7" s="1"/>
  <c r="E49" i="7" s="1"/>
  <c r="D76" i="80" s="1"/>
  <c r="G57" i="80"/>
  <c r="N16" i="67"/>
  <c r="AF20" i="11"/>
  <c r="I40" i="20"/>
  <c r="I57" i="20" s="1"/>
  <c r="N10" i="13"/>
  <c r="D18" i="65"/>
  <c r="D19" i="8"/>
  <c r="I114" i="15"/>
  <c r="N23" i="15"/>
  <c r="D17" i="64"/>
  <c r="N37" i="93"/>
  <c r="D35" i="28"/>
  <c r="AF5" i="7"/>
  <c r="AH5" i="7" s="1"/>
  <c r="D37" i="77"/>
  <c r="B12" i="94"/>
  <c r="AL48" i="11"/>
  <c r="B95" i="63"/>
  <c r="P21" i="2"/>
  <c r="P23" i="2" s="1"/>
  <c r="F37" i="22"/>
  <c r="F39" i="15"/>
  <c r="J23" i="15"/>
  <c r="M23" i="15" s="1"/>
  <c r="M24" i="15" s="1"/>
  <c r="B41" i="94"/>
  <c r="AP34" i="11"/>
  <c r="AF34" i="11"/>
  <c r="L10" i="74"/>
  <c r="M10" i="74" s="1"/>
  <c r="M11" i="74" s="1"/>
  <c r="M12" i="74" s="1"/>
  <c r="M13" i="74" s="1"/>
  <c r="M14" i="74" s="1"/>
  <c r="J17" i="74"/>
  <c r="J24" i="74" s="1"/>
  <c r="F39" i="18"/>
  <c r="F41" i="7"/>
  <c r="J39" i="17"/>
  <c r="D39" i="72"/>
  <c r="G5" i="80"/>
  <c r="D37" i="81"/>
  <c r="D37" i="89"/>
  <c r="D47" i="89" s="1"/>
  <c r="D48" i="89" s="1"/>
  <c r="D37" i="80" s="1"/>
  <c r="H36" i="11"/>
  <c r="L17" i="74"/>
  <c r="D40" i="12"/>
  <c r="D38" i="85"/>
  <c r="D39" i="85" s="1"/>
  <c r="D41" i="85" s="1"/>
  <c r="B19" i="20"/>
  <c r="C19" i="20" s="1"/>
  <c r="C20" i="20" s="1"/>
  <c r="F39" i="5"/>
  <c r="D37" i="16"/>
  <c r="D38" i="16" s="1"/>
  <c r="D40" i="16" s="1"/>
  <c r="B47" i="20"/>
  <c r="C47" i="20" s="1"/>
  <c r="C48" i="20" s="1"/>
  <c r="D38" i="89"/>
  <c r="D39" i="89" s="1"/>
  <c r="W16" i="67"/>
  <c r="D35" i="68"/>
  <c r="D38" i="69"/>
  <c r="AF38" i="11"/>
  <c r="B20" i="80" l="1"/>
  <c r="B32" i="63"/>
  <c r="C32" i="63" s="1"/>
  <c r="B11" i="94"/>
  <c r="D51" i="15"/>
  <c r="D52" i="15" s="1"/>
  <c r="F45" i="15"/>
  <c r="D49" i="71"/>
  <c r="D50" i="71" s="1"/>
  <c r="D46" i="80" s="1"/>
  <c r="B27" i="94"/>
  <c r="D47" i="22"/>
  <c r="D48" i="22" s="1"/>
  <c r="D29" i="80" s="1"/>
  <c r="B26" i="94"/>
  <c r="B27" i="80"/>
  <c r="C27" i="80" s="1"/>
  <c r="E27" i="80" s="1"/>
  <c r="B9" i="63"/>
  <c r="C9" i="63" s="1"/>
  <c r="B22" i="94"/>
  <c r="D29" i="64"/>
  <c r="D30" i="64" s="1"/>
  <c r="D33" i="80" s="1"/>
  <c r="D47" i="86"/>
  <c r="D48" i="86" s="1"/>
  <c r="D41" i="80" s="1"/>
  <c r="B40" i="94"/>
  <c r="B26" i="80"/>
  <c r="B27" i="63"/>
  <c r="C27" i="63" s="1"/>
  <c r="N39" i="93"/>
  <c r="N43" i="93" s="1"/>
  <c r="F40" i="5"/>
  <c r="B35" i="94"/>
  <c r="D46" i="81"/>
  <c r="D47" i="81" s="1"/>
  <c r="D81" i="80" s="1"/>
  <c r="D39" i="86"/>
  <c r="D41" i="86" s="1"/>
  <c r="O23" i="15"/>
  <c r="O24" i="15" s="1"/>
  <c r="B47" i="80"/>
  <c r="C47" i="80" s="1"/>
  <c r="E47" i="80" s="1"/>
  <c r="B14" i="63"/>
  <c r="C14" i="63" s="1"/>
  <c r="D68" i="80"/>
  <c r="F46" i="11"/>
  <c r="D75" i="80" s="1"/>
  <c r="N39" i="91"/>
  <c r="N43" i="91" s="1"/>
  <c r="B34" i="80"/>
  <c r="C34" i="80" s="1"/>
  <c r="E34" i="80" s="1"/>
  <c r="B46" i="63"/>
  <c r="C46" i="63" s="1"/>
  <c r="J41" i="17"/>
  <c r="J43" i="17" s="1"/>
  <c r="B76" i="80"/>
  <c r="C76" i="80" s="1"/>
  <c r="E76" i="80" s="1"/>
  <c r="C47" i="63"/>
  <c r="B47" i="63" s="1"/>
  <c r="B5" i="94"/>
  <c r="D47" i="2"/>
  <c r="D48" i="2" s="1"/>
  <c r="J40" i="2"/>
  <c r="D48" i="18"/>
  <c r="D49" i="18" s="1"/>
  <c r="D28" i="80" s="1"/>
  <c r="B20" i="94"/>
  <c r="F38" i="73"/>
  <c r="E40" i="73"/>
  <c r="B14" i="80"/>
  <c r="C14" i="80" s="1"/>
  <c r="E14" i="80" s="1"/>
  <c r="B51" i="63"/>
  <c r="C51" i="63" s="1"/>
  <c r="B81" i="80"/>
  <c r="C81" i="80" s="1"/>
  <c r="E81" i="80" s="1"/>
  <c r="C30" i="63"/>
  <c r="B30" i="63" s="1"/>
  <c r="B44" i="94"/>
  <c r="D49" i="93"/>
  <c r="D50" i="93" s="1"/>
  <c r="D45" i="80" s="1"/>
  <c r="F41" i="71"/>
  <c r="F43" i="71" s="1"/>
  <c r="D46" i="6"/>
  <c r="D47" i="6" s="1"/>
  <c r="D67" i="80" s="1"/>
  <c r="F40" i="6"/>
  <c r="B8" i="94"/>
  <c r="B15" i="80"/>
  <c r="C15" i="80" s="1"/>
  <c r="B40" i="63"/>
  <c r="C40" i="63" s="1"/>
  <c r="D18" i="78"/>
  <c r="B34" i="94"/>
  <c r="F41" i="18"/>
  <c r="F43" i="18" s="1"/>
  <c r="D47" i="76"/>
  <c r="D48" i="76" s="1"/>
  <c r="D36" i="80" s="1"/>
  <c r="D39" i="76"/>
  <c r="B77" i="20"/>
  <c r="C73" i="73"/>
  <c r="D39" i="74"/>
  <c r="D41" i="74" s="1"/>
  <c r="K19" i="74"/>
  <c r="L19" i="74" s="1"/>
  <c r="L24" i="74" s="1"/>
  <c r="L26" i="74" s="1"/>
  <c r="B36" i="94"/>
  <c r="D41" i="89"/>
  <c r="M51" i="73"/>
  <c r="B6" i="94"/>
  <c r="F43" i="5"/>
  <c r="D49" i="5"/>
  <c r="D50" i="5" s="1"/>
  <c r="D83" i="80" s="1"/>
  <c r="B29" i="80"/>
  <c r="C29" i="80" s="1"/>
  <c r="B12" i="63"/>
  <c r="C12" i="63" s="1"/>
  <c r="N11" i="13"/>
  <c r="M13" i="13"/>
  <c r="B10" i="94"/>
  <c r="H39" i="11"/>
  <c r="C45" i="63" s="1"/>
  <c r="E75" i="80"/>
  <c r="B79" i="73"/>
  <c r="C72" i="20"/>
  <c r="C83" i="20" s="1"/>
  <c r="B18" i="63"/>
  <c r="C18" i="63" s="1"/>
  <c r="B35" i="80"/>
  <c r="C35" i="80" s="1"/>
  <c r="E35" i="80" s="1"/>
  <c r="D53" i="16"/>
  <c r="D42" i="72"/>
  <c r="B28" i="94"/>
  <c r="D48" i="72"/>
  <c r="D49" i="72" s="1"/>
  <c r="D82" i="80" s="1"/>
  <c r="B14" i="94"/>
  <c r="D30" i="8"/>
  <c r="D31" i="8" s="1"/>
  <c r="D48" i="80" s="1"/>
  <c r="D52" i="88"/>
  <c r="B43" i="80"/>
  <c r="C43" i="80" s="1"/>
  <c r="E43" i="80" s="1"/>
  <c r="B15" i="63"/>
  <c r="C15" i="63" s="1"/>
  <c r="C103" i="15"/>
  <c r="AI5" i="7"/>
  <c r="AH6" i="7"/>
  <c r="B17" i="94"/>
  <c r="D49" i="19"/>
  <c r="D50" i="19" s="1"/>
  <c r="D20" i="80" s="1"/>
  <c r="B39" i="80"/>
  <c r="C39" i="80" s="1"/>
  <c r="B49" i="63"/>
  <c r="C49" i="63" s="1"/>
  <c r="D40" i="28"/>
  <c r="D46" i="28"/>
  <c r="D47" i="28" s="1"/>
  <c r="D69" i="80" s="1"/>
  <c r="B7" i="94"/>
  <c r="C78" i="20"/>
  <c r="K36" i="73"/>
  <c r="K49" i="73" s="1"/>
  <c r="I62" i="20" s="1"/>
  <c r="D30" i="80"/>
  <c r="B74" i="73"/>
  <c r="B81" i="73" s="1"/>
  <c r="H38" i="67"/>
  <c r="D44" i="67"/>
  <c r="D45" i="67" s="1"/>
  <c r="D80" i="80" s="1"/>
  <c r="D84" i="80" s="1"/>
  <c r="B23" i="94"/>
  <c r="C77" i="73"/>
  <c r="B74" i="20"/>
  <c r="C57" i="20"/>
  <c r="F51" i="73" s="1"/>
  <c r="B37" i="94"/>
  <c r="D49" i="83"/>
  <c r="D50" i="83" s="1"/>
  <c r="D39" i="80" s="1"/>
  <c r="D33" i="64"/>
  <c r="B33" i="80"/>
  <c r="C33" i="80" s="1"/>
  <c r="E33" i="80" s="1"/>
  <c r="B8" i="63"/>
  <c r="C79" i="73"/>
  <c r="B72" i="20"/>
  <c r="B48" i="80"/>
  <c r="C48" i="80" s="1"/>
  <c r="E48" i="80" s="1"/>
  <c r="B16" i="63"/>
  <c r="C16" i="63" s="1"/>
  <c r="B68" i="80"/>
  <c r="C68" i="80" s="1"/>
  <c r="E68" i="80" s="1"/>
  <c r="B45" i="63"/>
  <c r="D48" i="69"/>
  <c r="D49" i="69" s="1"/>
  <c r="D22" i="80" s="1"/>
  <c r="B45" i="94"/>
  <c r="B13" i="63"/>
  <c r="C13" i="63" s="1"/>
  <c r="B38" i="80"/>
  <c r="C38" i="80" s="1"/>
  <c r="E38" i="80" s="1"/>
  <c r="D40" i="69"/>
  <c r="D42" i="69" s="1"/>
  <c r="B73" i="20"/>
  <c r="C78" i="73"/>
  <c r="B42" i="80"/>
  <c r="C42" i="80" s="1"/>
  <c r="E42" i="80" s="1"/>
  <c r="B43" i="63"/>
  <c r="C43" i="63" s="1"/>
  <c r="D40" i="68"/>
  <c r="B24" i="94"/>
  <c r="D46" i="68"/>
  <c r="D47" i="68" s="1"/>
  <c r="D66" i="80" s="1"/>
  <c r="B74" i="80"/>
  <c r="C74" i="80" s="1"/>
  <c r="C50" i="63"/>
  <c r="B50" i="63" s="1"/>
  <c r="B19" i="94"/>
  <c r="D48" i="17"/>
  <c r="D49" i="17" s="1"/>
  <c r="D31" i="80" s="1"/>
  <c r="D49" i="77"/>
  <c r="D50" i="77" s="1"/>
  <c r="D15" i="80" s="1"/>
  <c r="D17" i="80" s="1"/>
  <c r="B32" i="94"/>
  <c r="B21" i="94"/>
  <c r="D33" i="65"/>
  <c r="D34" i="65" s="1"/>
  <c r="D26" i="80" s="1"/>
  <c r="D46" i="12"/>
  <c r="D47" i="12" s="1"/>
  <c r="D74" i="80" s="1"/>
  <c r="B38" i="94"/>
  <c r="D49" i="91"/>
  <c r="D50" i="91" s="1"/>
  <c r="D40" i="80" s="1"/>
  <c r="B32" i="80"/>
  <c r="C32" i="80" s="1"/>
  <c r="E32" i="80" s="1"/>
  <c r="B25" i="63"/>
  <c r="C25" i="63" s="1"/>
  <c r="B13" i="80"/>
  <c r="C13" i="80" s="1"/>
  <c r="E13" i="80" s="1"/>
  <c r="B24" i="63"/>
  <c r="C24" i="63" s="1"/>
  <c r="B44" i="80"/>
  <c r="C44" i="80" s="1"/>
  <c r="E44" i="80" s="1"/>
  <c r="D51" i="92"/>
  <c r="B21" i="63"/>
  <c r="C21" i="63" s="1"/>
  <c r="D31" i="78" l="1"/>
  <c r="B39" i="63"/>
  <c r="B16" i="80"/>
  <c r="C16" i="80" s="1"/>
  <c r="E16" i="80" s="1"/>
  <c r="D49" i="80"/>
  <c r="C21" i="80"/>
  <c r="C20" i="63"/>
  <c r="B20" i="63" s="1"/>
  <c r="B41" i="80"/>
  <c r="C41" i="80" s="1"/>
  <c r="E41" i="80" s="1"/>
  <c r="B31" i="63"/>
  <c r="C31" i="63" s="1"/>
  <c r="B83" i="80"/>
  <c r="C83" i="80" s="1"/>
  <c r="E83" i="80" s="1"/>
  <c r="C17" i="63"/>
  <c r="B17" i="63" s="1"/>
  <c r="C81" i="73"/>
  <c r="C82" i="73" s="1"/>
  <c r="E15" i="80"/>
  <c r="B73" i="80"/>
  <c r="C19" i="63"/>
  <c r="B19" i="63" s="1"/>
  <c r="AI6" i="7"/>
  <c r="AH7" i="7"/>
  <c r="B66" i="80"/>
  <c r="C35" i="63"/>
  <c r="B35" i="63" s="1"/>
  <c r="B40" i="80"/>
  <c r="C40" i="80" s="1"/>
  <c r="E40" i="80" s="1"/>
  <c r="B29" i="63"/>
  <c r="C29" i="63" s="1"/>
  <c r="D73" i="80"/>
  <c r="D77" i="80" s="1"/>
  <c r="F53" i="15"/>
  <c r="D70" i="80"/>
  <c r="D86" i="80" s="1"/>
  <c r="D36" i="8"/>
  <c r="B12" i="80"/>
  <c r="D55" i="74"/>
  <c r="B33" i="63"/>
  <c r="C33" i="63" s="1"/>
  <c r="C8" i="63"/>
  <c r="B82" i="80"/>
  <c r="C82" i="80" s="1"/>
  <c r="E82" i="80" s="1"/>
  <c r="C26" i="63"/>
  <c r="B26" i="63" s="1"/>
  <c r="M53" i="73"/>
  <c r="B31" i="94"/>
  <c r="B47" i="94" s="1"/>
  <c r="D41" i="76"/>
  <c r="B67" i="80"/>
  <c r="C67" i="80" s="1"/>
  <c r="E67" i="80" s="1"/>
  <c r="C42" i="63"/>
  <c r="B42" i="63" s="1"/>
  <c r="B22" i="80"/>
  <c r="C22" i="80" s="1"/>
  <c r="E22" i="80" s="1"/>
  <c r="B52" i="63"/>
  <c r="C52" i="63" s="1"/>
  <c r="E29" i="80"/>
  <c r="B31" i="80"/>
  <c r="C31" i="80" s="1"/>
  <c r="E31" i="80" s="1"/>
  <c r="B10" i="63"/>
  <c r="C10" i="63" s="1"/>
  <c r="C44" i="63"/>
  <c r="B44" i="63" s="1"/>
  <c r="B69" i="80"/>
  <c r="C69" i="80" s="1"/>
  <c r="E69" i="80" s="1"/>
  <c r="F40" i="73"/>
  <c r="F49" i="73" s="1"/>
  <c r="C61" i="20" s="1"/>
  <c r="C62" i="20" s="1"/>
  <c r="C74" i="73"/>
  <c r="B78" i="20"/>
  <c r="B83" i="20" s="1"/>
  <c r="B45" i="80"/>
  <c r="C45" i="80" s="1"/>
  <c r="E45" i="80" s="1"/>
  <c r="B22" i="63"/>
  <c r="C22" i="63" s="1"/>
  <c r="E39" i="80"/>
  <c r="C26" i="80"/>
  <c r="E74" i="80"/>
  <c r="B80" i="80"/>
  <c r="C28" i="63"/>
  <c r="B28" i="63" s="1"/>
  <c r="B41" i="63"/>
  <c r="C41" i="63" s="1"/>
  <c r="B37" i="80"/>
  <c r="C37" i="80" s="1"/>
  <c r="E37" i="80" s="1"/>
  <c r="B28" i="80"/>
  <c r="C28" i="80" s="1"/>
  <c r="E28" i="80" s="1"/>
  <c r="B11" i="63"/>
  <c r="C11" i="63" s="1"/>
  <c r="B46" i="80"/>
  <c r="C46" i="80" s="1"/>
  <c r="E46" i="80" s="1"/>
  <c r="B23" i="63"/>
  <c r="C23" i="63" s="1"/>
  <c r="C20" i="80"/>
  <c r="B48" i="63" l="1"/>
  <c r="C48" i="63" s="1"/>
  <c r="B30" i="80"/>
  <c r="E26" i="80"/>
  <c r="B36" i="80"/>
  <c r="C36" i="80" s="1"/>
  <c r="E36" i="80" s="1"/>
  <c r="B34" i="63"/>
  <c r="C34" i="63" s="1"/>
  <c r="C12" i="80"/>
  <c r="B17" i="80"/>
  <c r="C73" i="80"/>
  <c r="B77" i="80"/>
  <c r="B86" i="80" s="1"/>
  <c r="B21" i="80"/>
  <c r="B23" i="80" s="1"/>
  <c r="D21" i="80"/>
  <c r="E21" i="80"/>
  <c r="E20" i="80"/>
  <c r="E23" i="80" s="1"/>
  <c r="C23" i="80"/>
  <c r="C80" i="80"/>
  <c r="B84" i="80"/>
  <c r="B36" i="63"/>
  <c r="N13" i="63"/>
  <c r="C39" i="63"/>
  <c r="C66" i="80"/>
  <c r="B70" i="80"/>
  <c r="AH8" i="7"/>
  <c r="AI7" i="7"/>
  <c r="C36" i="63"/>
  <c r="F53" i="73"/>
  <c r="E66" i="80" l="1"/>
  <c r="C70" i="80"/>
  <c r="C86" i="80" s="1"/>
  <c r="B89" i="80" s="1"/>
  <c r="C17" i="80"/>
  <c r="C51" i="80" s="1"/>
  <c r="B90" i="80" s="1"/>
  <c r="E12" i="80"/>
  <c r="C53" i="63"/>
  <c r="C55" i="63" s="1"/>
  <c r="B53" i="63"/>
  <c r="B55" i="63" s="1"/>
  <c r="D23" i="80"/>
  <c r="D51" i="80" s="1"/>
  <c r="AI8" i="7"/>
  <c r="AH9" i="7"/>
  <c r="E73" i="80"/>
  <c r="E77" i="80" s="1"/>
  <c r="C77" i="80"/>
  <c r="C30" i="80"/>
  <c r="B49" i="80"/>
  <c r="E80" i="80"/>
  <c r="E84" i="80" s="1"/>
  <c r="C84" i="80"/>
  <c r="B51" i="80"/>
  <c r="E17" i="80" l="1"/>
  <c r="E51" i="80" s="1"/>
  <c r="AH10" i="7"/>
  <c r="AI9" i="7"/>
  <c r="E86" i="80"/>
  <c r="E70" i="80"/>
  <c r="E30" i="80"/>
  <c r="E49" i="80" s="1"/>
  <c r="C49" i="80"/>
  <c r="AH11" i="7" l="1"/>
  <c r="AI10" i="7"/>
  <c r="AH12" i="7" l="1"/>
  <c r="AI11" i="7"/>
  <c r="AH13" i="7" l="1"/>
  <c r="AI12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<sst xmlns="http://schemas.openxmlformats.org/spreadsheetml/2006/main" count="1059" uniqueCount="341">
  <si>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</si>
  <si>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</si>
  <si>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</si>
  <si>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</si>
  <si>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</si>
  <si>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</si>
  <si>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</si>
  <si>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</si>
  <si>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</si>
  <si>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</si>
  <si>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</si>
  <si>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</si>
  <si>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</si>
  <si>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</si>
  <si>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</si>
  <si>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</si>
  <si>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</si>
  <si>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</si>
  <si>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</si>
  <si>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</si>
  <si>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</si>
  <si>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</si>
  <si>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</si>
  <si>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</si>
  <si>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</si>
  <si>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</si>
  <si>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</si>
  <si>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</si>
  <si>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</si>
  <si>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</si>
  <si>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</si>
  <si>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</si>
  <si>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</si>
  <si>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</si>
  <si>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</si>
  <si>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</si>
  <si>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</si>
  <si>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</si>
  <si>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</si>
  <si>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</si>
  <si>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</si>
  <si>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</si>
  <si>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</si>
  <si>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</si>
  <si>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</si>
  <si>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</si>
  <si>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</si>
  <si>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</si>
  <si>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</si>
  <si>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</si>
  <si>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</si>
  <si>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</si>
  <si>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</si>
  <si>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</si>
  <si>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</si>
  <si>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</si>
  <si>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</si>
  <si>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</si>
  <si>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</si>
  <si>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</si>
  <si>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</si>
  <si>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</si>
  <si>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</si>
  <si>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</si>
  <si>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</si>
  <si>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</si>
  <si>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</si>
  <si>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</si>
  <si>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</si>
  <si>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</si>
  <si>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</si>
  <si>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</si>
  <si>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</si>
  <si>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</si>
  <si>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</si>
  <si>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</si>
  <si>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</si>
  <si>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</si>
  <si>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</si>
  <si>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</si>
  <si>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</si>
  <si>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</si>
  <si>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</si>
  <si>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</si>
  <si>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</si>
  <si>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</si>
  <si>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</si>
  <si>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</si>
  <si>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</si>
  <si>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</si>
  <si>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</si>
  <si>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</si>
  <si>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</si>
  <si>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</si>
  <si>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</si>
  <si>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</si>
  <si>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</si>
  <si>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</si>
  <si>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</si>
  <si>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</si>
  <si>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</si>
  <si>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</si>
  <si>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</si>
  <si>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</si>
  <si>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</si>
  <si>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</si>
  <si>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</si>
  <si>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</si>
  <si>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</si>
  <si>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</si>
  <si>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</si>
  <si>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</si>
  <si>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</si>
  <si>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</si>
  <si>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</si>
  <si>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</si>
  <si>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</si>
  <si>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</si>
  <si>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</si>
  <si>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</si>
  <si>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</si>
  <si>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</si>
  <si>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</si>
  <si>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</si>
  <si>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</si>
  <si>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</si>
  <si>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</si>
  <si>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</si>
  <si>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</si>
  <si>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</si>
  <si>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</si>
  <si>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</si>
  <si>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</si>
  <si>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</si>
  <si>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</si>
  <si>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</si>
  <si>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</si>
  <si>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</si>
  <si>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</si>
  <si>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</si>
  <si>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</si>
  <si>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</si>
  <si>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</si>
  <si>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</si>
  <si>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</si>
  <si>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</si>
  <si>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</si>
  <si>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</si>
  <si>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</si>
  <si>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</si>
  <si>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</si>
  <si>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</si>
  <si>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</si>
  <si>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</si>
  <si>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</si>
  <si>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</si>
  <si>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</si>
  <si>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</si>
  <si>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</si>
  <si>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</si>
  <si>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</si>
  <si>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</si>
  <si>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</si>
  <si>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</si>
  <si>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</si>
  <si>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</si>
  <si>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</si>
  <si>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</si>
  <si>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</si>
  <si>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</si>
  <si>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</si>
  <si>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</si>
  <si>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</si>
  <si>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</si>
  <si>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</si>
  <si>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</si>
  <si>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</si>
  <si>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</si>
  <si>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</si>
  <si>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</si>
  <si>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</si>
  <si>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</si>
  <si>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</si>
  <si>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</si>
  <si>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</si>
  <si>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</si>
  <si>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</si>
  <si>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</si>
  <si>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</si>
  <si>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</si>
  <si>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</si>
  <si>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</si>
  <si>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</si>
  <si>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</si>
  <si>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</si>
  <si>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</si>
  <si>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</si>
  <si>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</si>
  <si>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</si>
  <si>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</si>
  <si>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</si>
  <si>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</si>
  <si>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</si>
  <si>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</si>
  <si>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</si>
  <si>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</si>
  <si>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</si>
  <si>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</si>
  <si>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</si>
  <si>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</si>
  <si>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</si>
  <si>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</si>
  <si>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</si>
  <si>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</si>
  <si>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</si>
  <si>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</si>
  <si>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</si>
  <si>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</si>
  <si>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</si>
  <si>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</si>
  <si>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</si>
  <si>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</si>
  <si>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</si>
  <si>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</si>
  <si>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</si>
  <si>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</si>
  <si>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</si>
  <si>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</si>
  <si>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</si>
  <si>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</si>
  <si>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</si>
  <si>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</si>
  <si>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</si>
  <si>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</si>
  <si>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</si>
  <si>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</si>
  <si>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</si>
  <si>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</si>
  <si>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</si>
  <si>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</si>
  <si>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</si>
  <si>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</si>
  <si>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</si>
  <si>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</si>
  <si>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</si>
  <si>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</si>
  <si>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</si>
  <si>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</si>
  <si>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</si>
  <si>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</si>
  <si>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</si>
  <si>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</si>
  <si>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</si>
  <si>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</si>
  <si>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</si>
  <si>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</si>
  <si>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</si>
  <si>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</si>
  <si>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</si>
  <si>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</si>
  <si>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</si>
  <si>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</si>
  <si>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</si>
  <si>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</si>
  <si>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</si>
  <si>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</si>
  <si>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</si>
  <si>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</si>
  <si>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</si>
  <si>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</si>
  <si>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</si>
  <si>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</si>
  <si>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</si>
  <si>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</si>
  <si>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</si>
  <si>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</si>
  <si>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</si>
  <si>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</si>
  <si>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</si>
  <si>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</si>
  <si>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</si>
  <si>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</si>
  <si>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</si>
  <si>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</si>
  <si>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</si>
  <si>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</si>
  <si>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</si>
  <si>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</si>
  <si>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</si>
  <si>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</si>
  <si>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</si>
  <si>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</si>
  <si>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</si>
  <si>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</si>
  <si>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</si>
  <si>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</si>
  <si>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</si>
  <si>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</si>
  <si>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</si>
  <si>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</si>
  <si>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</si>
  <si>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</si>
  <si>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</si>
  <si>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</si>
  <si>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</si>
  <si>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</si>
  <si>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</si>
  <si>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</si>
  <si>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</si>
  <si>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</si>
  <si>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</si>
  <si>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</si>
  <si>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</si>
  <si>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</si>
  <si>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</si>
  <si>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</si>
  <si>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</si>
  <si>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</si>
  <si>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</si>
  <si>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</si>
  <si>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</si>
  <si>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</si>
  <si>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</si>
  <si>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</si>
  <si>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</si>
  <si>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</si>
  <si>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</si>
  <si>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</si>
  <si>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</si>
  <si>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</si>
  <si>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Citizens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</si>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</sst>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2.5299999999999998</v>
          </cell>
          <cell r="K39">
            <v>2.5299999999999998</v>
          </cell>
          <cell r="M39">
            <v>2.5299999999999998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abSelected="1" topLeftCell="A35" workbookViewId="0">
      <selection activeCell="B47" sqref="B47"/>
    </sheetView>
  </sheetViews>
  <sheetFormatPr defaultRowHeight="12.75" x14ac:dyDescent="0.2"/>
  <cols>
    <col min="1" max="1" width="15.42578125" bestFit="1" customWidth="1"/>
    <col min="2" max="2" width="15.42578125" style="251" bestFit="1" customWidth="1"/>
  </cols>
  <sheetData>
    <row r="2" spans="1:3" x14ac:dyDescent="0.2">
      <c r="B2" s="140" t="s">
        <v>339</v>
      </c>
    </row>
    <row r="3" spans="1:3" x14ac:dyDescent="0.2">
      <c r="B3" s="140" t="s">
        <v>340</v>
      </c>
    </row>
    <row r="5" spans="1:3" x14ac:dyDescent="0.2">
      <c r="A5" t="s">
        <v>28</v>
      </c>
      <c r="B5" s="251">
        <f>+williams!J35</f>
        <v>32755</v>
      </c>
      <c r="C5" s="65">
        <f>+williams!A40</f>
        <v>37327</v>
      </c>
    </row>
    <row r="6" spans="1:3" x14ac:dyDescent="0.2">
      <c r="A6" t="s">
        <v>31</v>
      </c>
      <c r="B6" s="251">
        <f>+Lonestar!F36</f>
        <v>-21234</v>
      </c>
      <c r="C6" s="65">
        <f>+Lonestar!A43</f>
        <v>37327</v>
      </c>
    </row>
    <row r="7" spans="1:3" x14ac:dyDescent="0.2">
      <c r="A7" t="s">
        <v>325</v>
      </c>
      <c r="B7" s="251">
        <f>+'PG&amp;E'!D35</f>
        <v>-40241</v>
      </c>
      <c r="C7" s="65">
        <f>+'PG&amp;E'!A40</f>
        <v>37327</v>
      </c>
    </row>
    <row r="8" spans="1:3" x14ac:dyDescent="0.2">
      <c r="A8" t="s">
        <v>32</v>
      </c>
      <c r="B8" s="251">
        <f>+SoCal!F35</f>
        <v>-136226</v>
      </c>
      <c r="C8" s="65">
        <f>+SoCal!A40</f>
        <v>37327</v>
      </c>
    </row>
    <row r="9" spans="1:3" x14ac:dyDescent="0.2">
      <c r="A9" t="s">
        <v>326</v>
      </c>
      <c r="B9" s="251">
        <f>+PGETX!H35</f>
        <v>6638</v>
      </c>
      <c r="C9" s="65">
        <f>+PGETX!E39</f>
        <v>37328</v>
      </c>
    </row>
    <row r="10" spans="1:3" x14ac:dyDescent="0.2">
      <c r="A10" t="s">
        <v>33</v>
      </c>
      <c r="B10" s="251">
        <f>+'El Paso'!H36</f>
        <v>-69279</v>
      </c>
      <c r="C10" s="65">
        <f>+'El Paso'!A39</f>
        <v>37327</v>
      </c>
    </row>
    <row r="11" spans="1:3" x14ac:dyDescent="0.2">
      <c r="A11" t="s">
        <v>23</v>
      </c>
      <c r="B11" s="251">
        <f>+'Red C'!F39</f>
        <v>-28140</v>
      </c>
      <c r="C11" s="65">
        <f>+'Red C'!A45</f>
        <v>37327</v>
      </c>
    </row>
    <row r="12" spans="1:3" x14ac:dyDescent="0.2">
      <c r="A12" t="s">
        <v>286</v>
      </c>
      <c r="B12" s="251">
        <f>+Amoco!D37</f>
        <v>-5235</v>
      </c>
      <c r="C12" s="65">
        <f>+Amoco!A40</f>
        <v>37327</v>
      </c>
    </row>
    <row r="13" spans="1:3" x14ac:dyDescent="0.2">
      <c r="A13" t="s">
        <v>6</v>
      </c>
      <c r="B13" s="251">
        <f>+Oasis!D36</f>
        <v>3721</v>
      </c>
      <c r="C13" s="65">
        <f>+Oasis!A40</f>
        <v>37327</v>
      </c>
    </row>
    <row r="14" spans="1:3" x14ac:dyDescent="0.2">
      <c r="A14" t="s">
        <v>79</v>
      </c>
      <c r="B14" s="251">
        <f>+Agave!D19</f>
        <v>30134</v>
      </c>
      <c r="C14" s="65">
        <f>+Agave!A25</f>
        <v>37327</v>
      </c>
    </row>
    <row r="15" spans="1:3" x14ac:dyDescent="0.2">
      <c r="A15" t="s">
        <v>80</v>
      </c>
      <c r="B15" s="251">
        <f>+Conoco!F35</f>
        <v>-35764</v>
      </c>
      <c r="C15" s="65">
        <f>+Conoco!A41</f>
        <v>37327</v>
      </c>
    </row>
    <row r="16" spans="1:3" x14ac:dyDescent="0.2">
      <c r="A16" t="s">
        <v>1</v>
      </c>
      <c r="B16" s="251">
        <f>+NW!F36</f>
        <v>4886</v>
      </c>
      <c r="C16" s="65">
        <f>+NW!B41</f>
        <v>37328</v>
      </c>
    </row>
    <row r="17" spans="1:3" x14ac:dyDescent="0.2">
      <c r="A17" t="s">
        <v>71</v>
      </c>
      <c r="B17" s="251">
        <f>+transcol!D39</f>
        <v>-4043</v>
      </c>
      <c r="C17" s="65">
        <f>+transcol!A43</f>
        <v>37327</v>
      </c>
    </row>
    <row r="18" spans="1:3" x14ac:dyDescent="0.2">
      <c r="A18" t="s">
        <v>138</v>
      </c>
      <c r="B18" s="251">
        <f>+Duke!B18+Duke!B31+Duke!B46+DEFS!C36+DEFS!E36</f>
        <v>49228</v>
      </c>
      <c r="C18" s="65">
        <f>+Duke!A7</f>
        <v>37326</v>
      </c>
    </row>
    <row r="19" spans="1:3" x14ac:dyDescent="0.2">
      <c r="A19" t="s">
        <v>2</v>
      </c>
      <c r="B19" s="251">
        <f>+mewborne!J39</f>
        <v>-4805</v>
      </c>
      <c r="C19" s="65">
        <f>+mewborne!A43</f>
        <v>37327</v>
      </c>
    </row>
    <row r="20" spans="1:3" x14ac:dyDescent="0.2">
      <c r="A20" t="s">
        <v>3</v>
      </c>
      <c r="B20" s="251">
        <f>+'Amoco Abo'!F39</f>
        <v>23760</v>
      </c>
      <c r="C20" s="65">
        <f>+'Amoco Abo'!A43</f>
        <v>37327</v>
      </c>
    </row>
    <row r="21" spans="1:3" x14ac:dyDescent="0.2">
      <c r="A21" t="s">
        <v>87</v>
      </c>
      <c r="B21" s="251">
        <f>+NNG!D18</f>
        <v>8979</v>
      </c>
      <c r="C21" s="65">
        <f>+NNG!A24</f>
        <v>37326</v>
      </c>
    </row>
    <row r="22" spans="1:3" x14ac:dyDescent="0.2">
      <c r="A22" t="s">
        <v>82</v>
      </c>
      <c r="B22" s="251">
        <f>+PNM!D17</f>
        <v>-58623</v>
      </c>
      <c r="C22" s="65">
        <f>+PNM!A23</f>
        <v>37327</v>
      </c>
    </row>
    <row r="23" spans="1:3" x14ac:dyDescent="0.2">
      <c r="A23" t="s">
        <v>88</v>
      </c>
      <c r="B23" s="251">
        <f>+NGPL!H34</f>
        <v>-21710</v>
      </c>
      <c r="C23" s="65">
        <f>+NGPL!A38</f>
        <v>37327</v>
      </c>
    </row>
    <row r="24" spans="1:3" x14ac:dyDescent="0.2">
      <c r="A24" t="s">
        <v>313</v>
      </c>
      <c r="B24" s="251">
        <f>+Mojave!D35</f>
        <v>1526</v>
      </c>
      <c r="C24" s="65">
        <f>+Mojave!A40</f>
        <v>37327</v>
      </c>
    </row>
    <row r="25" spans="1:3" x14ac:dyDescent="0.2">
      <c r="A25" t="s">
        <v>103</v>
      </c>
      <c r="B25" s="251">
        <f>+EOG!J35</f>
        <v>-32338</v>
      </c>
      <c r="C25" s="65">
        <f>+EOG!A41</f>
        <v>37328</v>
      </c>
    </row>
    <row r="26" spans="1:3" x14ac:dyDescent="0.2">
      <c r="A26" t="s">
        <v>327</v>
      </c>
      <c r="B26" s="251">
        <f>+KN_Westar!F37</f>
        <v>-34934</v>
      </c>
      <c r="C26" s="65">
        <f>+KN_Westar!A41</f>
        <v>37327</v>
      </c>
    </row>
    <row r="27" spans="1:3" x14ac:dyDescent="0.2">
      <c r="A27" t="s">
        <v>109</v>
      </c>
      <c r="B27" s="251">
        <f>+Continental!F39</f>
        <v>812</v>
      </c>
      <c r="C27" s="65">
        <f>+Continental!A43</f>
        <v>37327</v>
      </c>
    </row>
    <row r="28" spans="1:3" x14ac:dyDescent="0.2">
      <c r="A28" t="s">
        <v>110</v>
      </c>
      <c r="B28" s="251">
        <f>+CIG!D39</f>
        <v>0</v>
      </c>
    </row>
    <row r="29" spans="1:3" x14ac:dyDescent="0.2">
      <c r="A29" t="s">
        <v>127</v>
      </c>
      <c r="B29" s="251">
        <f>+Calpine!D37</f>
        <v>-2286</v>
      </c>
      <c r="C29" s="65">
        <f>+Calpine!A41</f>
        <v>37327</v>
      </c>
    </row>
    <row r="30" spans="1:3" x14ac:dyDescent="0.2">
      <c r="A30" t="s">
        <v>328</v>
      </c>
      <c r="B30" s="251">
        <f>+EPFS!D37</f>
        <v>-10120</v>
      </c>
      <c r="C30" s="65">
        <f>+EPFS!A41</f>
        <v>37327</v>
      </c>
    </row>
    <row r="31" spans="1:3" x14ac:dyDescent="0.2">
      <c r="A31" t="s">
        <v>131</v>
      </c>
      <c r="B31" s="251">
        <f>+SidR!D39</f>
        <v>-2944.9199999999996</v>
      </c>
      <c r="C31" s="65">
        <f>+SidR!A41</f>
        <v>37326</v>
      </c>
    </row>
    <row r="32" spans="1:3" x14ac:dyDescent="0.2">
      <c r="A32" t="s">
        <v>329</v>
      </c>
      <c r="B32" s="251">
        <f>+'NS Steel'!D37</f>
        <v>2649</v>
      </c>
      <c r="C32" s="65">
        <f>+'NS Steel'!A41</f>
        <v>37327</v>
      </c>
    </row>
    <row r="33" spans="1:3" x14ac:dyDescent="0.2">
      <c r="A33" t="s">
        <v>139</v>
      </c>
      <c r="B33" s="251">
        <f>+'Citizens-Griffith'!D37</f>
        <v>-3076</v>
      </c>
      <c r="C33" s="65">
        <f>+'Citizens-Griffith'!A41</f>
        <v>37327</v>
      </c>
    </row>
    <row r="34" spans="1:3" x14ac:dyDescent="0.2">
      <c r="A34" t="s">
        <v>330</v>
      </c>
      <c r="B34" s="251">
        <f>+Citizens!D14</f>
        <v>-17241.949999999997</v>
      </c>
      <c r="C34" s="65">
        <f>+Citizens!A18</f>
        <v>37327</v>
      </c>
    </row>
    <row r="35" spans="1:3" x14ac:dyDescent="0.2">
      <c r="A35" t="s">
        <v>256</v>
      </c>
      <c r="B35" s="251">
        <f>+PEPL!D37</f>
        <v>9131</v>
      </c>
      <c r="C35" s="65">
        <f>+PEPL!A41</f>
        <v>37327</v>
      </c>
    </row>
    <row r="36" spans="1:3" x14ac:dyDescent="0.2">
      <c r="A36" t="s">
        <v>331</v>
      </c>
      <c r="B36" s="251">
        <f>+MiVida_Rich!D39</f>
        <v>0</v>
      </c>
    </row>
    <row r="37" spans="1:3" x14ac:dyDescent="0.2">
      <c r="A37" t="s">
        <v>332</v>
      </c>
      <c r="B37" s="251">
        <f>+WTGmktg!J37</f>
        <v>3933</v>
      </c>
      <c r="C37" s="65">
        <f>+WTGmktg!A43</f>
        <v>37327</v>
      </c>
    </row>
    <row r="38" spans="1:3" x14ac:dyDescent="0.2">
      <c r="A38" t="s">
        <v>333</v>
      </c>
      <c r="B38" s="251">
        <f>+'WTG inc'!N37</f>
        <v>-898</v>
      </c>
      <c r="C38" s="65">
        <f>+'WTG inc'!A43</f>
        <v>37327</v>
      </c>
    </row>
    <row r="39" spans="1:3" x14ac:dyDescent="0.2">
      <c r="A39" t="s">
        <v>334</v>
      </c>
      <c r="B39" s="251">
        <f>+Dominion!D37</f>
        <v>-364</v>
      </c>
      <c r="C39" s="65">
        <f>+Dominion!A41</f>
        <v>37327</v>
      </c>
    </row>
    <row r="40" spans="1:3" x14ac:dyDescent="0.2">
      <c r="A40" t="s">
        <v>209</v>
      </c>
      <c r="B40" s="251">
        <f>+Devon!D37</f>
        <v>4727</v>
      </c>
      <c r="C40" s="65">
        <f>+Devon!A41</f>
        <v>37327</v>
      </c>
    </row>
    <row r="41" spans="1:3" x14ac:dyDescent="0.2">
      <c r="A41" t="s">
        <v>335</v>
      </c>
      <c r="B41" s="251">
        <f>+Amarillo!P37</f>
        <v>8743</v>
      </c>
      <c r="C41" s="65">
        <f>+Amarillo!A41</f>
        <v>37327</v>
      </c>
    </row>
    <row r="42" spans="1:3" x14ac:dyDescent="0.2">
      <c r="A42" t="s">
        <v>336</v>
      </c>
      <c r="B42" s="251">
        <f>+SWGasTrans!D37</f>
        <v>2042</v>
      </c>
      <c r="C42" s="65">
        <f>+SWGasTrans!A41</f>
        <v>37327</v>
      </c>
    </row>
    <row r="43" spans="1:3" x14ac:dyDescent="0.2">
      <c r="A43" t="s">
        <v>337</v>
      </c>
      <c r="B43" s="251">
        <f>+Stratland!D39</f>
        <v>0</v>
      </c>
    </row>
    <row r="44" spans="1:3" x14ac:dyDescent="0.2">
      <c r="A44" t="s">
        <v>338</v>
      </c>
      <c r="B44" s="251">
        <f>+Plains!N37</f>
        <v>0</v>
      </c>
    </row>
    <row r="45" spans="1:3" x14ac:dyDescent="0.2">
      <c r="A45" t="s">
        <v>95</v>
      </c>
      <c r="B45" s="251">
        <f>+burlington!D38</f>
        <v>2363</v>
      </c>
      <c r="C45" s="65">
        <f>+burlington!A42</f>
        <v>37327</v>
      </c>
    </row>
    <row r="46" spans="1:3" x14ac:dyDescent="0.2">
      <c r="A46" t="s">
        <v>260</v>
      </c>
      <c r="B46" s="251">
        <f>736495+80308-817422</f>
        <v>-619</v>
      </c>
    </row>
    <row r="47" spans="1:3" x14ac:dyDescent="0.2">
      <c r="B47" s="251">
        <f>SUM(B5:B46)</f>
        <v>-334094.87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8" workbookViewId="0">
      <selection activeCell="E20" sqref="E2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2">
        <f>+A45</f>
        <v>37327</v>
      </c>
      <c r="I23" s="11">
        <f>+B39</f>
        <v>1892772</v>
      </c>
      <c r="J23" s="11">
        <f>+C39</f>
        <v>1872367</v>
      </c>
      <c r="K23" s="11">
        <f>+D39</f>
        <v>246096</v>
      </c>
      <c r="L23" s="11">
        <f>+E39</f>
        <v>238361</v>
      </c>
      <c r="M23" s="42">
        <f>+J23-I23+L23-K23</f>
        <v>-28140</v>
      </c>
      <c r="N23" s="102">
        <f>+summary!G3</f>
        <v>2.5299999999999998</v>
      </c>
      <c r="O23" s="494">
        <f>+N23*M23</f>
        <v>-71194.2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3">
        <f>SUM(M9:M23)</f>
        <v>61660</v>
      </c>
      <c r="N24" s="102"/>
      <c r="O24" s="102">
        <f>SUM(O9:O23)</f>
        <v>496922.13999999996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1892772</v>
      </c>
      <c r="C39" s="150">
        <f>SUM(C8:C38)</f>
        <v>1872367</v>
      </c>
      <c r="D39" s="150">
        <f>SUM(D8:D38)</f>
        <v>246096</v>
      </c>
      <c r="E39" s="150">
        <f>SUM(E8:E38)</f>
        <v>238361</v>
      </c>
      <c r="F39" s="11">
        <f t="shared" si="5"/>
        <v>-28140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19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37327</v>
      </c>
      <c r="B45" s="32"/>
      <c r="C45" s="106"/>
      <c r="D45" s="106"/>
      <c r="E45" s="106"/>
      <c r="F45" s="24">
        <f>+F44+F39</f>
        <v>36049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37327</v>
      </c>
      <c r="B51" s="32"/>
      <c r="C51" s="32"/>
      <c r="D51" s="348">
        <f>+F39*summary!G3</f>
        <v>-71194.2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410191.8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11.378728952259424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37" sqref="C37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/>
      <c r="C18" s="409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/>
      <c r="C19" s="409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/>
      <c r="C20" s="409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/>
      <c r="C21" s="409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/>
      <c r="C22" s="409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1879063</v>
      </c>
      <c r="C37" s="409">
        <f>SUM(C6:C36)</f>
        <v>1873828</v>
      </c>
      <c r="D37" s="409">
        <f>SUM(D6:D36)</f>
        <v>-5235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4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37327</v>
      </c>
      <c r="B40" s="285"/>
      <c r="C40" s="434"/>
      <c r="D40" s="307">
        <f>+D39+D37</f>
        <v>-6686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37327</v>
      </c>
      <c r="B46" s="32"/>
      <c r="C46" s="32"/>
      <c r="D46" s="373">
        <f>+D37*'by type_area'!G3</f>
        <v>-13244.55</v>
      </c>
    </row>
    <row r="47" spans="1:16" x14ac:dyDescent="0.2">
      <c r="A47" s="32"/>
      <c r="B47" s="32"/>
      <c r="C47" s="32"/>
      <c r="D47" s="200">
        <f>+D46+D45</f>
        <v>323666.45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-304741</v>
      </c>
      <c r="C36" s="24">
        <f>SUM(C5:C35)</f>
        <v>-301020</v>
      </c>
      <c r="D36" s="24">
        <f t="shared" si="0"/>
        <v>3721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2.5299999999999998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9414.1299999999992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2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37327</v>
      </c>
      <c r="B40"/>
      <c r="C40" s="48"/>
      <c r="D40" s="138">
        <f>+D39+D38</f>
        <v>95615.680000000008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7">
        <v>39515</v>
      </c>
    </row>
    <row r="46" spans="1:65" x14ac:dyDescent="0.2">
      <c r="A46" s="49">
        <f>+A40</f>
        <v>37327</v>
      </c>
      <c r="B46" s="32"/>
      <c r="C46" s="32"/>
      <c r="D46" s="348">
        <f>+D36</f>
        <v>3721</v>
      </c>
    </row>
    <row r="47" spans="1:65" x14ac:dyDescent="0.2">
      <c r="A47" s="32"/>
      <c r="B47" s="32"/>
      <c r="C47" s="32"/>
      <c r="D47" s="14">
        <f>+D46+D45</f>
        <v>43236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2.2114830234064207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376650</v>
      </c>
      <c r="C5" s="90">
        <v>409975</v>
      </c>
      <c r="D5" s="90">
        <f t="shared" ref="D5:D18" si="0">+C5-B5</f>
        <v>33325</v>
      </c>
      <c r="E5" s="275"/>
      <c r="F5" s="273"/>
    </row>
    <row r="6" spans="1:13" x14ac:dyDescent="0.2">
      <c r="A6" s="87">
        <v>78311</v>
      </c>
      <c r="B6" s="90">
        <v>259126</v>
      </c>
      <c r="C6" s="90">
        <v>275999</v>
      </c>
      <c r="D6" s="90">
        <f t="shared" si="0"/>
        <v>16873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6102</v>
      </c>
      <c r="C7" s="90"/>
      <c r="D7" s="90">
        <f t="shared" si="0"/>
        <v>-6102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361966</v>
      </c>
      <c r="C8" s="90">
        <v>385349</v>
      </c>
      <c r="D8" s="90">
        <f t="shared" si="0"/>
        <v>23383</v>
      </c>
      <c r="E8" s="454"/>
      <c r="F8" s="273"/>
    </row>
    <row r="9" spans="1:13" x14ac:dyDescent="0.2">
      <c r="A9" s="87">
        <v>500239</v>
      </c>
      <c r="B9" s="90">
        <v>470431</v>
      </c>
      <c r="C9" s="90">
        <v>409837</v>
      </c>
      <c r="D9" s="90">
        <f t="shared" si="0"/>
        <v>-60594</v>
      </c>
      <c r="E9" s="275"/>
      <c r="F9" s="273"/>
    </row>
    <row r="10" spans="1:13" x14ac:dyDescent="0.2">
      <c r="A10" s="87">
        <v>500293</v>
      </c>
      <c r="B10" s="90">
        <v>183883</v>
      </c>
      <c r="C10" s="90">
        <v>243180</v>
      </c>
      <c r="D10" s="90">
        <f t="shared" si="0"/>
        <v>59297</v>
      </c>
      <c r="E10" s="275"/>
      <c r="F10" s="273"/>
    </row>
    <row r="11" spans="1:13" x14ac:dyDescent="0.2">
      <c r="A11" s="87">
        <v>500302</v>
      </c>
      <c r="B11" s="90"/>
      <c r="C11" s="305">
        <v>3119</v>
      </c>
      <c r="D11" s="90">
        <f t="shared" si="0"/>
        <v>3119</v>
      </c>
      <c r="E11" s="275"/>
      <c r="F11" s="273"/>
    </row>
    <row r="12" spans="1:13" x14ac:dyDescent="0.2">
      <c r="A12" s="87">
        <v>500303</v>
      </c>
      <c r="B12" s="90"/>
      <c r="C12" s="305">
        <v>16372</v>
      </c>
      <c r="D12" s="90">
        <f t="shared" si="0"/>
        <v>16372</v>
      </c>
      <c r="E12" s="276"/>
      <c r="F12" s="464"/>
      <c r="G12" s="90"/>
    </row>
    <row r="13" spans="1:13" x14ac:dyDescent="0.2">
      <c r="A13" s="91">
        <v>500305</v>
      </c>
      <c r="B13" s="90">
        <v>564777</v>
      </c>
      <c r="C13" s="90">
        <v>632418</v>
      </c>
      <c r="D13" s="90">
        <f t="shared" si="0"/>
        <v>67641</v>
      </c>
      <c r="E13" s="275"/>
      <c r="F13" s="273"/>
    </row>
    <row r="14" spans="1:13" x14ac:dyDescent="0.2">
      <c r="A14" s="87">
        <v>500307</v>
      </c>
      <c r="B14" s="90">
        <v>33621</v>
      </c>
      <c r="C14" s="90">
        <v>25536</v>
      </c>
      <c r="D14" s="90">
        <f t="shared" si="0"/>
        <v>-8085</v>
      </c>
      <c r="E14" s="275"/>
      <c r="F14" s="273"/>
    </row>
    <row r="15" spans="1:13" x14ac:dyDescent="0.2">
      <c r="A15" s="87">
        <v>500313</v>
      </c>
      <c r="B15" s="90"/>
      <c r="C15" s="90">
        <v>1212</v>
      </c>
      <c r="D15" s="90">
        <f t="shared" si="0"/>
        <v>1212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93774</v>
      </c>
      <c r="C17" s="90"/>
      <c r="D17" s="90">
        <f t="shared" si="0"/>
        <v>-93774</v>
      </c>
      <c r="E17" s="275"/>
      <c r="F17" s="273"/>
      <c r="G17" s="554"/>
    </row>
    <row r="18" spans="1:7" x14ac:dyDescent="0.2">
      <c r="A18" s="87">
        <v>500657</v>
      </c>
      <c r="B18" s="88">
        <v>48033</v>
      </c>
      <c r="C18" s="88">
        <v>25500</v>
      </c>
      <c r="D18" s="94">
        <f t="shared" si="0"/>
        <v>-22533</v>
      </c>
      <c r="E18" s="275"/>
      <c r="F18" s="464"/>
    </row>
    <row r="19" spans="1:7" x14ac:dyDescent="0.2">
      <c r="A19" s="87"/>
      <c r="B19" s="88"/>
      <c r="C19" s="88"/>
      <c r="D19" s="88">
        <f>SUM(D5:D18)</f>
        <v>30134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2.5299999999999998</v>
      </c>
      <c r="E20" s="207"/>
      <c r="F20" s="464"/>
    </row>
    <row r="21" spans="1:7" x14ac:dyDescent="0.2">
      <c r="A21" s="87"/>
      <c r="B21" s="88"/>
      <c r="C21" s="88"/>
      <c r="D21" s="96">
        <f>+D20*D19</f>
        <v>76239.01999999999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8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37327</v>
      </c>
      <c r="B25" s="88"/>
      <c r="C25" s="88"/>
      <c r="D25" s="318">
        <f>+D23+D21</f>
        <v>114728.31999999999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37327</v>
      </c>
      <c r="B30" s="32"/>
      <c r="C30" s="32"/>
      <c r="D30" s="348">
        <f>+D19</f>
        <v>30134</v>
      </c>
    </row>
    <row r="31" spans="1:7" x14ac:dyDescent="0.2">
      <c r="A31" s="32"/>
      <c r="B31" s="32"/>
      <c r="C31" s="32"/>
      <c r="D31" s="14">
        <f>+D30+D29</f>
        <v>61368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1.8695137530960759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41" sqref="C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26038</v>
      </c>
      <c r="E11" s="11">
        <v>26690</v>
      </c>
      <c r="F11" s="25">
        <f>+E11+C11-D11-B11</f>
        <v>-3918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24746</v>
      </c>
      <c r="E12" s="11">
        <v>26414</v>
      </c>
      <c r="F12" s="25">
        <f>+E12+C12-D12-B12</f>
        <v>-1310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26874</v>
      </c>
      <c r="C15" s="11">
        <v>26999</v>
      </c>
      <c r="D15" s="11">
        <v>29217</v>
      </c>
      <c r="E15" s="11">
        <v>26519</v>
      </c>
      <c r="F15" s="25">
        <f t="shared" si="2"/>
        <v>-2573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329637</v>
      </c>
      <c r="C35" s="11">
        <f>SUM(C4:C34)</f>
        <v>294488</v>
      </c>
      <c r="D35" s="11">
        <f>SUM(D4:D34)</f>
        <v>314074</v>
      </c>
      <c r="E35" s="11">
        <f>SUM(E4:E34)</f>
        <v>313459</v>
      </c>
      <c r="F35" s="11">
        <f>+E35-D35+C35-B35</f>
        <v>-35764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2.5299999999999998</v>
      </c>
    </row>
    <row r="38" spans="1:7" x14ac:dyDescent="0.2">
      <c r="C38" s="48"/>
      <c r="D38" s="47"/>
      <c r="E38" s="48"/>
      <c r="F38" s="46">
        <f>+F37*F35</f>
        <v>-90482.92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9">
        <v>494173.81</v>
      </c>
      <c r="G40" s="25"/>
    </row>
    <row r="41" spans="1:7" x14ac:dyDescent="0.2">
      <c r="A41" s="57">
        <v>37327</v>
      </c>
      <c r="C41" s="106"/>
      <c r="D41" s="106"/>
      <c r="E41" s="106"/>
      <c r="F41" s="106">
        <f>+F38+F40</f>
        <v>403690.89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0">
        <v>33900</v>
      </c>
      <c r="E46" s="11"/>
      <c r="F46" s="11"/>
      <c r="G46" s="25"/>
    </row>
    <row r="47" spans="1:7" x14ac:dyDescent="0.2">
      <c r="A47" s="49">
        <f>+A41</f>
        <v>37327</v>
      </c>
      <c r="D47" s="348">
        <f>+F35</f>
        <v>-35764</v>
      </c>
      <c r="E47" s="11"/>
      <c r="F47" s="11"/>
      <c r="G47" s="25"/>
    </row>
    <row r="48" spans="1:7" x14ac:dyDescent="0.2">
      <c r="D48" s="14">
        <f>+D47+D46</f>
        <v>-1864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2274640</v>
      </c>
      <c r="C36" s="11">
        <f>SUM(C5:C35)</f>
        <v>2374673</v>
      </c>
      <c r="D36" s="11">
        <f>SUM(D5:D35)</f>
        <v>0</v>
      </c>
      <c r="E36" s="11">
        <f>SUM(E5:E35)</f>
        <v>-95147</v>
      </c>
      <c r="F36" s="11">
        <f>SUM(F5:F35)</f>
        <v>4886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5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37328</v>
      </c>
      <c r="F41" s="332">
        <f>+F39+F36</f>
        <v>-11253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37328</v>
      </c>
      <c r="C48" s="32"/>
      <c r="D48" s="32"/>
      <c r="E48" s="373">
        <f>+F36*'by type_area'!G3</f>
        <v>12361.58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-481404.42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43" sqref="C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78187</v>
      </c>
      <c r="C16" s="11">
        <v>78221</v>
      </c>
      <c r="D16" s="11">
        <f t="shared" si="0"/>
        <v>34</v>
      </c>
      <c r="E16" s="10"/>
      <c r="F16" s="11"/>
      <c r="G16" s="11"/>
      <c r="H16" s="11"/>
    </row>
    <row r="17" spans="1:8" x14ac:dyDescent="0.2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999061</v>
      </c>
      <c r="C39" s="11">
        <f>SUM(C8:C38)</f>
        <v>995018</v>
      </c>
      <c r="D39" s="11">
        <f>SUM(D8:D38)</f>
        <v>-4043</v>
      </c>
      <c r="E39" s="10"/>
      <c r="F39" s="11"/>
      <c r="G39" s="11"/>
      <c r="H39" s="11"/>
    </row>
    <row r="40" spans="1:8" x14ac:dyDescent="0.2">
      <c r="A40" s="26"/>
      <c r="D40" s="75">
        <f>+summary!G4</f>
        <v>2.5299999999999998</v>
      </c>
      <c r="E40" s="26"/>
      <c r="H40" s="75"/>
    </row>
    <row r="41" spans="1:8" x14ac:dyDescent="0.2">
      <c r="D41" s="195">
        <f>+D40*D39</f>
        <v>-10228.789999999999</v>
      </c>
      <c r="F41" s="247"/>
      <c r="H41" s="195"/>
    </row>
    <row r="42" spans="1:8" x14ac:dyDescent="0.2">
      <c r="A42" s="57">
        <v>37315</v>
      </c>
      <c r="D42" s="621">
        <v>21511.71</v>
      </c>
      <c r="E42" s="57"/>
      <c r="H42" s="195"/>
    </row>
    <row r="43" spans="1:8" x14ac:dyDescent="0.2">
      <c r="A43" s="57">
        <v>37327</v>
      </c>
      <c r="D43" s="196">
        <f>+D42+D41</f>
        <v>11282.92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7">
        <v>-45555</v>
      </c>
    </row>
    <row r="49" spans="1:4" x14ac:dyDescent="0.2">
      <c r="A49" s="49">
        <f>+A43</f>
        <v>37327</v>
      </c>
      <c r="B49" s="32"/>
      <c r="C49" s="32"/>
      <c r="D49" s="348">
        <f>+D39</f>
        <v>-4043</v>
      </c>
    </row>
    <row r="50" spans="1:4" x14ac:dyDescent="0.2">
      <c r="A50" s="32"/>
      <c r="B50" s="32"/>
      <c r="C50" s="32"/>
      <c r="D50" s="14">
        <f>+D49+D48</f>
        <v>-49598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G15" sqref="G15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8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247</v>
      </c>
      <c r="J6" s="15"/>
    </row>
    <row r="7" spans="1:14" x14ac:dyDescent="0.2">
      <c r="A7" s="57">
        <v>37326</v>
      </c>
      <c r="I7" s="3" t="s">
        <v>253</v>
      </c>
      <c r="J7" s="15"/>
    </row>
    <row r="8" spans="1:14" x14ac:dyDescent="0.2">
      <c r="A8" s="248">
        <v>50895</v>
      </c>
      <c r="B8" s="339">
        <f>2196-2237</f>
        <v>-41</v>
      </c>
      <c r="J8" s="15"/>
    </row>
    <row r="9" spans="1:14" x14ac:dyDescent="0.2">
      <c r="A9" s="248">
        <v>60874</v>
      </c>
      <c r="B9" s="339">
        <v>1181</v>
      </c>
      <c r="J9" s="15"/>
    </row>
    <row r="10" spans="1:14" x14ac:dyDescent="0.2">
      <c r="A10" s="248">
        <v>78169</v>
      </c>
      <c r="B10" s="627">
        <f>313711-256692-31379</f>
        <v>25640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4612-4773</f>
        <v>-161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1318-299</f>
        <v>1019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5490-5561</f>
        <v>-71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628">
        <f>369228-182133-17721-30705-26486-25441-25527-26726</f>
        <v>34489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62055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2.5299999999999998</v>
      </c>
      <c r="C19" s="199">
        <f>+B19*B18</f>
        <v>156999.15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1656973.8299999998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8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2.5299999999999998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7">
        <v>363784</v>
      </c>
      <c r="G38" s="609">
        <v>117857</v>
      </c>
      <c r="H38" s="607">
        <v>197167</v>
      </c>
      <c r="I38" s="14"/>
    </row>
    <row r="39" spans="1:9" x14ac:dyDescent="0.2">
      <c r="E39" s="49">
        <f>+A7</f>
        <v>37326</v>
      </c>
      <c r="F39" s="348">
        <f>+B18</f>
        <v>62055</v>
      </c>
      <c r="G39" s="348">
        <f>+B31</f>
        <v>0</v>
      </c>
      <c r="H39" s="348">
        <f>+B46</f>
        <v>711</v>
      </c>
      <c r="I39" s="14"/>
    </row>
    <row r="40" spans="1:9" x14ac:dyDescent="0.2">
      <c r="A40" s="49">
        <v>37315</v>
      </c>
      <c r="C40" s="608">
        <v>863723.35</v>
      </c>
      <c r="F40" s="14">
        <f>+F39+F38</f>
        <v>425839</v>
      </c>
      <c r="G40" s="14">
        <f>+G39+G38</f>
        <v>117857</v>
      </c>
      <c r="H40" s="14">
        <f>+H39+H38</f>
        <v>197878</v>
      </c>
      <c r="I40" s="14">
        <f>+H40+G40+F40</f>
        <v>741574</v>
      </c>
    </row>
    <row r="41" spans="1:9" x14ac:dyDescent="0.2">
      <c r="G41" s="32"/>
      <c r="H41" s="15"/>
      <c r="I41" s="32"/>
    </row>
    <row r="42" spans="1:9" x14ac:dyDescent="0.2">
      <c r="A42" s="245">
        <v>37323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711</v>
      </c>
      <c r="G45" s="32"/>
      <c r="H45" s="379"/>
      <c r="I45" s="14"/>
    </row>
    <row r="46" spans="1:9" x14ac:dyDescent="0.2">
      <c r="B46" s="14">
        <f>SUM(B43:B45)</f>
        <v>711</v>
      </c>
      <c r="G46" s="32"/>
      <c r="H46" s="379"/>
      <c r="I46" s="14"/>
    </row>
    <row r="47" spans="1:9" x14ac:dyDescent="0.2">
      <c r="B47" s="199">
        <f>+summary!G5</f>
        <v>2.5299999999999998</v>
      </c>
      <c r="C47" s="199">
        <f>+B47*B46</f>
        <v>1798.83</v>
      </c>
      <c r="H47" s="379"/>
      <c r="I47" s="14"/>
    </row>
    <row r="48" spans="1:9" x14ac:dyDescent="0.2">
      <c r="C48" s="321">
        <f>+C47+C40</f>
        <v>865522.17999999993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4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79">
        <v>22664</v>
      </c>
      <c r="I54" s="605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2894867.1599999997</v>
      </c>
      <c r="I57" s="14">
        <f>SUM(I40:I54)</f>
        <v>796907</v>
      </c>
    </row>
    <row r="61" spans="1:9" x14ac:dyDescent="0.2">
      <c r="C61" s="15">
        <f>+DEFS!F49</f>
        <v>-2919574.5000000005</v>
      </c>
    </row>
    <row r="62" spans="1:9" x14ac:dyDescent="0.2">
      <c r="C62" s="15">
        <f>+C61+C57</f>
        <v>-24707.340000000782</v>
      </c>
      <c r="I62" s="31">
        <f>+I57+DEFS!K49</f>
        <v>307352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1656973.8299999998</v>
      </c>
      <c r="C72" s="14">
        <f>+F40</f>
        <v>425839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865522.17999999993</v>
      </c>
      <c r="C74" s="14">
        <f>+H40</f>
        <v>197878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-1046522.88</v>
      </c>
      <c r="C77" s="14">
        <f>+DEFS!I36</f>
        <v>-188201</v>
      </c>
      <c r="D77" s="16"/>
    </row>
    <row r="78" spans="1:4" x14ac:dyDescent="0.2">
      <c r="A78" s="32">
        <v>22051</v>
      </c>
      <c r="B78" s="15">
        <f>+DEFS!E40</f>
        <v>-668234.49</v>
      </c>
      <c r="C78" s="14">
        <f>+DEFS!J36</f>
        <v>-172847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-24707.340000000549</v>
      </c>
      <c r="C83" s="16">
        <f>SUM(C72:C82)</f>
        <v>307352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16" sqref="B1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7">
        <v>-183022</v>
      </c>
      <c r="J34" s="607">
        <v>-164488</v>
      </c>
      <c r="K34" s="14"/>
      <c r="L34" s="14"/>
    </row>
    <row r="35" spans="1:13" x14ac:dyDescent="0.2">
      <c r="A35" s="10"/>
      <c r="B35" s="11">
        <f>SUM(B4:B34)</f>
        <v>5179</v>
      </c>
      <c r="C35" s="11">
        <f>SUM(C4:C34)</f>
        <v>0</v>
      </c>
      <c r="D35" s="11">
        <f>SUM(D4:D34)</f>
        <v>410864</v>
      </c>
      <c r="E35" s="11">
        <f>SUM(E4:E34)</f>
        <v>402505</v>
      </c>
      <c r="F35" s="11">
        <f>SUM(F4:F34)</f>
        <v>-13538</v>
      </c>
      <c r="G35" s="11"/>
      <c r="H35" s="49">
        <f>+A40</f>
        <v>37327</v>
      </c>
      <c r="I35" s="348">
        <f>+C36</f>
        <v>-5179</v>
      </c>
      <c r="J35" s="348">
        <f>+E36</f>
        <v>-8359</v>
      </c>
      <c r="K35" s="206"/>
      <c r="L35" s="14"/>
    </row>
    <row r="36" spans="1:13" x14ac:dyDescent="0.2">
      <c r="C36" s="25">
        <f>+C35-B35</f>
        <v>-5179</v>
      </c>
      <c r="E36" s="25">
        <f>+E35-D35</f>
        <v>-8359</v>
      </c>
      <c r="F36" s="25">
        <f>+E36+C36</f>
        <v>-13538</v>
      </c>
      <c r="H36" s="32"/>
      <c r="I36" s="14">
        <f>+I35+I34</f>
        <v>-188201</v>
      </c>
      <c r="J36" s="14">
        <f>+J35+J34</f>
        <v>-172847</v>
      </c>
      <c r="K36" s="14">
        <f>+J36+I36</f>
        <v>-361048</v>
      </c>
      <c r="L36" s="14"/>
    </row>
    <row r="37" spans="1:13" x14ac:dyDescent="0.2">
      <c r="C37" s="313">
        <f>+summary!G5</f>
        <v>2.5299999999999998</v>
      </c>
      <c r="E37" s="104">
        <f>+C37</f>
        <v>2.5299999999999998</v>
      </c>
      <c r="F37" s="138">
        <f>+F36*E37</f>
        <v>-34251.14</v>
      </c>
    </row>
    <row r="38" spans="1:13" x14ac:dyDescent="0.2">
      <c r="C38" s="138">
        <f>+C37*C36</f>
        <v>-13102.869999999999</v>
      </c>
      <c r="E38" s="136">
        <f>+E37*E36</f>
        <v>-21148.269999999997</v>
      </c>
      <c r="F38" s="138">
        <f>+E38+C38</f>
        <v>-34251.14</v>
      </c>
    </row>
    <row r="39" spans="1:13" x14ac:dyDescent="0.2">
      <c r="A39" s="57">
        <v>37315</v>
      </c>
      <c r="B39" s="2" t="s">
        <v>45</v>
      </c>
      <c r="C39" s="614">
        <v>-1033420.01</v>
      </c>
      <c r="D39" s="320"/>
      <c r="E39" s="613">
        <v>-647086.22</v>
      </c>
      <c r="F39" s="319">
        <f>+E39+C39</f>
        <v>-1680506.23</v>
      </c>
    </row>
    <row r="40" spans="1:13" x14ac:dyDescent="0.2">
      <c r="A40" s="57">
        <v>37327</v>
      </c>
      <c r="B40" s="2" t="s">
        <v>45</v>
      </c>
      <c r="C40" s="314">
        <f>+C39+C38</f>
        <v>-1046522.88</v>
      </c>
      <c r="D40" s="252"/>
      <c r="E40" s="314">
        <f>+E39+E38</f>
        <v>-668234.49</v>
      </c>
      <c r="F40" s="314">
        <f>+E40+C40</f>
        <v>-1714757.37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8">
        <v>-51695.87</v>
      </c>
      <c r="G45" s="249" t="s">
        <v>122</v>
      </c>
      <c r="J45" s="12">
        <v>20379</v>
      </c>
      <c r="K45" s="609">
        <v>2979</v>
      </c>
      <c r="M45" s="14"/>
    </row>
    <row r="46" spans="1:13" x14ac:dyDescent="0.2">
      <c r="C46" s="246"/>
      <c r="D46" s="246"/>
      <c r="E46" s="12">
        <v>26357</v>
      </c>
      <c r="F46" s="616">
        <f>44144.84-58339.66</f>
        <v>-14194.820000000007</v>
      </c>
      <c r="G46" s="249" t="s">
        <v>123</v>
      </c>
      <c r="J46" s="12">
        <v>26357</v>
      </c>
      <c r="K46" s="609">
        <f>26521-24566</f>
        <v>1955</v>
      </c>
    </row>
    <row r="47" spans="1:13" x14ac:dyDescent="0.2">
      <c r="C47" s="246"/>
      <c r="D47" s="246"/>
      <c r="E47" s="12">
        <v>21544</v>
      </c>
      <c r="F47" s="608">
        <v>61340.160000000003</v>
      </c>
      <c r="G47" s="249" t="s">
        <v>124</v>
      </c>
      <c r="J47" s="12">
        <v>21544</v>
      </c>
      <c r="K47" s="609">
        <v>36108</v>
      </c>
    </row>
    <row r="48" spans="1:13" x14ac:dyDescent="0.2">
      <c r="C48" s="246"/>
      <c r="D48" s="246"/>
      <c r="E48" s="12">
        <v>24532</v>
      </c>
      <c r="F48" s="615">
        <v>-1200266.6000000001</v>
      </c>
      <c r="G48" s="249" t="s">
        <v>121</v>
      </c>
      <c r="J48" s="12">
        <v>24532</v>
      </c>
      <c r="K48" s="607">
        <v>-169549</v>
      </c>
    </row>
    <row r="49" spans="3:13" x14ac:dyDescent="0.2">
      <c r="C49" s="246"/>
      <c r="D49" s="246"/>
      <c r="F49" s="330">
        <f>SUM(F40:F48)</f>
        <v>-2919574.5000000005</v>
      </c>
      <c r="G49" s="246"/>
      <c r="K49" s="14">
        <f>SUM(K36:K48)</f>
        <v>-489555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2894867.1599999997</v>
      </c>
      <c r="M51" s="14">
        <f>+Duke!I57</f>
        <v>796907</v>
      </c>
    </row>
    <row r="53" spans="3:13" x14ac:dyDescent="0.2">
      <c r="F53" s="104">
        <f>+F51+F49</f>
        <v>-24707.340000000782</v>
      </c>
      <c r="M53" s="16">
        <f>+M51+K49</f>
        <v>307352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-188201</v>
      </c>
      <c r="C73" s="247">
        <f>+C40</f>
        <v>-1046522.88</v>
      </c>
    </row>
    <row r="74" spans="1:3" x14ac:dyDescent="0.2">
      <c r="A74">
        <v>22051</v>
      </c>
      <c r="B74" s="31">
        <f>+J36</f>
        <v>-172847</v>
      </c>
      <c r="C74" s="247">
        <f>+E40</f>
        <v>-668234.49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197878</v>
      </c>
      <c r="C77" s="259">
        <f>+Duke!C48</f>
        <v>865522.17999999993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425839</v>
      </c>
      <c r="C79" s="259">
        <f>+Duke!C20</f>
        <v>1656973.8299999998</v>
      </c>
    </row>
    <row r="81" spans="2:3" x14ac:dyDescent="0.2">
      <c r="B81" s="31">
        <f>SUM(B68:B80)</f>
        <v>307352</v>
      </c>
      <c r="C81" s="259">
        <f>SUM(C68:C80)</f>
        <v>-24707.340000000084</v>
      </c>
    </row>
    <row r="82" spans="2:3" x14ac:dyDescent="0.2">
      <c r="C82">
        <f>+C81/B81</f>
        <v>-8.0387763866836992E-2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3" workbookViewId="0">
      <selection activeCell="C43" sqref="C4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5505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-1523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5427</v>
      </c>
      <c r="C18" s="11">
        <v>4944</v>
      </c>
      <c r="D18" s="11"/>
      <c r="E18" s="11"/>
      <c r="F18" s="129">
        <v>871</v>
      </c>
      <c r="G18" s="11">
        <v>901</v>
      </c>
      <c r="H18" s="11">
        <v>1379</v>
      </c>
      <c r="I18" s="11">
        <v>1247</v>
      </c>
      <c r="J18" s="25">
        <f t="shared" si="0"/>
        <v>-585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5534</v>
      </c>
      <c r="C19" s="11">
        <v>4941</v>
      </c>
      <c r="D19" s="11"/>
      <c r="E19" s="11"/>
      <c r="F19" s="129">
        <v>838</v>
      </c>
      <c r="G19" s="11">
        <v>901</v>
      </c>
      <c r="H19" s="11">
        <v>1351</v>
      </c>
      <c r="I19" s="11">
        <v>1247</v>
      </c>
      <c r="J19" s="25">
        <f t="shared" si="0"/>
        <v>-634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64575</v>
      </c>
      <c r="C39" s="11">
        <f t="shared" si="1"/>
        <v>62405</v>
      </c>
      <c r="D39" s="11">
        <f t="shared" si="1"/>
        <v>2</v>
      </c>
      <c r="E39" s="11">
        <f t="shared" si="1"/>
        <v>0</v>
      </c>
      <c r="F39" s="129">
        <f t="shared" si="1"/>
        <v>10239</v>
      </c>
      <c r="G39" s="11">
        <f t="shared" si="1"/>
        <v>8975</v>
      </c>
      <c r="H39" s="11">
        <f t="shared" si="1"/>
        <v>16333</v>
      </c>
      <c r="I39" s="11">
        <f t="shared" si="1"/>
        <v>14964</v>
      </c>
      <c r="J39" s="25">
        <f t="shared" si="1"/>
        <v>-4805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2.5299999999999998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-12156.65</v>
      </c>
      <c r="L41"/>
      <c r="R41" s="138"/>
      <c r="X41" s="138"/>
    </row>
    <row r="42" spans="1:24" x14ac:dyDescent="0.2">
      <c r="A42" s="57">
        <v>37315</v>
      </c>
      <c r="C42" s="15"/>
      <c r="J42" s="603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37327</v>
      </c>
      <c r="C43" s="48"/>
      <c r="J43" s="138">
        <f>+J42+J41</f>
        <v>314030.63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8">
        <v>128267</v>
      </c>
      <c r="L47"/>
    </row>
    <row r="48" spans="1:24" x14ac:dyDescent="0.2">
      <c r="A48" s="49">
        <f>+A43</f>
        <v>37327</v>
      </c>
      <c r="B48" s="32"/>
      <c r="C48" s="32"/>
      <c r="D48" s="348">
        <f>+J39</f>
        <v>-4805</v>
      </c>
      <c r="L48"/>
    </row>
    <row r="49" spans="1:12" x14ac:dyDescent="0.2">
      <c r="A49" s="32"/>
      <c r="B49" s="32"/>
      <c r="C49" s="32"/>
      <c r="D49" s="14">
        <f>+D48+D47</f>
        <v>123462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0" workbookViewId="0">
      <selection activeCell="B31" sqref="B3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2.5299999999999998</v>
      </c>
      <c r="H3" s="400">
        <f ca="1">NOW()</f>
        <v>41885.683149421297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2.5299999999999998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2.5299999999999998</v>
      </c>
      <c r="H5" s="209" t="s">
        <v>313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9610.5499999999993</v>
      </c>
      <c r="C12" s="367">
        <f>+B12/$G$4</f>
        <v>3798.6363636363635</v>
      </c>
      <c r="D12" s="14">
        <f>+Calpine!D47</f>
        <v>92094</v>
      </c>
      <c r="E12" s="70">
        <f>+C12-D12</f>
        <v>-88295.363636363632</v>
      </c>
      <c r="F12" s="362">
        <f>+Calpine!A41</f>
        <v>37327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54091.380000000005</v>
      </c>
      <c r="C13" s="366">
        <f>+B13/$G$4</f>
        <v>21379.992094861664</v>
      </c>
      <c r="D13" s="14">
        <f>+'Citizens-Griffith'!D48</f>
        <v>29992</v>
      </c>
      <c r="E13" s="70">
        <f>+C13-D13</f>
        <v>-8612.0079051383364</v>
      </c>
      <c r="F13" s="362">
        <f>+'Citizens-Griffith'!A41</f>
        <v>37327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275</v>
      </c>
      <c r="B14" s="587">
        <f>+SWGasTrans!D41</f>
        <v>-10553.5</v>
      </c>
      <c r="C14" s="366">
        <f>+B14/G4</f>
        <v>-4171.343873517787</v>
      </c>
      <c r="D14" s="14">
        <f>+SWGasTrans!$D$48</f>
        <v>7461</v>
      </c>
      <c r="E14" s="70">
        <f>+C14-D14</f>
        <v>-11632.343873517788</v>
      </c>
      <c r="F14" s="362">
        <f>+SWGasTrans!A41</f>
        <v>37327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-247499.01</v>
      </c>
      <c r="C15" s="366">
        <f>+B15/$G$4</f>
        <v>-97825.695652173919</v>
      </c>
      <c r="D15" s="14">
        <f>+'NS Steel'!D50</f>
        <v>6612</v>
      </c>
      <c r="E15" s="70">
        <f>+C15-D15</f>
        <v>-104437.69565217392</v>
      </c>
      <c r="F15" s="363">
        <f>+'NS Steel'!A41</f>
        <v>37327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-595076.6399999999</v>
      </c>
      <c r="C16" s="368">
        <f>+B16/$G$4</f>
        <v>-235208.15810276679</v>
      </c>
      <c r="D16" s="348">
        <f>+Citizens!D24</f>
        <v>-62728</v>
      </c>
      <c r="E16" s="72">
        <f>+C16-D16</f>
        <v>-172480.15810276679</v>
      </c>
      <c r="F16" s="362">
        <f>+Citizens!A18</f>
        <v>37327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-789427.22</v>
      </c>
      <c r="C17" s="391">
        <f>SUBTOTAL(9,C12:C16)</f>
        <v>-312026.56916996045</v>
      </c>
      <c r="D17" s="392">
        <f>SUBTOTAL(9,D12:D16)</f>
        <v>73431</v>
      </c>
      <c r="E17" s="393">
        <f>SUBTOTAL(9,E12:E16)</f>
        <v>-385457.56916996045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11282.92</v>
      </c>
      <c r="C20" s="366">
        <f>+B20/$G$4</f>
        <v>4459.652173913044</v>
      </c>
      <c r="D20" s="14">
        <f>+transcol!D50</f>
        <v>-49598</v>
      </c>
      <c r="E20" s="70">
        <f>+C20-D20</f>
        <v>54057.65217391304</v>
      </c>
      <c r="F20" s="363">
        <f>+transcol!A43</f>
        <v>37327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287</v>
      </c>
      <c r="B21" s="586">
        <f>+C21*G3</f>
        <v>82870.149999999994</v>
      </c>
      <c r="C21" s="366">
        <f>+williams!J40</f>
        <v>32755</v>
      </c>
      <c r="D21" s="14">
        <f>+C21</f>
        <v>32755</v>
      </c>
      <c r="E21" s="70">
        <f>+C21-D21</f>
        <v>0</v>
      </c>
      <c r="F21" s="363">
        <f>+williams!A40</f>
        <v>37327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-7966.4000000000015</v>
      </c>
      <c r="C22" s="370">
        <f>+B22/$G$3</f>
        <v>-3148.7747035573129</v>
      </c>
      <c r="D22" s="348">
        <f>+burlington!D49</f>
        <v>-4667</v>
      </c>
      <c r="E22" s="72">
        <f>+C22-D22</f>
        <v>1518.2252964426871</v>
      </c>
      <c r="F22" s="362">
        <f>+burlington!A42</f>
        <v>37327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86186.669999999984</v>
      </c>
      <c r="C23" s="387">
        <f>SUBTOTAL(9,C20:C22)</f>
        <v>34065.877470355728</v>
      </c>
      <c r="D23" s="392">
        <f>SUBTOTAL(9,D20:D22)</f>
        <v>-21510</v>
      </c>
      <c r="E23" s="393">
        <f>SUBTOTAL(9,E20:E22)</f>
        <v>55575.877470355728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24232.78</v>
      </c>
      <c r="C26" s="366">
        <f>+B26/$G$4</f>
        <v>9578.173913043478</v>
      </c>
      <c r="D26" s="14">
        <f>+NNG!D34</f>
        <v>9069</v>
      </c>
      <c r="E26" s="70">
        <f t="shared" ref="E26:E48" si="0">+C26-D26</f>
        <v>509.17391304347802</v>
      </c>
      <c r="F26" s="362">
        <f>+NNG!A24</f>
        <v>37326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403690.89</v>
      </c>
      <c r="C27" s="366">
        <f>+B27/$G$4</f>
        <v>159561.61660079053</v>
      </c>
      <c r="D27" s="14">
        <f>+Conoco!D48</f>
        <v>-1864</v>
      </c>
      <c r="E27" s="70">
        <f t="shared" si="0"/>
        <v>161425.61660079053</v>
      </c>
      <c r="F27" s="362">
        <f>+Conoco!A41</f>
        <v>37327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238469.22999999998</v>
      </c>
      <c r="C28" s="366">
        <f>+B28/$G$4</f>
        <v>94256.612648221344</v>
      </c>
      <c r="D28" s="14">
        <f>+'Amoco Abo'!D49</f>
        <v>-332219</v>
      </c>
      <c r="E28" s="70">
        <f t="shared" si="0"/>
        <v>426475.61264822131</v>
      </c>
      <c r="F28" s="363">
        <f>+'Amoco Abo'!A43</f>
        <v>37327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226801.84</v>
      </c>
      <c r="C29" s="366">
        <f>+B29/$G$4</f>
        <v>89644.996047430832</v>
      </c>
      <c r="D29" s="14">
        <f>+KN_Westar!D48</f>
        <v>-78710</v>
      </c>
      <c r="E29" s="70">
        <f t="shared" si="0"/>
        <v>168354.99604743085</v>
      </c>
      <c r="F29" s="363">
        <f>+KN_Westar!A41</f>
        <v>37327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245</v>
      </c>
      <c r="B30" s="581">
        <f>+Duke!B83</f>
        <v>-24707.340000000549</v>
      </c>
      <c r="C30" s="367">
        <f>+B30/$G$5</f>
        <v>-9765.7470355733403</v>
      </c>
      <c r="D30" s="14">
        <f>+DEFS!$I$36+DEFS!$J$36+DEFS!$K$45+DEFS!$K$46+DEFS!$K$47+DEFS!$K$48+Duke!I53+Duke!I54+Duke!F40+Duke!G40+Duke!H40</f>
        <v>307352</v>
      </c>
      <c r="E30" s="70">
        <f t="shared" si="0"/>
        <v>-317117.74703557335</v>
      </c>
      <c r="F30" s="363">
        <f>+DEFS!A40</f>
        <v>37327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314030.63</v>
      </c>
      <c r="C31" s="366">
        <f>+B31/$G$4</f>
        <v>124122.77865612649</v>
      </c>
      <c r="D31" s="14">
        <f>+mewborne!D49</f>
        <v>123462</v>
      </c>
      <c r="E31" s="70">
        <f t="shared" si="0"/>
        <v>660.77865612649475</v>
      </c>
      <c r="F31" s="363">
        <f>+mewborne!A43</f>
        <v>37327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52424.14</v>
      </c>
      <c r="C32" s="366">
        <f>+B32/$G$4</f>
        <v>20721.003952569172</v>
      </c>
      <c r="D32" s="14">
        <f>+PGETX!E48</f>
        <v>51324</v>
      </c>
      <c r="E32" s="70">
        <f t="shared" si="0"/>
        <v>-30602.996047430828</v>
      </c>
      <c r="F32" s="363">
        <f>+PGETX!E39</f>
        <v>37328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718298.16999999993</v>
      </c>
      <c r="C33" s="366">
        <f>+B33/$G$4</f>
        <v>283912.32015810278</v>
      </c>
      <c r="D33" s="14">
        <f>+PNM!D30</f>
        <v>296422</v>
      </c>
      <c r="E33" s="70">
        <f t="shared" si="0"/>
        <v>-12509.679841897218</v>
      </c>
      <c r="F33" s="363">
        <f>+PNM!A23</f>
        <v>37327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-49228.21</v>
      </c>
      <c r="C34" s="366">
        <f>+B34/$G$4</f>
        <v>-19457.790513833992</v>
      </c>
      <c r="D34" s="14">
        <f>+EOG!D48</f>
        <v>-144484</v>
      </c>
      <c r="E34" s="70">
        <f t="shared" si="0"/>
        <v>125026.20948616602</v>
      </c>
      <c r="F34" s="362">
        <f>+EOG!A41</f>
        <v>37328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95615.680000000008</v>
      </c>
      <c r="C35" s="366">
        <f>+B35/G5</f>
        <v>37792.758893280639</v>
      </c>
      <c r="D35" s="14">
        <f>+Oasis!D47</f>
        <v>43236</v>
      </c>
      <c r="E35" s="70">
        <f>+C35-D35</f>
        <v>-5443.2411067193607</v>
      </c>
      <c r="F35" s="362">
        <f>+Oasis!A40</f>
        <v>37327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6058.08</v>
      </c>
      <c r="C36" s="366">
        <f>+B36/$G$5</f>
        <v>2394.498023715415</v>
      </c>
      <c r="D36" s="14">
        <f>+SidR!D48</f>
        <v>2912</v>
      </c>
      <c r="E36" s="70">
        <f t="shared" si="0"/>
        <v>-517.501976284585</v>
      </c>
      <c r="F36" s="363">
        <f>+SidR!A41</f>
        <v>37326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255</v>
      </c>
      <c r="B37" s="587">
        <f>+MiVida_Rich!D41</f>
        <v>-191635</v>
      </c>
      <c r="C37" s="366">
        <f>+B37/$G$5</f>
        <v>-75745.059288537552</v>
      </c>
      <c r="D37" s="14">
        <f>+MiVida_Rich!D48</f>
        <v>-45642</v>
      </c>
      <c r="E37" s="70">
        <f>+C37-D37</f>
        <v>-30103.059288537552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171087.47</v>
      </c>
      <c r="C38" s="366">
        <f>+B38/$G$5</f>
        <v>67623.50592885376</v>
      </c>
      <c r="D38" s="14">
        <f>+Dominion!D48</f>
        <v>74801</v>
      </c>
      <c r="E38" s="70">
        <f t="shared" si="0"/>
        <v>-7177.4940711462405</v>
      </c>
      <c r="F38" s="363">
        <f>+Dominion!A41</f>
        <v>37327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-17940.510000000002</v>
      </c>
      <c r="C39" s="366">
        <f>+B39/$G$4</f>
        <v>-7091.1106719367599</v>
      </c>
      <c r="D39" s="14">
        <f>+WTGmktg!D50</f>
        <v>4113</v>
      </c>
      <c r="E39" s="70">
        <f t="shared" si="0"/>
        <v>-11204.11067193676</v>
      </c>
      <c r="F39" s="363">
        <f>+WTGmktg!A43</f>
        <v>37327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278</v>
      </c>
      <c r="B40" s="344">
        <f>+'WTG inc'!N43</f>
        <v>17251.23</v>
      </c>
      <c r="C40" s="366">
        <f>+B40/G4</f>
        <v>6818.6679841897239</v>
      </c>
      <c r="D40" s="14">
        <f>+'WTG inc'!D50</f>
        <v>4973</v>
      </c>
      <c r="E40" s="70">
        <f>+C40-D40</f>
        <v>1845.6679841897239</v>
      </c>
      <c r="F40" s="363">
        <f>+'WTG inc'!A43</f>
        <v>37327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12991.31</v>
      </c>
      <c r="C41" s="366">
        <f>+B41/$G$5</f>
        <v>5134.905138339921</v>
      </c>
      <c r="D41" s="14">
        <f>+Devon!D48</f>
        <v>5214</v>
      </c>
      <c r="E41" s="70">
        <f t="shared" si="0"/>
        <v>-79.094861660079005</v>
      </c>
      <c r="F41" s="363">
        <f>+Devon!A41</f>
        <v>37327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-124764.95000000001</v>
      </c>
      <c r="C42" s="366">
        <f>+B42/$G$4</f>
        <v>-49314.209486166015</v>
      </c>
      <c r="D42" s="14">
        <f>+crosstex!D48</f>
        <v>-36445</v>
      </c>
      <c r="E42" s="70">
        <f t="shared" si="0"/>
        <v>-12869.209486166015</v>
      </c>
      <c r="F42" s="363">
        <f>+crosstex!A41</f>
        <v>37327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129786.2</v>
      </c>
      <c r="C43" s="366">
        <f>+B43/$G$4</f>
        <v>51298.893280632416</v>
      </c>
      <c r="D43" s="14">
        <f>+Amarillo!D48</f>
        <v>54267</v>
      </c>
      <c r="E43" s="70">
        <f t="shared" si="0"/>
        <v>-2968.1067193675844</v>
      </c>
      <c r="F43" s="363">
        <f>+Amarillo!A41</f>
        <v>37327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293</v>
      </c>
      <c r="B44" s="581">
        <f>+Stratland!$D$41</f>
        <v>69765.440000000002</v>
      </c>
      <c r="C44" s="367">
        <f>+B44/$G$4</f>
        <v>27575.272727272732</v>
      </c>
      <c r="D44" s="14">
        <f>+Stratland!D48</f>
        <v>27486</v>
      </c>
      <c r="E44" s="70">
        <f>+C44-D44</f>
        <v>89.272727272731572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304</v>
      </c>
      <c r="B45" s="581">
        <f>+Plains!$N$43</f>
        <v>66185.02</v>
      </c>
      <c r="C45" s="584">
        <f>+B45/$G$4</f>
        <v>26160.086956521744</v>
      </c>
      <c r="D45" s="14">
        <f>+Plains!D50</f>
        <v>23662</v>
      </c>
      <c r="E45" s="70">
        <f>+C45-D45</f>
        <v>2498.0869565217436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59475.54</v>
      </c>
      <c r="C46" s="367">
        <f>+B46/$G$4</f>
        <v>23508.1185770751</v>
      </c>
      <c r="D46" s="14">
        <f>+Continental!D50</f>
        <v>8656</v>
      </c>
      <c r="E46" s="70">
        <f t="shared" si="0"/>
        <v>14852.1185770751</v>
      </c>
      <c r="F46" s="363">
        <f>+Continental!A43</f>
        <v>37327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141335.57</v>
      </c>
      <c r="C47" s="367">
        <f>+B47/$G$5</f>
        <v>55863.861660079056</v>
      </c>
      <c r="D47" s="14">
        <f>+EPFS!D47</f>
        <v>83255</v>
      </c>
      <c r="E47" s="70">
        <f t="shared" si="0"/>
        <v>-27391.138339920944</v>
      </c>
      <c r="F47" s="362">
        <f>+EPFS!A41</f>
        <v>37327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114728.31999999999</v>
      </c>
      <c r="C48" s="368">
        <f>+B48/$G$4</f>
        <v>45347.162055335968</v>
      </c>
      <c r="D48" s="348">
        <f>+Agave!D31</f>
        <v>61368</v>
      </c>
      <c r="E48" s="72">
        <f t="shared" si="0"/>
        <v>-16020.837944664032</v>
      </c>
      <c r="F48" s="362">
        <f>+Agave!A25</f>
        <v>37327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2453951.5299999989</v>
      </c>
      <c r="C49" s="391">
        <f>SUBTOTAL(9,C26:C48)</f>
        <v>969941.31620553334</v>
      </c>
      <c r="D49" s="392">
        <f>SUBTOTAL(9,D26:D48)</f>
        <v>542208</v>
      </c>
      <c r="E49" s="393">
        <f>SUBTOTAL(9,E26:E48)</f>
        <v>427733.31620553322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1750710.9799999997</v>
      </c>
      <c r="C51" s="391">
        <f>SUBTOTAL(9,C12:C48)</f>
        <v>691980.6245059286</v>
      </c>
      <c r="D51" s="392">
        <f>SUBTOTAL(9,D12:D48)</f>
        <v>594129</v>
      </c>
      <c r="E51" s="393">
        <f>SUBTOTAL(9,E12:E48)</f>
        <v>97851.624505928674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2.5299999999999998</v>
      </c>
      <c r="H57" s="400">
        <f ca="1">NOW()</f>
        <v>41885.683149421297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2.5299999999999998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2.5299999999999998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1526</v>
      </c>
      <c r="C66" s="581">
        <f>+B66*$I$5</f>
        <v>3509.7999999999997</v>
      </c>
      <c r="D66" s="47">
        <f>+Mojave!D47</f>
        <v>3860.7799999999997</v>
      </c>
      <c r="E66" s="47">
        <f>+C66-D66</f>
        <v>-350.98</v>
      </c>
      <c r="F66" s="363">
        <f>+Mojave!A40</f>
        <v>37327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-57739</v>
      </c>
      <c r="C67" s="581">
        <f>+B67*$G$4</f>
        <v>-146079.66999999998</v>
      </c>
      <c r="D67" s="47">
        <f>+SoCal!D47</f>
        <v>-67164.77999999997</v>
      </c>
      <c r="E67" s="47">
        <f>+C67-D67</f>
        <v>-78914.890000000014</v>
      </c>
      <c r="F67" s="363">
        <f>+SoCal!A40</f>
        <v>37327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162600.56999999998</v>
      </c>
      <c r="D68" s="47">
        <f>+'El Paso'!C46</f>
        <v>-1582961.01</v>
      </c>
      <c r="E68" s="47">
        <f>+C68-D68</f>
        <v>1745561.58</v>
      </c>
      <c r="F68" s="363">
        <f>+'El Paso'!A39</f>
        <v>37327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-34848</v>
      </c>
      <c r="C69" s="583">
        <f>+B69*$G$4</f>
        <v>-88165.439999999988</v>
      </c>
      <c r="D69" s="347">
        <f>+'PG&amp;E'!D47</f>
        <v>-294702.73</v>
      </c>
      <c r="E69" s="347">
        <f>+C69-D69</f>
        <v>206537.28999999998</v>
      </c>
      <c r="F69" s="363">
        <f>+'PG&amp;E'!A40</f>
        <v>37327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-26792</v>
      </c>
      <c r="C70" s="386">
        <f>SUBTOTAL(9,C66:C69)</f>
        <v>-68134.740000000005</v>
      </c>
      <c r="D70" s="386">
        <f>SUBTOTAL(9,D66:D69)</f>
        <v>-1940967.74</v>
      </c>
      <c r="E70" s="386">
        <f>SUBTOTAL(9,E66:E69)</f>
        <v>1872833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36049</v>
      </c>
      <c r="C73" s="582">
        <f>+B73*G57</f>
        <v>91203.969999999987</v>
      </c>
      <c r="D73" s="200">
        <f>+'Red C'!D52</f>
        <v>410191.8</v>
      </c>
      <c r="E73" s="47">
        <f>+C73-D73</f>
        <v>-318987.83</v>
      </c>
      <c r="F73" s="362">
        <f>+'Red C'!A45</f>
        <v>37327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286</v>
      </c>
      <c r="B74" s="366">
        <f>+Amoco!D40</f>
        <v>-6686</v>
      </c>
      <c r="C74" s="587">
        <f>+B74*$G$3</f>
        <v>-16915.579999999998</v>
      </c>
      <c r="D74" s="47">
        <f>+Amoco!D47</f>
        <v>323666.45</v>
      </c>
      <c r="E74" s="47">
        <f>+C74-D74</f>
        <v>-340582.03</v>
      </c>
      <c r="F74" s="363">
        <f>+Amoco!A40</f>
        <v>37327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-96100</v>
      </c>
      <c r="C75" s="581">
        <f>+B75*$G$3</f>
        <v>-243132.99999999997</v>
      </c>
      <c r="D75" s="47">
        <f>+'El Paso'!F46</f>
        <v>-657254.01</v>
      </c>
      <c r="E75" s="47">
        <f>+C75-D75</f>
        <v>414121.01</v>
      </c>
      <c r="F75" s="363">
        <f>+'El Paso'!A39</f>
        <v>37327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-11253</v>
      </c>
      <c r="C76" s="588">
        <f>+B76*$G$3</f>
        <v>-28470.089999999997</v>
      </c>
      <c r="D76" s="347">
        <f>+NW!E49</f>
        <v>-481404.42</v>
      </c>
      <c r="E76" s="347">
        <f>+C76-D76</f>
        <v>452934.32999999996</v>
      </c>
      <c r="F76" s="362">
        <f>+NW!B41</f>
        <v>37328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-77990</v>
      </c>
      <c r="C77" s="386">
        <f>SUBTOTAL(9,C73:C76)</f>
        <v>-197314.69999999998</v>
      </c>
      <c r="D77" s="386">
        <f>SUBTOTAL(9,D73:D76)</f>
        <v>-404800.18</v>
      </c>
      <c r="E77" s="386">
        <f>SUBTOTAL(9,E73:E76)</f>
        <v>207485.47999999986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6994</v>
      </c>
      <c r="C80" s="581">
        <f>+B80*$G$5</f>
        <v>17694.82</v>
      </c>
      <c r="D80" s="47">
        <f>+NGPL!D45</f>
        <v>91268.700000000012</v>
      </c>
      <c r="E80" s="47">
        <f>+C80-D80</f>
        <v>-73573.88</v>
      </c>
      <c r="F80" s="363">
        <f>+NGPL!A38</f>
        <v>37327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6260</v>
      </c>
      <c r="C81" s="582">
        <f>+B81*$G$4</f>
        <v>15837.8</v>
      </c>
      <c r="D81" s="47">
        <f>+PEPL!D47</f>
        <v>177837.43</v>
      </c>
      <c r="E81" s="47">
        <f>+C81-D81</f>
        <v>-161999.63</v>
      </c>
      <c r="F81" s="363">
        <f>+PEPL!A41</f>
        <v>37327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44495.109999999993</v>
      </c>
      <c r="D82" s="200">
        <f>+CIG!D49</f>
        <v>385897</v>
      </c>
      <c r="E82" s="70">
        <f>+C82-D82</f>
        <v>-341401.89</v>
      </c>
      <c r="F82" s="363">
        <f>+CIG!A42</f>
        <v>37323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40337</v>
      </c>
      <c r="C83" s="583">
        <f>+B83*G59</f>
        <v>102052.60999999999</v>
      </c>
      <c r="D83" s="347">
        <f>+Lonestar!D50</f>
        <v>69059.960000000006</v>
      </c>
      <c r="E83" s="347">
        <f>+C83-D83</f>
        <v>32992.64999999998</v>
      </c>
      <c r="F83" s="362">
        <f>+Lonestar!A43</f>
        <v>37327</v>
      </c>
      <c r="G83" s="32" t="s">
        <v>298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71178</v>
      </c>
      <c r="C84" s="386">
        <f>SUBTOTAL(9,C80:C83)</f>
        <v>180080.33999999997</v>
      </c>
      <c r="D84" s="386">
        <f>SUBTOTAL(9,D80:D83)</f>
        <v>724063.09</v>
      </c>
      <c r="E84" s="386">
        <f>SUBTOTAL(9,E80:E83)</f>
        <v>-543982.75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-33604</v>
      </c>
      <c r="C86" s="386">
        <f>SUBTOTAL(9,C66:C83)</f>
        <v>-85369.099999999977</v>
      </c>
      <c r="D86" s="386">
        <f>SUBTOTAL(9,D66:D83)</f>
        <v>-1621704.8299999998</v>
      </c>
      <c r="E86" s="386">
        <f>SUBTOTAL(9,E66:E83)</f>
        <v>1536335.73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1665341.88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658376.6245059286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0" sqref="A40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/>
      <c r="C20" s="409"/>
      <c r="D20" s="409"/>
      <c r="E20" s="409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704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23760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2.5299999999999998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60112.799999999996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37327</v>
      </c>
      <c r="B43" s="285"/>
      <c r="C43" s="434"/>
      <c r="D43" s="434"/>
      <c r="E43" s="434"/>
      <c r="F43" s="415">
        <f>+F42+F41</f>
        <v>238469.22999999998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37327</v>
      </c>
      <c r="B48" s="32"/>
      <c r="C48" s="32"/>
      <c r="D48" s="348">
        <f>+F39</f>
        <v>23760</v>
      </c>
      <c r="E48" s="11"/>
    </row>
    <row r="49" spans="1:5" x14ac:dyDescent="0.2">
      <c r="A49" s="32"/>
      <c r="B49" s="32"/>
      <c r="C49" s="32"/>
      <c r="D49" s="14">
        <f>+D48+D47</f>
        <v>-332219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9" workbookViewId="0">
      <selection activeCell="D33" sqref="D3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-603163</v>
      </c>
      <c r="C6" s="80"/>
      <c r="D6" s="80">
        <f t="shared" ref="D6:D14" si="0">+C6-B6</f>
        <v>603163</v>
      </c>
    </row>
    <row r="7" spans="1:4" x14ac:dyDescent="0.2">
      <c r="A7" s="32">
        <v>3531</v>
      </c>
      <c r="B7" s="309">
        <v>-360456</v>
      </c>
      <c r="C7" s="80">
        <v>-124630</v>
      </c>
      <c r="D7" s="80">
        <f t="shared" si="0"/>
        <v>235826</v>
      </c>
    </row>
    <row r="8" spans="1:4" x14ac:dyDescent="0.2">
      <c r="A8" s="32">
        <v>60667</v>
      </c>
      <c r="B8" s="309">
        <v>-191052</v>
      </c>
      <c r="C8" s="80">
        <v>-1168781</v>
      </c>
      <c r="D8" s="80">
        <f t="shared" si="0"/>
        <v>-977729</v>
      </c>
    </row>
    <row r="9" spans="1:4" x14ac:dyDescent="0.2">
      <c r="A9" s="32">
        <v>60749</v>
      </c>
      <c r="B9" s="309">
        <v>9058</v>
      </c>
      <c r="C9" s="80">
        <v>145315</v>
      </c>
      <c r="D9" s="80">
        <f t="shared" si="0"/>
        <v>136257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8979</v>
      </c>
    </row>
    <row r="19" spans="1:5" x14ac:dyDescent="0.2">
      <c r="A19" s="32" t="s">
        <v>81</v>
      </c>
      <c r="B19" s="69"/>
      <c r="C19" s="69"/>
      <c r="D19" s="73">
        <f>+summary!G4</f>
        <v>2.5299999999999998</v>
      </c>
    </row>
    <row r="20" spans="1:5" x14ac:dyDescent="0.2">
      <c r="B20" s="69"/>
      <c r="C20" s="69"/>
      <c r="D20" s="75">
        <f>+D19*D18</f>
        <v>22716.87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1515.91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37326</v>
      </c>
      <c r="B24" s="69"/>
      <c r="C24" s="69"/>
      <c r="D24" s="331">
        <f>+D22+D20</f>
        <v>24232.78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37326</v>
      </c>
      <c r="D33" s="348">
        <f>+D18</f>
        <v>8979</v>
      </c>
    </row>
    <row r="34" spans="1:4" x14ac:dyDescent="0.2">
      <c r="D34" s="14">
        <f>+D33+D32</f>
        <v>9069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workbookViewId="0">
      <selection activeCell="B10" sqref="B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-64293</v>
      </c>
      <c r="C5" s="90">
        <v>-58464</v>
      </c>
      <c r="D5" s="90">
        <f t="shared" ref="D5:D13" si="0">+C5-B5</f>
        <v>5829</v>
      </c>
      <c r="E5" s="69"/>
      <c r="F5" s="201"/>
    </row>
    <row r="6" spans="1:11" x14ac:dyDescent="0.2">
      <c r="A6" s="87">
        <v>9238</v>
      </c>
      <c r="B6" s="90">
        <v>-4288</v>
      </c>
      <c r="C6" s="90">
        <v>-12000</v>
      </c>
      <c r="D6" s="90">
        <f t="shared" si="0"/>
        <v>-7712</v>
      </c>
      <c r="E6" s="275"/>
      <c r="F6" s="201"/>
      <c r="K6" s="65"/>
    </row>
    <row r="7" spans="1:11" x14ac:dyDescent="0.2">
      <c r="A7" s="87">
        <v>56422</v>
      </c>
      <c r="B7" s="90">
        <v>-965690</v>
      </c>
      <c r="C7" s="90">
        <v>-984194</v>
      </c>
      <c r="D7" s="90">
        <f t="shared" si="0"/>
        <v>-18504</v>
      </c>
      <c r="E7" s="275"/>
      <c r="F7" s="201"/>
    </row>
    <row r="8" spans="1:11" x14ac:dyDescent="0.2">
      <c r="A8" s="87">
        <v>58710</v>
      </c>
      <c r="B8" s="90"/>
      <c r="C8" s="90">
        <v>-816</v>
      </c>
      <c r="D8" s="90">
        <f t="shared" si="0"/>
        <v>-816</v>
      </c>
      <c r="E8" s="275"/>
      <c r="F8" s="201"/>
    </row>
    <row r="9" spans="1:11" x14ac:dyDescent="0.2">
      <c r="A9" s="87">
        <v>60921</v>
      </c>
      <c r="B9" s="90">
        <v>-363139</v>
      </c>
      <c r="C9" s="90">
        <v>-416431</v>
      </c>
      <c r="D9" s="90">
        <f t="shared" si="0"/>
        <v>-53292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4"/>
    </row>
    <row r="11" spans="1:11" x14ac:dyDescent="0.2">
      <c r="A11" s="87">
        <v>500084</v>
      </c>
      <c r="B11" s="90">
        <v>-27757</v>
      </c>
      <c r="C11" s="90">
        <v>-12000</v>
      </c>
      <c r="D11" s="90">
        <f t="shared" si="0"/>
        <v>15757</v>
      </c>
      <c r="E11" s="276"/>
      <c r="F11" s="464"/>
    </row>
    <row r="12" spans="1:11" x14ac:dyDescent="0.2">
      <c r="A12" s="317">
        <v>500085</v>
      </c>
      <c r="B12" s="90">
        <v>-3</v>
      </c>
      <c r="C12" s="90"/>
      <c r="D12" s="90">
        <f t="shared" si="0"/>
        <v>3</v>
      </c>
      <c r="E12" s="275"/>
      <c r="F12" s="464"/>
    </row>
    <row r="13" spans="1:11" x14ac:dyDescent="0.2">
      <c r="A13" s="87">
        <v>500097</v>
      </c>
      <c r="B13" s="90">
        <v>-12112</v>
      </c>
      <c r="C13" s="90">
        <v>-12000</v>
      </c>
      <c r="D13" s="90">
        <f t="shared" si="0"/>
        <v>112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-58623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2.5299999999999998</v>
      </c>
      <c r="E18" s="277"/>
      <c r="F18" s="464"/>
    </row>
    <row r="19" spans="1:7" x14ac:dyDescent="0.2">
      <c r="A19" s="87"/>
      <c r="B19" s="88"/>
      <c r="C19" s="88"/>
      <c r="D19" s="96">
        <f>+D18*D17</f>
        <v>-148316.19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37327</v>
      </c>
      <c r="B23" s="88"/>
      <c r="C23" s="88"/>
      <c r="D23" s="318">
        <f>+D21+D19</f>
        <v>718298.16999999993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8">
        <v>355045</v>
      </c>
    </row>
    <row r="29" spans="1:7" x14ac:dyDescent="0.2">
      <c r="A29" s="49">
        <f>+A23</f>
        <v>37327</v>
      </c>
      <c r="B29" s="32"/>
      <c r="C29" s="32"/>
      <c r="D29" s="348">
        <f>+D17</f>
        <v>-58623</v>
      </c>
    </row>
    <row r="30" spans="1:7" x14ac:dyDescent="0.2">
      <c r="A30" s="32"/>
      <c r="B30" s="32"/>
      <c r="C30" s="32"/>
      <c r="D30" s="14">
        <f>+D29+D28</f>
        <v>296422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2.4232282691568101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C38" sqref="C3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353266</v>
      </c>
      <c r="C34" s="287">
        <f t="shared" si="2"/>
        <v>369632</v>
      </c>
      <c r="D34" s="14">
        <f t="shared" si="2"/>
        <v>-301737</v>
      </c>
      <c r="E34" s="14">
        <f t="shared" si="2"/>
        <v>-320476</v>
      </c>
      <c r="F34" s="14">
        <f t="shared" si="2"/>
        <v>302545</v>
      </c>
      <c r="G34" s="14">
        <f t="shared" si="2"/>
        <v>283208</v>
      </c>
      <c r="H34" s="14">
        <f t="shared" si="2"/>
        <v>-21710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">
      <c r="A38" s="539">
        <v>37327</v>
      </c>
      <c r="B38" s="14"/>
      <c r="C38" s="14"/>
      <c r="D38" s="14"/>
      <c r="E38" s="14"/>
      <c r="F38" s="14"/>
      <c r="G38" s="14"/>
      <c r="H38" s="150">
        <f>+H37+H34</f>
        <v>6994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">
      <c r="A44" s="49">
        <f>+A38</f>
        <v>37327</v>
      </c>
      <c r="B44" s="32"/>
      <c r="C44" s="32"/>
      <c r="D44" s="373">
        <f>+H34*'by type_area'!G4</f>
        <v>-54926.299999999996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91268.700000000012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C39" sqref="C3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-240440</v>
      </c>
      <c r="C35" s="11">
        <f>SUM(C4:C34)</f>
        <v>-238914</v>
      </c>
      <c r="D35" s="11">
        <f>SUM(D4:D34)</f>
        <v>1526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2"/>
      <c r="D39" s="24"/>
    </row>
    <row r="40" spans="1:4" x14ac:dyDescent="0.2">
      <c r="A40" s="57">
        <v>37327</v>
      </c>
      <c r="D40" s="51">
        <f>+D38+D35</f>
        <v>1526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37327</v>
      </c>
      <c r="B46" s="32"/>
      <c r="C46" s="32"/>
      <c r="D46" s="373">
        <f>+D35*'by type_area'!G4</f>
        <v>3860.7799999999997</v>
      </c>
    </row>
    <row r="47" spans="1:4" x14ac:dyDescent="0.2">
      <c r="A47" s="32"/>
      <c r="B47" s="32"/>
      <c r="C47" s="32"/>
      <c r="D47" s="200">
        <f>+D46+D45</f>
        <v>3860.7799999999997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3" workbookViewId="0">
      <selection activeCell="A41" sqref="A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11356</v>
      </c>
      <c r="C16" s="11">
        <v>10000</v>
      </c>
      <c r="D16" s="11">
        <v>7131</v>
      </c>
      <c r="E16" s="11">
        <v>6400</v>
      </c>
      <c r="F16" s="11"/>
      <c r="G16" s="11"/>
      <c r="H16" s="11"/>
      <c r="I16" s="11"/>
      <c r="J16" s="11">
        <f t="shared" si="0"/>
        <v>-2087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142642</v>
      </c>
      <c r="C35" s="11">
        <f t="shared" ref="C35:I35" si="1">SUM(C4:C34)</f>
        <v>128523</v>
      </c>
      <c r="D35" s="11">
        <f t="shared" si="1"/>
        <v>100071</v>
      </c>
      <c r="E35" s="11">
        <f t="shared" si="1"/>
        <v>82254</v>
      </c>
      <c r="F35" s="11">
        <f t="shared" si="1"/>
        <v>0</v>
      </c>
      <c r="G35" s="11">
        <f t="shared" si="1"/>
        <v>0</v>
      </c>
      <c r="H35" s="11">
        <f t="shared" si="1"/>
        <v>402</v>
      </c>
      <c r="I35" s="11">
        <f t="shared" si="1"/>
        <v>0</v>
      </c>
      <c r="J35" s="11">
        <f>SUM(J4:J34)</f>
        <v>-32338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2.5299999999999998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-81815.14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7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37328</v>
      </c>
      <c r="J41" s="319">
        <f>+J39+J37</f>
        <v>-49228.21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8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37328</v>
      </c>
      <c r="B47" s="32"/>
      <c r="C47" s="32"/>
      <c r="D47" s="348">
        <f>+J35</f>
        <v>-32338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-144484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52" sqref="E5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-309606</v>
      </c>
      <c r="E37" s="24">
        <f>SUM(E6:E36)</f>
        <v>-344540</v>
      </c>
      <c r="F37" s="24">
        <f>SUM(F6:F36)</f>
        <v>-34934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2.5299999999999998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-88383.01999999999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37327</v>
      </c>
      <c r="E41" s="14"/>
      <c r="F41" s="104">
        <f>+F40+F39</f>
        <v>226801.84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37327</v>
      </c>
      <c r="B47" s="32"/>
      <c r="C47" s="32"/>
      <c r="D47" s="348">
        <f>+F37</f>
        <v>-34934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-78710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F52" sqref="F5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2.5299999999999998</v>
      </c>
    </row>
    <row r="41" spans="1:6" x14ac:dyDescent="0.2">
      <c r="F41" s="138">
        <f>+F40*F39</f>
        <v>2054.3599999999997</v>
      </c>
    </row>
    <row r="42" spans="1:6" x14ac:dyDescent="0.2">
      <c r="A42" s="57">
        <v>37315</v>
      </c>
      <c r="C42" s="15"/>
      <c r="F42" s="612">
        <v>57421.18</v>
      </c>
    </row>
    <row r="43" spans="1:6" x14ac:dyDescent="0.2">
      <c r="A43" s="57">
        <v>37327</v>
      </c>
      <c r="C43" s="48"/>
      <c r="F43" s="138">
        <f>+F42+F41</f>
        <v>59475.54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7">
        <v>7844</v>
      </c>
    </row>
    <row r="49" spans="1:4" x14ac:dyDescent="0.2">
      <c r="A49" s="49">
        <f>+A43</f>
        <v>37327</v>
      </c>
      <c r="B49" s="32"/>
      <c r="C49" s="32"/>
      <c r="D49" s="348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37323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37323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-388891</v>
      </c>
      <c r="I19" s="119">
        <f>+C37</f>
        <v>-391177</v>
      </c>
      <c r="J19" s="119">
        <f>+I19-H19</f>
        <v>-2286</v>
      </c>
      <c r="K19" s="410">
        <f>+D38</f>
        <v>2.5299999999999998</v>
      </c>
      <c r="L19" s="415">
        <f>+K19*J19</f>
        <v>-5783.58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128206</v>
      </c>
      <c r="K24" s="406"/>
      <c r="L24" s="110">
        <f>+L19+L17</f>
        <v>75901.519999999829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30000.60079051377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-388891</v>
      </c>
      <c r="C37" s="11">
        <f>SUM(C6:C36)</f>
        <v>-391177</v>
      </c>
      <c r="D37" s="25">
        <f>SUM(D6:D36)</f>
        <v>-2286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-5783.58</v>
      </c>
    </row>
    <row r="40" spans="1:4" x14ac:dyDescent="0.2">
      <c r="A40" s="57">
        <v>37315</v>
      </c>
      <c r="C40" s="15"/>
      <c r="D40" s="612">
        <v>15394.13</v>
      </c>
    </row>
    <row r="41" spans="1:4" x14ac:dyDescent="0.2">
      <c r="A41" s="57">
        <v>37327</v>
      </c>
      <c r="C41" s="48"/>
      <c r="D41" s="138">
        <f>+D40+D39</f>
        <v>9610.5499999999993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94380</v>
      </c>
    </row>
    <row r="46" spans="1:4" x14ac:dyDescent="0.2">
      <c r="A46" s="49">
        <f>+A41</f>
        <v>37327</v>
      </c>
      <c r="B46" s="32"/>
      <c r="C46" s="32"/>
      <c r="D46" s="348">
        <f>+D37</f>
        <v>-2286</v>
      </c>
    </row>
    <row r="47" spans="1:4" x14ac:dyDescent="0.2">
      <c r="A47" s="32"/>
      <c r="B47" s="32"/>
      <c r="C47" s="32"/>
      <c r="D47" s="14">
        <f>+D46+D45</f>
        <v>92094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0.10435587551849197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53" workbookViewId="0">
      <selection activeCell="E18" sqref="E18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2.5299999999999998</v>
      </c>
      <c r="J3" s="372">
        <f ca="1">NOW()</f>
        <v>41885.683149421297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2.5299999999999998</v>
      </c>
      <c r="H4" s="548"/>
      <c r="I4" s="593"/>
    </row>
    <row r="5" spans="1:33" ht="15" customHeight="1" x14ac:dyDescent="0.2">
      <c r="B5" s="550"/>
      <c r="F5" s="546" t="s">
        <v>117</v>
      </c>
      <c r="G5" s="547">
        <f>+'[3]1001'!$E$39</f>
        <v>2.5299999999999998</v>
      </c>
      <c r="H5" s="546" t="s">
        <v>313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718298.16999999993</v>
      </c>
      <c r="C8" s="275">
        <f t="shared" ref="C8:C16" si="0">+B8/$G$4</f>
        <v>283912.32015810278</v>
      </c>
      <c r="D8" s="363">
        <f>+PNM!A23</f>
        <v>37327</v>
      </c>
      <c r="E8" s="32" t="s">
        <v>85</v>
      </c>
      <c r="F8" s="32" t="s">
        <v>297</v>
      </c>
      <c r="G8" s="32" t="s">
        <v>288</v>
      </c>
      <c r="H8" s="32" t="s">
        <v>316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403690.89</v>
      </c>
      <c r="C9" s="275">
        <f t="shared" si="0"/>
        <v>159561.61660079053</v>
      </c>
      <c r="D9" s="362">
        <f>+Conoco!A41</f>
        <v>37327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4">
        <f>+mewborne!$J$43</f>
        <v>314030.63</v>
      </c>
      <c r="C10" s="275">
        <f t="shared" si="0"/>
        <v>124122.77865612649</v>
      </c>
      <c r="D10" s="363">
        <f>+mewborne!A43</f>
        <v>37327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3</v>
      </c>
      <c r="B11" s="590">
        <f>+'Amoco Abo'!$F$43</f>
        <v>238469.22999999998</v>
      </c>
      <c r="C11" s="275">
        <f t="shared" si="0"/>
        <v>94256.612648221344</v>
      </c>
      <c r="D11" s="363">
        <f>+'Amoco Abo'!A43</f>
        <v>37327</v>
      </c>
      <c r="E11" s="32" t="s">
        <v>85</v>
      </c>
      <c r="F11" s="32" t="s">
        <v>152</v>
      </c>
      <c r="G11" s="32" t="s">
        <v>115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590">
        <f>+KN_Westar!F41</f>
        <v>226801.84</v>
      </c>
      <c r="C12" s="275">
        <f t="shared" si="0"/>
        <v>89644.996047430832</v>
      </c>
      <c r="D12" s="363">
        <f>+KN_Westar!A41</f>
        <v>37327</v>
      </c>
      <c r="E12" s="32" t="s">
        <v>85</v>
      </c>
      <c r="F12" s="32" t="s">
        <v>153</v>
      </c>
      <c r="G12" s="32" t="s">
        <v>288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4">
        <f>+Dominion!D41</f>
        <v>171087.47</v>
      </c>
      <c r="C13" s="275">
        <f>+B13/$G$5</f>
        <v>67623.50592885376</v>
      </c>
      <c r="D13" s="363">
        <f>+Dominion!A41</f>
        <v>37327</v>
      </c>
      <c r="E13" s="32" t="s">
        <v>85</v>
      </c>
      <c r="F13" s="32" t="s">
        <v>297</v>
      </c>
      <c r="G13" s="32" t="s">
        <v>99</v>
      </c>
      <c r="H13" s="32"/>
      <c r="I13" s="32"/>
      <c r="J13" s="32"/>
      <c r="K13" s="32"/>
      <c r="L13" s="32"/>
      <c r="M13" s="32"/>
      <c r="N13" s="378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129</v>
      </c>
      <c r="B14" s="344">
        <f>+EPFS!D41</f>
        <v>141335.57</v>
      </c>
      <c r="C14" s="206">
        <f>+B14/$G$5</f>
        <v>55863.861660079056</v>
      </c>
      <c r="D14" s="362">
        <f>+EPFS!A41</f>
        <v>37327</v>
      </c>
      <c r="E14" s="32" t="s">
        <v>85</v>
      </c>
      <c r="F14" s="32" t="s">
        <v>153</v>
      </c>
      <c r="G14" s="32" t="s">
        <v>102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4">
        <f>+Amarillo!P41</f>
        <v>129786.2</v>
      </c>
      <c r="C15" s="275">
        <f>+B15/$G$4</f>
        <v>51298.893280632416</v>
      </c>
      <c r="D15" s="363">
        <f>+Amarillo!A41</f>
        <v>37327</v>
      </c>
      <c r="E15" s="32" t="s">
        <v>85</v>
      </c>
      <c r="F15" s="32" t="s">
        <v>298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441" t="s">
        <v>79</v>
      </c>
      <c r="B16" s="499">
        <f>+Agave!$D$25</f>
        <v>114728.31999999999</v>
      </c>
      <c r="C16" s="461">
        <f t="shared" si="0"/>
        <v>45347.162055335968</v>
      </c>
      <c r="D16" s="460">
        <f>+Agave!A25</f>
        <v>37327</v>
      </c>
      <c r="E16" s="441" t="s">
        <v>85</v>
      </c>
      <c r="F16" s="441" t="s">
        <v>298</v>
      </c>
      <c r="G16" s="441" t="s">
        <v>102</v>
      </c>
      <c r="H16" s="441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31</v>
      </c>
      <c r="B17" s="344">
        <f>+C17*$G$5</f>
        <v>102052.60999999999</v>
      </c>
      <c r="C17" s="275">
        <f>+Lonestar!F43</f>
        <v>40337</v>
      </c>
      <c r="D17" s="362">
        <f>+Lonestar!A43</f>
        <v>37327</v>
      </c>
      <c r="E17" s="32" t="s">
        <v>84</v>
      </c>
      <c r="F17" s="32" t="s">
        <v>298</v>
      </c>
      <c r="G17" s="32" t="s">
        <v>102</v>
      </c>
      <c r="H17" s="32"/>
      <c r="I17" s="15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6</v>
      </c>
      <c r="B18" s="590">
        <f>+Oasis!$D$40</f>
        <v>95615.680000000008</v>
      </c>
      <c r="C18" s="206">
        <f>+B18/$G$5</f>
        <v>37792.758893280639</v>
      </c>
      <c r="D18" s="363">
        <f>+Oasis!A40</f>
        <v>37327</v>
      </c>
      <c r="E18" s="32" t="s">
        <v>85</v>
      </c>
      <c r="F18" s="32" t="s">
        <v>153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23</v>
      </c>
      <c r="B19" s="344">
        <f>+C19*$G$3</f>
        <v>91203.969999999987</v>
      </c>
      <c r="C19" s="346">
        <f>+'Red C'!$F$45</f>
        <v>36049</v>
      </c>
      <c r="D19" s="362">
        <f>+'Red C'!A45</f>
        <v>37327</v>
      </c>
      <c r="E19" s="204" t="s">
        <v>84</v>
      </c>
      <c r="F19" s="32" t="s">
        <v>152</v>
      </c>
      <c r="G19" s="32" t="s">
        <v>115</v>
      </c>
      <c r="H19" s="32"/>
      <c r="I19" s="204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28</v>
      </c>
      <c r="B20" s="344">
        <f>+C20*$G$3</f>
        <v>82870.149999999994</v>
      </c>
      <c r="C20" s="275">
        <f>+williams!J40</f>
        <v>32755</v>
      </c>
      <c r="D20" s="362">
        <f>+williams!A40</f>
        <v>37327</v>
      </c>
      <c r="E20" s="204" t="s">
        <v>85</v>
      </c>
      <c r="F20" s="204" t="s">
        <v>153</v>
      </c>
      <c r="G20" s="204" t="s">
        <v>288</v>
      </c>
      <c r="H20" s="592" t="s">
        <v>315</v>
      </c>
      <c r="I20" s="441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295</v>
      </c>
      <c r="B21" s="344">
        <f>+Stratland!$D$41</f>
        <v>69765.440000000002</v>
      </c>
      <c r="C21" s="275">
        <f>+B21/$G$4</f>
        <v>27575.272727272732</v>
      </c>
      <c r="D21" s="362">
        <f>+Stratland!A41</f>
        <v>37315</v>
      </c>
      <c r="E21" s="32" t="s">
        <v>85</v>
      </c>
      <c r="F21" s="32" t="s">
        <v>297</v>
      </c>
      <c r="G21" s="32" t="s">
        <v>102</v>
      </c>
      <c r="H21" s="32"/>
      <c r="I21" s="32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304</v>
      </c>
      <c r="B22" s="344">
        <f>+Plains!$N$43</f>
        <v>66185.02</v>
      </c>
      <c r="C22" s="206">
        <f>+B22/$G$4</f>
        <v>26160.086956521744</v>
      </c>
      <c r="D22" s="362">
        <f>+Plains!A43</f>
        <v>37315</v>
      </c>
      <c r="E22" s="204" t="s">
        <v>85</v>
      </c>
      <c r="F22" s="204"/>
      <c r="G22" s="204" t="s">
        <v>100</v>
      </c>
      <c r="H22" s="204"/>
      <c r="I22" s="204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4">
        <f>+Continental!F43</f>
        <v>59475.54</v>
      </c>
      <c r="C23" s="206">
        <f>+B23/$G$4</f>
        <v>23508.1185770751</v>
      </c>
      <c r="D23" s="362">
        <f>+Continental!A43</f>
        <v>37327</v>
      </c>
      <c r="E23" s="204" t="s">
        <v>85</v>
      </c>
      <c r="F23" s="204" t="s">
        <v>153</v>
      </c>
      <c r="G23" s="204" t="s">
        <v>115</v>
      </c>
      <c r="H23" s="204"/>
      <c r="I23" s="589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139</v>
      </c>
      <c r="B24" s="344">
        <f>+'Citizens-Griffith'!D41</f>
        <v>54091.380000000005</v>
      </c>
      <c r="C24" s="275">
        <f>+B24/$G$4</f>
        <v>21379.992094861664</v>
      </c>
      <c r="D24" s="362">
        <f>+'Citizens-Griffith'!A41</f>
        <v>37327</v>
      </c>
      <c r="E24" s="204" t="s">
        <v>85</v>
      </c>
      <c r="F24" s="204" t="s">
        <v>298</v>
      </c>
      <c r="G24" s="204" t="s">
        <v>99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204" t="s">
        <v>146</v>
      </c>
      <c r="B25" s="344">
        <f>+PGETX!$H$39</f>
        <v>52424.14</v>
      </c>
      <c r="C25" s="275">
        <f>+B25/$G$4</f>
        <v>20721.003952569172</v>
      </c>
      <c r="D25" s="362">
        <f>+PGETX!E39</f>
        <v>37328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32" t="s">
        <v>110</v>
      </c>
      <c r="B26" s="344">
        <f>+C26*$G$4</f>
        <v>44495.109999999993</v>
      </c>
      <c r="C26" s="275">
        <f>+CIG!D42</f>
        <v>17587</v>
      </c>
      <c r="D26" s="363">
        <f>+CIG!A42</f>
        <v>37323</v>
      </c>
      <c r="E26" s="204" t="s">
        <v>84</v>
      </c>
      <c r="F26" s="32" t="s">
        <v>153</v>
      </c>
      <c r="G26" s="32" t="s">
        <v>113</v>
      </c>
      <c r="H26" s="585" t="s">
        <v>312</v>
      </c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">
      <c r="A27" s="204" t="s">
        <v>87</v>
      </c>
      <c r="B27" s="590">
        <f>+NNG!$D$24</f>
        <v>24232.78</v>
      </c>
      <c r="C27" s="275">
        <f>+B27/$G$4</f>
        <v>9578.173913043478</v>
      </c>
      <c r="D27" s="362">
        <f>+NNG!A24</f>
        <v>37326</v>
      </c>
      <c r="E27" s="204" t="s">
        <v>85</v>
      </c>
      <c r="F27" s="204" t="s">
        <v>297</v>
      </c>
      <c r="G27" s="204" t="s">
        <v>100</v>
      </c>
      <c r="H27" s="204"/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1" customFormat="1" ht="13.5" customHeight="1" x14ac:dyDescent="0.2">
      <c r="A28" s="32" t="s">
        <v>88</v>
      </c>
      <c r="B28" s="344">
        <f>+C28*$G$5</f>
        <v>17694.82</v>
      </c>
      <c r="C28" s="275">
        <f>+NGPL!H38</f>
        <v>6994</v>
      </c>
      <c r="D28" s="363">
        <f>+NGPL!A38</f>
        <v>37327</v>
      </c>
      <c r="E28" s="204" t="s">
        <v>84</v>
      </c>
      <c r="F28" s="32" t="s">
        <v>152</v>
      </c>
      <c r="G28" s="32" t="s">
        <v>115</v>
      </c>
      <c r="H28" s="32"/>
      <c r="I28" s="204"/>
      <c r="J28" s="204"/>
      <c r="K28" s="204"/>
      <c r="L28" s="204"/>
      <c r="M28" s="204"/>
      <c r="N28" s="468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3.5" customHeight="1" x14ac:dyDescent="0.2">
      <c r="A29" s="32" t="s">
        <v>278</v>
      </c>
      <c r="B29" s="344">
        <f>+'WTG inc'!N43</f>
        <v>17251.23</v>
      </c>
      <c r="C29" s="275">
        <f>+B29/$G$4</f>
        <v>6818.6679841897239</v>
      </c>
      <c r="D29" s="363">
        <f>+'WTG inc'!A43</f>
        <v>37327</v>
      </c>
      <c r="E29" s="32" t="s">
        <v>85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s="551" customFormat="1" ht="13.5" customHeight="1" x14ac:dyDescent="0.2">
      <c r="A30" s="204" t="s">
        <v>142</v>
      </c>
      <c r="B30" s="345">
        <f>+C30*$G$4</f>
        <v>15837.8</v>
      </c>
      <c r="C30" s="346">
        <f>+PEPL!D41</f>
        <v>6260</v>
      </c>
      <c r="D30" s="362">
        <f>+PEPL!A41</f>
        <v>37327</v>
      </c>
      <c r="E30" s="204" t="s">
        <v>84</v>
      </c>
      <c r="F30" s="204" t="s">
        <v>298</v>
      </c>
      <c r="G30" s="204" t="s">
        <v>100</v>
      </c>
      <c r="H30" s="32"/>
      <c r="I30" s="585"/>
      <c r="J30" s="204"/>
      <c r="K30" s="204"/>
      <c r="L30" s="204"/>
      <c r="M30" s="204"/>
      <c r="N30" s="468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209</v>
      </c>
      <c r="B31" s="344">
        <f>+Devon!D41</f>
        <v>12991.31</v>
      </c>
      <c r="C31" s="275">
        <f>+B31/$G$5</f>
        <v>5134.905138339921</v>
      </c>
      <c r="D31" s="363">
        <f>+Devon!A41</f>
        <v>37327</v>
      </c>
      <c r="E31" s="32" t="s">
        <v>85</v>
      </c>
      <c r="F31" s="32" t="s">
        <v>298</v>
      </c>
      <c r="G31" s="32" t="s">
        <v>99</v>
      </c>
      <c r="H31" s="585" t="s">
        <v>309</v>
      </c>
      <c r="I31" s="204"/>
      <c r="J31" s="32"/>
      <c r="K31" s="32"/>
      <c r="L31" s="32"/>
      <c r="M31" s="32"/>
      <c r="N31" s="378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3.5" customHeight="1" x14ac:dyDescent="0.2">
      <c r="A32" s="204" t="s">
        <v>71</v>
      </c>
      <c r="B32" s="345">
        <f>+transcol!$D$43</f>
        <v>11282.92</v>
      </c>
      <c r="C32" s="346">
        <f>+B32/$G$4</f>
        <v>4459.652173913044</v>
      </c>
      <c r="D32" s="362">
        <f>+transcol!A43</f>
        <v>37327</v>
      </c>
      <c r="E32" s="204" t="s">
        <v>85</v>
      </c>
      <c r="F32" s="204" t="s">
        <v>152</v>
      </c>
      <c r="G32" s="204" t="s">
        <v>115</v>
      </c>
      <c r="H32" s="204"/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127</v>
      </c>
      <c r="B33" s="344">
        <f>+Calpine!D41</f>
        <v>9610.5499999999993</v>
      </c>
      <c r="C33" s="206">
        <f>+B33/$G$4</f>
        <v>3798.6363636363635</v>
      </c>
      <c r="D33" s="362">
        <f>+Calpine!A41</f>
        <v>37327</v>
      </c>
      <c r="E33" s="204" t="s">
        <v>85</v>
      </c>
      <c r="F33" s="204" t="s">
        <v>152</v>
      </c>
      <c r="G33" s="204" t="s">
        <v>99</v>
      </c>
      <c r="H33" s="32"/>
      <c r="I33" s="32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131</v>
      </c>
      <c r="B34" s="590">
        <f>+SidR!D41</f>
        <v>6058.08</v>
      </c>
      <c r="C34" s="275">
        <f>+B34/$G$5</f>
        <v>2394.498023715415</v>
      </c>
      <c r="D34" s="363">
        <f>+SidR!A41</f>
        <v>37326</v>
      </c>
      <c r="E34" s="32" t="s">
        <v>85</v>
      </c>
      <c r="F34" s="32" t="s">
        <v>151</v>
      </c>
      <c r="G34" s="32" t="s">
        <v>102</v>
      </c>
      <c r="H34" s="32"/>
      <c r="I34" s="592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1" customFormat="1" ht="13.5" customHeight="1" x14ac:dyDescent="0.2">
      <c r="A35" s="32" t="s">
        <v>94</v>
      </c>
      <c r="B35" s="347">
        <f>+C35*$I$5</f>
        <v>3509.7999999999997</v>
      </c>
      <c r="C35" s="71">
        <f>+Mojave!D40</f>
        <v>1526</v>
      </c>
      <c r="D35" s="363">
        <f>+Mojave!A40</f>
        <v>37327</v>
      </c>
      <c r="E35" s="32" t="s">
        <v>85</v>
      </c>
      <c r="F35" s="32" t="s">
        <v>153</v>
      </c>
      <c r="G35" s="32" t="s">
        <v>100</v>
      </c>
      <c r="H35" s="585" t="s">
        <v>314</v>
      </c>
      <c r="I35" s="585"/>
      <c r="J35" s="204"/>
      <c r="K35" s="204"/>
      <c r="L35" s="204"/>
      <c r="M35" s="204"/>
      <c r="N35" s="468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8" customHeight="1" x14ac:dyDescent="0.2">
      <c r="A36" s="32" t="s">
        <v>96</v>
      </c>
      <c r="B36" s="47">
        <f>SUM(B8:B35)</f>
        <v>3294876.649999999</v>
      </c>
      <c r="C36" s="69">
        <f>SUM(C8:C35)</f>
        <v>1302461.513833992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49"/>
      <c r="G37" s="349"/>
      <c r="H37" s="32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2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4">
        <f>+Citizens!D18</f>
        <v>-595076.6399999999</v>
      </c>
      <c r="C39" s="206">
        <f>+B39/$G$4</f>
        <v>-235208.15810276679</v>
      </c>
      <c r="D39" s="362">
        <f>+Citizens!A18</f>
        <v>37327</v>
      </c>
      <c r="E39" s="204" t="s">
        <v>85</v>
      </c>
      <c r="F39" s="204" t="s">
        <v>298</v>
      </c>
      <c r="G39" s="204" t="s">
        <v>99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32" t="s">
        <v>133</v>
      </c>
      <c r="B40" s="344">
        <f>+'NS Steel'!D41</f>
        <v>-247499.01</v>
      </c>
      <c r="C40" s="206">
        <f>+B40/$G$4</f>
        <v>-97825.695652173919</v>
      </c>
      <c r="D40" s="363">
        <f>+'NS Steel'!A41</f>
        <v>37327</v>
      </c>
      <c r="E40" s="32" t="s">
        <v>85</v>
      </c>
      <c r="F40" s="32" t="s">
        <v>153</v>
      </c>
      <c r="G40" s="32" t="s">
        <v>100</v>
      </c>
      <c r="H40" s="350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255</v>
      </c>
      <c r="B41" s="344">
        <f>+MiVida_Rich!D41</f>
        <v>-191635</v>
      </c>
      <c r="C41" s="206">
        <f>+B41/$G$5</f>
        <v>-75745.059288537552</v>
      </c>
      <c r="D41" s="362">
        <f>+MiVida_Rich!A41</f>
        <v>37315</v>
      </c>
      <c r="E41" s="204" t="s">
        <v>85</v>
      </c>
      <c r="F41" s="204" t="s">
        <v>151</v>
      </c>
      <c r="G41" s="204" t="s">
        <v>102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32</v>
      </c>
      <c r="B42" s="344">
        <f>+C42*$G$4</f>
        <v>-146079.66999999998</v>
      </c>
      <c r="C42" s="206">
        <f>+SoCal!F40</f>
        <v>-57739</v>
      </c>
      <c r="D42" s="362">
        <f>+SoCal!A40</f>
        <v>37327</v>
      </c>
      <c r="E42" s="204" t="s">
        <v>84</v>
      </c>
      <c r="F42" s="204" t="s">
        <v>152</v>
      </c>
      <c r="G42" s="204" t="s">
        <v>102</v>
      </c>
      <c r="H42" s="32"/>
      <c r="I42" s="249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2" customFormat="1" ht="13.5" customHeight="1" x14ac:dyDescent="0.2">
      <c r="A43" s="32" t="s">
        <v>215</v>
      </c>
      <c r="B43" s="344">
        <f>+crosstex!F41</f>
        <v>-124764.95000000001</v>
      </c>
      <c r="C43" s="206">
        <f>+B43/$G$4</f>
        <v>-49314.209486166015</v>
      </c>
      <c r="D43" s="363">
        <f>+crosstex!A41</f>
        <v>37327</v>
      </c>
      <c r="E43" s="32" t="s">
        <v>85</v>
      </c>
      <c r="F43" s="32" t="s">
        <v>151</v>
      </c>
      <c r="G43" s="32" t="s">
        <v>100</v>
      </c>
      <c r="H43" s="350"/>
      <c r="I43" s="32"/>
      <c r="J43" s="249"/>
      <c r="K43" s="249"/>
      <c r="L43" s="249"/>
      <c r="M43" s="32"/>
      <c r="N43" s="468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552" customFormat="1" ht="13.5" customHeight="1" x14ac:dyDescent="0.2">
      <c r="A44" s="32" t="s">
        <v>114</v>
      </c>
      <c r="B44" s="344">
        <f>+C44*$G$4</f>
        <v>-88165.439999999988</v>
      </c>
      <c r="C44" s="206">
        <f>+'PG&amp;E'!D40</f>
        <v>-34848</v>
      </c>
      <c r="D44" s="363">
        <f>+'PG&amp;E'!A40</f>
        <v>37327</v>
      </c>
      <c r="E44" s="32" t="s">
        <v>84</v>
      </c>
      <c r="F44" s="32" t="s">
        <v>153</v>
      </c>
      <c r="G44" s="32" t="s">
        <v>102</v>
      </c>
      <c r="H44" s="32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">
      <c r="A45" s="204" t="s">
        <v>33</v>
      </c>
      <c r="B45" s="344">
        <f>+'El Paso'!C39*summary!G4+'El Paso'!E39*summary!G3</f>
        <v>-80532.429999999993</v>
      </c>
      <c r="C45" s="275">
        <f>+'El Paso'!H39</f>
        <v>-31831</v>
      </c>
      <c r="D45" s="362">
        <f>+'El Paso'!A39</f>
        <v>37327</v>
      </c>
      <c r="E45" s="204" t="s">
        <v>84</v>
      </c>
      <c r="F45" s="204" t="s">
        <v>153</v>
      </c>
      <c r="G45" s="204" t="s">
        <v>100</v>
      </c>
      <c r="H45" s="204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32" t="s">
        <v>103</v>
      </c>
      <c r="B46" s="590">
        <f>+EOG!$J$41</f>
        <v>-49228.21</v>
      </c>
      <c r="C46" s="275">
        <f>+B46/$G$4</f>
        <v>-19457.790513833992</v>
      </c>
      <c r="D46" s="362">
        <f>+EOG!A41</f>
        <v>37328</v>
      </c>
      <c r="E46" s="32" t="s">
        <v>85</v>
      </c>
      <c r="F46" s="32" t="s">
        <v>297</v>
      </c>
      <c r="G46" s="32" t="s">
        <v>102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">
      <c r="A47" s="32" t="s">
        <v>1</v>
      </c>
      <c r="B47" s="344">
        <f>+C47*$G$3</f>
        <v>-28470.089999999997</v>
      </c>
      <c r="C47" s="206">
        <f>+NW!$F$41</f>
        <v>-11253</v>
      </c>
      <c r="D47" s="362">
        <f>+NW!B41</f>
        <v>37328</v>
      </c>
      <c r="E47" s="32" t="s">
        <v>84</v>
      </c>
      <c r="F47" s="32" t="s">
        <v>152</v>
      </c>
      <c r="G47" s="32" t="s">
        <v>115</v>
      </c>
      <c r="H47" s="350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">
      <c r="A48" s="204" t="s">
        <v>308</v>
      </c>
      <c r="B48" s="345">
        <f>+Duke!B83</f>
        <v>-24707.340000000549</v>
      </c>
      <c r="C48" s="346">
        <f>+B48/$G$5</f>
        <v>-9765.7470355733403</v>
      </c>
      <c r="D48" s="362">
        <f>+DEFS!A40</f>
        <v>37327</v>
      </c>
      <c r="E48" s="204" t="s">
        <v>85</v>
      </c>
      <c r="F48" s="32" t="s">
        <v>152</v>
      </c>
      <c r="G48" s="32" t="s">
        <v>100</v>
      </c>
      <c r="H48" s="32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ht="13.5" customHeight="1" x14ac:dyDescent="0.2">
      <c r="A49" s="204" t="s">
        <v>203</v>
      </c>
      <c r="B49" s="345">
        <f>+WTGmktg!J43</f>
        <v>-17940.510000000002</v>
      </c>
      <c r="C49" s="206">
        <f>+B49/$G$4</f>
        <v>-7091.1106719367599</v>
      </c>
      <c r="D49" s="362">
        <f>+WTGmktg!A43</f>
        <v>37327</v>
      </c>
      <c r="E49" s="32" t="s">
        <v>85</v>
      </c>
      <c r="F49" s="204" t="s">
        <v>152</v>
      </c>
      <c r="G49" s="204" t="s">
        <v>115</v>
      </c>
      <c r="H49" s="204"/>
      <c r="I49" s="32"/>
      <c r="J49" s="32"/>
      <c r="K49" s="32"/>
      <c r="L49" s="32"/>
      <c r="M49" s="32"/>
      <c r="N49" s="378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32" t="s">
        <v>286</v>
      </c>
      <c r="B50" s="344">
        <f>+C50*$G$3</f>
        <v>-16915.579999999998</v>
      </c>
      <c r="C50" s="275">
        <f>+Amoco!D40</f>
        <v>-6686</v>
      </c>
      <c r="D50" s="363">
        <f>+Amoco!A40</f>
        <v>37327</v>
      </c>
      <c r="E50" s="32" t="s">
        <v>84</v>
      </c>
      <c r="F50" s="32" t="s">
        <v>152</v>
      </c>
      <c r="G50" s="32" t="s">
        <v>115</v>
      </c>
      <c r="H50" s="204"/>
      <c r="I50" s="204"/>
      <c r="J50" s="32"/>
      <c r="K50" s="32"/>
      <c r="L50" s="32"/>
      <c r="M50" s="32"/>
      <c r="N50" s="378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51" customFormat="1" ht="13.5" customHeight="1" x14ac:dyDescent="0.2">
      <c r="A51" s="32" t="s">
        <v>275</v>
      </c>
      <c r="B51" s="344">
        <f>+SWGasTrans!$D$41</f>
        <v>-10553.5</v>
      </c>
      <c r="C51" s="275">
        <f>+B51/$G$4</f>
        <v>-4171.343873517787</v>
      </c>
      <c r="D51" s="362">
        <f>+SWGasTrans!A41</f>
        <v>37327</v>
      </c>
      <c r="E51" s="32" t="s">
        <v>85</v>
      </c>
      <c r="F51" s="32" t="s">
        <v>152</v>
      </c>
      <c r="G51" s="32" t="s">
        <v>99</v>
      </c>
      <c r="H51" s="32"/>
      <c r="I51" s="204"/>
      <c r="J51" s="204"/>
      <c r="K51" s="204"/>
      <c r="L51" s="204"/>
      <c r="M51" s="204"/>
      <c r="N51" s="468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1" customFormat="1" ht="13.5" customHeight="1" x14ac:dyDescent="0.2">
      <c r="A52" s="204" t="s">
        <v>95</v>
      </c>
      <c r="B52" s="344">
        <f>+burlington!D42</f>
        <v>-7966.4000000000015</v>
      </c>
      <c r="C52" s="275">
        <f>+B52/$G$3</f>
        <v>-3148.7747035573129</v>
      </c>
      <c r="D52" s="362">
        <f>+burlington!A42</f>
        <v>37327</v>
      </c>
      <c r="E52" s="204" t="s">
        <v>85</v>
      </c>
      <c r="F52" s="32" t="s">
        <v>153</v>
      </c>
      <c r="G52" s="32" t="s">
        <v>113</v>
      </c>
      <c r="H52" s="32"/>
      <c r="I52" s="32"/>
      <c r="J52" s="204"/>
      <c r="K52" s="204"/>
      <c r="L52" s="204"/>
      <c r="M52" s="204"/>
      <c r="N52" s="468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86">
        <f>SUM(B39:B52)</f>
        <v>-1629534.7700000003</v>
      </c>
      <c r="C53" s="392">
        <f>SUM(C39:C52)</f>
        <v>-644084.88932806358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+B53+B36</f>
        <v>1665341.8799999987</v>
      </c>
      <c r="C55" s="353">
        <f>+C53+C36</f>
        <v>658376.62450592837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260</v>
      </c>
      <c r="B75" s="611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262</v>
      </c>
      <c r="B76" s="611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264</v>
      </c>
      <c r="B78" s="611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265</v>
      </c>
      <c r="B79" s="611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266</v>
      </c>
      <c r="B80" s="611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268</v>
      </c>
      <c r="B81" s="617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270</v>
      </c>
      <c r="B82" s="617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271</v>
      </c>
      <c r="B83" s="617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272</v>
      </c>
      <c r="B84" s="620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276</v>
      </c>
      <c r="B89" s="617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324</v>
      </c>
      <c r="B94" s="610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D40" sqref="D4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421880</v>
      </c>
      <c r="C37" s="11">
        <f>SUM(C6:C36)</f>
        <v>411760</v>
      </c>
      <c r="D37" s="25">
        <f>SUM(D6:D36)</f>
        <v>-10120</v>
      </c>
    </row>
    <row r="38" spans="1:4" x14ac:dyDescent="0.2">
      <c r="A38" s="26"/>
      <c r="B38" s="31"/>
      <c r="C38" s="14"/>
      <c r="D38" s="326">
        <f>+summary!G5</f>
        <v>2.5299999999999998</v>
      </c>
    </row>
    <row r="39" spans="1:4" x14ac:dyDescent="0.2">
      <c r="D39" s="138">
        <f>+D38*D37</f>
        <v>-25603.599999999999</v>
      </c>
    </row>
    <row r="40" spans="1:4" x14ac:dyDescent="0.2">
      <c r="A40" s="57">
        <v>37315</v>
      </c>
      <c r="C40" s="15"/>
      <c r="D40" s="612">
        <v>166939.17000000001</v>
      </c>
    </row>
    <row r="41" spans="1:4" x14ac:dyDescent="0.2">
      <c r="A41" s="57">
        <v>37327</v>
      </c>
      <c r="C41" s="48"/>
      <c r="D41" s="138">
        <f>+D40+D39</f>
        <v>141335.57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93375</v>
      </c>
    </row>
    <row r="46" spans="1:4" x14ac:dyDescent="0.2">
      <c r="A46" s="49">
        <f>+A41</f>
        <v>37327</v>
      </c>
      <c r="B46" s="32"/>
      <c r="C46" s="32"/>
      <c r="D46" s="348">
        <f>+D37</f>
        <v>-10120</v>
      </c>
    </row>
    <row r="47" spans="1:4" x14ac:dyDescent="0.2">
      <c r="A47" s="32"/>
      <c r="B47" s="32"/>
      <c r="C47" s="32"/>
      <c r="D47" s="14">
        <f>+D46+D45</f>
        <v>83255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0" sqref="C40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499872</v>
      </c>
      <c r="C37" s="11">
        <f>SUM(C6:C36)</f>
        <v>498708</v>
      </c>
      <c r="D37" s="25">
        <f>SUM(D6:D36)</f>
        <v>-1164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-2944.9199999999996</v>
      </c>
    </row>
    <row r="40" spans="1:4" x14ac:dyDescent="0.2">
      <c r="A40" s="57">
        <v>37315</v>
      </c>
      <c r="C40" s="15"/>
      <c r="D40" s="579">
        <v>9003</v>
      </c>
    </row>
    <row r="41" spans="1:4" x14ac:dyDescent="0.2">
      <c r="A41" s="57">
        <v>37326</v>
      </c>
      <c r="C41" s="48"/>
      <c r="D41" s="138">
        <f>+D40+D39</f>
        <v>6058.08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4076</v>
      </c>
    </row>
    <row r="47" spans="1:4" x14ac:dyDescent="0.2">
      <c r="A47" s="49">
        <f>+A41</f>
        <v>37326</v>
      </c>
      <c r="B47" s="32"/>
      <c r="C47" s="32"/>
      <c r="D47" s="348">
        <f>+D37</f>
        <v>-1164</v>
      </c>
    </row>
    <row r="48" spans="1:4" x14ac:dyDescent="0.2">
      <c r="A48" s="32"/>
      <c r="B48" s="32"/>
      <c r="C48" s="32"/>
      <c r="D48" s="14">
        <f>+D47+D46</f>
        <v>2912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41" sqref="C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-15105</v>
      </c>
      <c r="C37" s="11">
        <f>SUM(C6:C36)</f>
        <v>-12456</v>
      </c>
      <c r="D37" s="25">
        <f>SUM(D6:D36)</f>
        <v>2649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6701.9699999999993</v>
      </c>
    </row>
    <row r="40" spans="1:4" x14ac:dyDescent="0.2">
      <c r="A40" s="57">
        <v>37315</v>
      </c>
      <c r="C40" s="15"/>
      <c r="D40" s="612">
        <v>-254200.98</v>
      </c>
    </row>
    <row r="41" spans="1:4" x14ac:dyDescent="0.2">
      <c r="A41" s="57">
        <v>37327</v>
      </c>
      <c r="C41" s="48"/>
      <c r="D41" s="138">
        <f>+D40+D39</f>
        <v>-247499.01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7">
        <v>3963</v>
      </c>
    </row>
    <row r="49" spans="1:4" x14ac:dyDescent="0.2">
      <c r="A49" s="49">
        <f>+A41</f>
        <v>37327</v>
      </c>
      <c r="B49" s="32"/>
      <c r="C49" s="32"/>
      <c r="D49" s="348">
        <f>+D37</f>
        <v>2649</v>
      </c>
    </row>
    <row r="50" spans="1:4" x14ac:dyDescent="0.2">
      <c r="A50" s="32"/>
      <c r="B50" s="32"/>
      <c r="C50" s="32"/>
      <c r="D50" s="14">
        <f>+D49+D48</f>
        <v>6612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B40" sqref="B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-422924</v>
      </c>
      <c r="C37" s="11">
        <f>SUM(C6:C36)</f>
        <v>-426000</v>
      </c>
      <c r="D37" s="25">
        <f>SUM(D6:D36)</f>
        <v>-3076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-7782.28</v>
      </c>
    </row>
    <row r="40" spans="1:4" x14ac:dyDescent="0.2">
      <c r="A40" s="57">
        <v>37315</v>
      </c>
      <c r="C40" s="15"/>
      <c r="D40" s="612">
        <v>61873.66</v>
      </c>
    </row>
    <row r="41" spans="1:4" x14ac:dyDescent="0.2">
      <c r="A41" s="57">
        <v>37327</v>
      </c>
      <c r="C41" s="48"/>
      <c r="D41" s="138">
        <f>+D40+D39</f>
        <v>54091.380000000005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33068</v>
      </c>
    </row>
    <row r="47" spans="1:4" x14ac:dyDescent="0.2">
      <c r="A47" s="49">
        <f>+A41</f>
        <v>37327</v>
      </c>
      <c r="B47" s="32"/>
      <c r="C47" s="32"/>
      <c r="D47" s="348">
        <f>+D37</f>
        <v>-3076</v>
      </c>
    </row>
    <row r="48" spans="1:4" x14ac:dyDescent="0.2">
      <c r="A48" s="32"/>
      <c r="B48" s="32"/>
      <c r="C48" s="32"/>
      <c r="D48" s="14">
        <f>+D47+D46</f>
        <v>29992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D13" sqref="D13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-1512</v>
      </c>
      <c r="D5" s="90">
        <f>+C5-B5</f>
        <v>-1512</v>
      </c>
      <c r="E5" s="275"/>
      <c r="F5" s="273"/>
    </row>
    <row r="6" spans="1:13" x14ac:dyDescent="0.2">
      <c r="A6" s="87">
        <v>500046</v>
      </c>
      <c r="B6" s="90">
        <v>-5365</v>
      </c>
      <c r="C6" s="90"/>
      <c r="D6" s="90">
        <f t="shared" ref="D6:D11" si="0">+C6-B6</f>
        <v>5365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-9876</v>
      </c>
      <c r="C8" s="90">
        <v>-20544</v>
      </c>
      <c r="D8" s="90">
        <f t="shared" si="0"/>
        <v>-10668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-6815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2.5299999999999998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-17241.949999999997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37327</v>
      </c>
      <c r="B18" s="88"/>
      <c r="C18" s="88"/>
      <c r="D18" s="318">
        <f>+D16+D14</f>
        <v>-595076.6399999999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7">
        <v>-55913</v>
      </c>
    </row>
    <row r="23" spans="1:7" x14ac:dyDescent="0.2">
      <c r="A23" s="49"/>
      <c r="B23" s="32"/>
      <c r="C23" s="32"/>
      <c r="D23" s="348">
        <f>+D12</f>
        <v>-6815</v>
      </c>
    </row>
    <row r="24" spans="1:7" x14ac:dyDescent="0.2">
      <c r="A24" s="49">
        <f>+A18</f>
        <v>37327</v>
      </c>
      <c r="B24" s="32"/>
      <c r="C24" s="32"/>
      <c r="D24" s="14">
        <f>+D23+D22</f>
        <v>-62728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9.4866190536921291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41" sqref="C4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-540893</v>
      </c>
      <c r="C37" s="11">
        <f>SUM(C6:C36)</f>
        <v>-531762</v>
      </c>
      <c r="D37" s="25">
        <f>SUM(D6:D36)</f>
        <v>9131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4">
        <f>-22463+19592</f>
        <v>-2871</v>
      </c>
    </row>
    <row r="41" spans="1:4" x14ac:dyDescent="0.2">
      <c r="A41" s="57">
        <v>37327</v>
      </c>
      <c r="C41" s="48"/>
      <c r="D41" s="25">
        <f>+D40+D37</f>
        <v>6260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37327</v>
      </c>
      <c r="B46" s="32"/>
      <c r="C46" s="32"/>
      <c r="D46" s="373">
        <f>+D37*'by type_area'!G4</f>
        <v>23101.429999999997</v>
      </c>
    </row>
    <row r="47" spans="1:4" x14ac:dyDescent="0.2">
      <c r="A47" s="32"/>
      <c r="B47" s="32"/>
      <c r="C47" s="32"/>
      <c r="D47" s="200">
        <f>+D46+D45</f>
        <v>177837.43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2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-644</v>
      </c>
      <c r="H13" s="11"/>
      <c r="I13" s="11"/>
      <c r="J13" s="11">
        <f t="shared" si="0"/>
        <v>-132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-153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-119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-1887</v>
      </c>
      <c r="C37" s="11">
        <f t="shared" ref="C37:I37" si="1">SUM(C6:C36)</f>
        <v>-1440</v>
      </c>
      <c r="D37" s="11">
        <f t="shared" si="1"/>
        <v>0</v>
      </c>
      <c r="E37" s="11">
        <f t="shared" si="1"/>
        <v>0</v>
      </c>
      <c r="F37" s="11">
        <f t="shared" si="1"/>
        <v>-11043</v>
      </c>
      <c r="G37" s="11">
        <f t="shared" si="1"/>
        <v>-7557</v>
      </c>
      <c r="H37" s="11">
        <f t="shared" si="1"/>
        <v>0</v>
      </c>
      <c r="I37" s="11">
        <f t="shared" si="1"/>
        <v>0</v>
      </c>
      <c r="J37" s="11">
        <f>SUM(J6:J36)</f>
        <v>3933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2.5299999999999998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9950.49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3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37327</v>
      </c>
      <c r="J43" s="319">
        <f>+J41+J39</f>
        <v>-17940.510000000002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7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37327</v>
      </c>
      <c r="B49" s="32"/>
      <c r="C49" s="32"/>
      <c r="D49" s="348">
        <f>+J37</f>
        <v>3933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4113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7" sqref="A1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277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-9285</v>
      </c>
      <c r="M37" s="11">
        <f>SUM(M6:M36)</f>
        <v>-10183</v>
      </c>
      <c r="N37" s="11">
        <f t="shared" si="1"/>
        <v>-898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2.5299999999999998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-2271.9399999999996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3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37327</v>
      </c>
      <c r="N43" s="319">
        <f>+N41+N39</f>
        <v>17251.23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7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37327</v>
      </c>
      <c r="B49" s="32"/>
      <c r="C49" s="32"/>
      <c r="D49" s="348">
        <f>+N37</f>
        <v>-898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4973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1866</v>
      </c>
      <c r="C37" s="11">
        <f>SUM(C6:C36)</f>
        <v>1502</v>
      </c>
      <c r="D37" s="25">
        <f>SUM(D6:D36)</f>
        <v>-364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-920.92</v>
      </c>
    </row>
    <row r="40" spans="1:4" x14ac:dyDescent="0.2">
      <c r="A40" s="57">
        <v>37315</v>
      </c>
      <c r="C40" s="15"/>
      <c r="D40" s="612">
        <v>172008.39</v>
      </c>
    </row>
    <row r="41" spans="1:4" x14ac:dyDescent="0.2">
      <c r="A41" s="57">
        <v>37327</v>
      </c>
      <c r="C41" s="48"/>
      <c r="D41" s="138">
        <f>+D40+D39</f>
        <v>171087.47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75165</v>
      </c>
    </row>
    <row r="47" spans="1:4" x14ac:dyDescent="0.2">
      <c r="A47" s="49">
        <f>+A41</f>
        <v>37327</v>
      </c>
      <c r="B47" s="32"/>
      <c r="C47" s="32"/>
      <c r="D47" s="348">
        <f>+D37</f>
        <v>-364</v>
      </c>
    </row>
    <row r="48" spans="1:4" x14ac:dyDescent="0.2">
      <c r="A48" s="32"/>
      <c r="B48" s="32"/>
      <c r="C48" s="32"/>
      <c r="D48" s="14">
        <f>+D47+D46</f>
        <v>74801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9" sqref="C3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3850544</v>
      </c>
      <c r="C35" s="11">
        <f t="shared" ref="C35:I35" si="3">SUM(C4:C34)</f>
        <v>3752113</v>
      </c>
      <c r="D35" s="11">
        <f t="shared" si="3"/>
        <v>0</v>
      </c>
      <c r="E35" s="11">
        <f t="shared" si="3"/>
        <v>105935</v>
      </c>
      <c r="F35" s="11">
        <f t="shared" si="3"/>
        <v>438384</v>
      </c>
      <c r="G35" s="11">
        <f t="shared" si="3"/>
        <v>438684</v>
      </c>
      <c r="H35" s="11">
        <f t="shared" si="3"/>
        <v>1681246</v>
      </c>
      <c r="I35" s="11">
        <f t="shared" si="3"/>
        <v>1706197</v>
      </c>
      <c r="J35" s="11">
        <f>SUM(J4:J34)</f>
        <v>32755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37327</v>
      </c>
      <c r="J40" s="51">
        <f>+J38+J35</f>
        <v>32755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37327</v>
      </c>
      <c r="B47" s="32"/>
      <c r="C47" s="32"/>
      <c r="D47" s="373">
        <f>+J35*'by type_area'!G3</f>
        <v>82870.149999999994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167331.15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4783</v>
      </c>
      <c r="D37" s="25">
        <f>SUM(D6:D36)</f>
        <v>4727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11959.31</v>
      </c>
    </row>
    <row r="40" spans="1:4" x14ac:dyDescent="0.2">
      <c r="A40" s="57">
        <v>37315</v>
      </c>
      <c r="C40" s="15"/>
      <c r="D40" s="575">
        <v>1032</v>
      </c>
    </row>
    <row r="41" spans="1:4" x14ac:dyDescent="0.2">
      <c r="A41" s="57">
        <v>37327</v>
      </c>
      <c r="C41" s="48"/>
      <c r="D41" s="138">
        <f>+D40+D39</f>
        <v>12991.31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487</v>
      </c>
    </row>
    <row r="47" spans="1:4" x14ac:dyDescent="0.2">
      <c r="A47" s="49">
        <f>+A41</f>
        <v>37327</v>
      </c>
      <c r="B47" s="32"/>
      <c r="C47" s="32"/>
      <c r="D47" s="348">
        <f>+D37</f>
        <v>4727</v>
      </c>
    </row>
    <row r="48" spans="1:4" x14ac:dyDescent="0.2">
      <c r="A48" s="32"/>
      <c r="B48" s="32"/>
      <c r="C48" s="32"/>
      <c r="D48" s="14">
        <f>+D47+D46</f>
        <v>5214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-25613</v>
      </c>
      <c r="C37" s="24">
        <f>SUM(C6:C36)</f>
        <v>-23556</v>
      </c>
      <c r="D37" s="24">
        <f>SUM(D6:D36)</f>
        <v>-20444</v>
      </c>
      <c r="E37" s="24">
        <f>SUM(E6:E36)</f>
        <v>-24000</v>
      </c>
      <c r="F37" s="24">
        <f>SUM(F6:F36)</f>
        <v>-1499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2.5299999999999998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-3792.47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2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37327</v>
      </c>
      <c r="C41" s="319"/>
      <c r="D41" s="262"/>
      <c r="E41" s="262"/>
      <c r="F41" s="104">
        <f>+F40+F39</f>
        <v>-124764.95000000001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7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37327</v>
      </c>
      <c r="B47" s="32"/>
      <c r="C47" s="32"/>
      <c r="D47" s="348">
        <f>+F37</f>
        <v>-1499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-36445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5" workbookViewId="0">
      <selection activeCell="A42" sqref="A42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-42563</v>
      </c>
      <c r="C37" s="24">
        <f t="shared" si="1"/>
        <v>-34516</v>
      </c>
      <c r="D37" s="24">
        <f t="shared" si="1"/>
        <v>-982</v>
      </c>
      <c r="E37" s="24">
        <f t="shared" si="1"/>
        <v>-286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8743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2.5299999999999998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22119.789999999997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1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37327</v>
      </c>
      <c r="E41" s="14"/>
      <c r="O41" s="440"/>
      <c r="P41" s="104">
        <f>+P40+P39</f>
        <v>129786.2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8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37327</v>
      </c>
      <c r="B47" s="32"/>
      <c r="C47" s="32"/>
      <c r="D47" s="348">
        <f>+P37</f>
        <v>8743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54267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2.3916229015792285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" sqref="B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274</v>
      </c>
      <c r="C3" s="87"/>
      <c r="D3" s="87"/>
    </row>
    <row r="4" spans="1:4" x14ac:dyDescent="0.2">
      <c r="A4" s="3"/>
      <c r="B4" s="328" t="s">
        <v>273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-213158</v>
      </c>
      <c r="C37" s="11">
        <f>SUM(C6:C36)</f>
        <v>-211116</v>
      </c>
      <c r="D37" s="25">
        <f>SUM(D6:D36)</f>
        <v>2042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5166.2599999999993</v>
      </c>
    </row>
    <row r="40" spans="1:4" x14ac:dyDescent="0.2">
      <c r="A40" s="57">
        <v>37315</v>
      </c>
      <c r="C40" s="15"/>
      <c r="D40" s="612">
        <v>-15719.76</v>
      </c>
    </row>
    <row r="41" spans="1:4" x14ac:dyDescent="0.2">
      <c r="A41" s="57">
        <v>37327</v>
      </c>
      <c r="C41" s="48"/>
      <c r="D41" s="138">
        <f>+D40+D39</f>
        <v>-10553.5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5419</v>
      </c>
    </row>
    <row r="47" spans="1:4" x14ac:dyDescent="0.2">
      <c r="A47" s="49">
        <f>+A41</f>
        <v>37327</v>
      </c>
      <c r="B47" s="32"/>
      <c r="C47" s="32"/>
      <c r="D47" s="348">
        <f>+D37</f>
        <v>2042</v>
      </c>
    </row>
    <row r="48" spans="1:4" x14ac:dyDescent="0.2">
      <c r="A48" s="32"/>
      <c r="B48" s="32"/>
      <c r="C48" s="32"/>
      <c r="D48" s="14">
        <f>+D47+D46</f>
        <v>7461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293</v>
      </c>
      <c r="C3" s="87"/>
      <c r="D3" s="87"/>
    </row>
    <row r="4" spans="1:4" x14ac:dyDescent="0.2">
      <c r="A4" s="3"/>
      <c r="B4" s="328" t="s">
        <v>294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2.5299999999999998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3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8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323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317</v>
      </c>
      <c r="C4" s="518"/>
      <c r="D4" s="519" t="s">
        <v>318</v>
      </c>
      <c r="E4" s="518"/>
      <c r="F4" s="519" t="s">
        <v>319</v>
      </c>
      <c r="G4" s="518"/>
      <c r="H4" s="519" t="s">
        <v>320</v>
      </c>
      <c r="I4" s="518"/>
      <c r="J4" s="519" t="s">
        <v>321</v>
      </c>
      <c r="K4" s="518"/>
      <c r="L4" s="519" t="s">
        <v>322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2.5299999999999998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3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7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42" sqref="C4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1781481</v>
      </c>
      <c r="C38" s="11">
        <f>SUM(C7:C37)</f>
        <v>1783844</v>
      </c>
      <c r="D38" s="11">
        <f>SUM(D7:D37)</f>
        <v>2363</v>
      </c>
    </row>
    <row r="39" spans="1:8" x14ac:dyDescent="0.2">
      <c r="A39" s="26"/>
      <c r="C39" s="14"/>
      <c r="D39" s="106">
        <f>+summary!G3</f>
        <v>2.5299999999999998</v>
      </c>
    </row>
    <row r="40" spans="1:8" x14ac:dyDescent="0.2">
      <c r="D40" s="138">
        <f>+D39*D38</f>
        <v>5978.3899999999994</v>
      </c>
      <c r="H40">
        <v>20</v>
      </c>
    </row>
    <row r="41" spans="1:8" x14ac:dyDescent="0.2">
      <c r="A41" s="57">
        <v>37315</v>
      </c>
      <c r="C41" s="15"/>
      <c r="D41" s="602">
        <v>-13944.79</v>
      </c>
      <c r="H41">
        <v>530</v>
      </c>
    </row>
    <row r="42" spans="1:8" x14ac:dyDescent="0.2">
      <c r="A42" s="57">
        <v>37327</v>
      </c>
      <c r="D42" s="319">
        <f>+D41+D40</f>
        <v>-7966.4000000000015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98">
        <v>-7030</v>
      </c>
    </row>
    <row r="48" spans="1:8" x14ac:dyDescent="0.2">
      <c r="A48" s="49">
        <f>+A42</f>
        <v>37327</v>
      </c>
      <c r="B48" s="32"/>
      <c r="C48" s="32"/>
      <c r="D48" s="348">
        <f>+D38</f>
        <v>2363</v>
      </c>
    </row>
    <row r="49" spans="1:4" x14ac:dyDescent="0.2">
      <c r="A49" s="32"/>
      <c r="B49" s="32"/>
      <c r="C49" s="32"/>
      <c r="D49" s="14">
        <f>+D48+D47</f>
        <v>-4667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-307857</v>
      </c>
      <c r="C36" s="44">
        <f>SUM(C5:C35)</f>
        <v>-317169</v>
      </c>
      <c r="D36" s="43">
        <f>SUM(D5:D35)</f>
        <v>-358820</v>
      </c>
      <c r="E36" s="43">
        <f>SUM(E5:E35)</f>
        <v>-370742</v>
      </c>
      <c r="F36" s="11">
        <f>SUM(F5:F35)</f>
        <v>-21234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2.5299999999999998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-53722.02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600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37327</v>
      </c>
      <c r="B43" s="32"/>
      <c r="C43" s="106"/>
      <c r="D43" s="106"/>
      <c r="E43" s="106"/>
      <c r="F43" s="24">
        <f>+F42+F36</f>
        <v>40337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37327</v>
      </c>
      <c r="B49" s="32"/>
      <c r="C49" s="32"/>
      <c r="D49" s="76">
        <f>+F36</f>
        <v>-21234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69059.960000000006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-2512882</v>
      </c>
      <c r="C35" s="11">
        <f>SUM(C4:C34)</f>
        <v>-2553123</v>
      </c>
      <c r="D35" s="11">
        <f>SUM(D4:D34)</f>
        <v>-40241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3">
        <v>5393</v>
      </c>
    </row>
    <row r="39" spans="1:30" x14ac:dyDescent="0.2">
      <c r="A39" s="12"/>
      <c r="D39" s="51"/>
    </row>
    <row r="40" spans="1:30" x14ac:dyDescent="0.2">
      <c r="A40" s="245">
        <v>37327</v>
      </c>
      <c r="D40" s="51">
        <f>+D38+D35</f>
        <v>-34848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37327</v>
      </c>
      <c r="B46" s="32"/>
      <c r="C46" s="32"/>
      <c r="D46" s="373">
        <f>+D35*'by type_area'!G4</f>
        <v>-101809.73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-294702.73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9" sqref="C3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-6633019</v>
      </c>
      <c r="C35" s="11">
        <f>SUM(C4:C34)</f>
        <v>-6769245</v>
      </c>
      <c r="D35" s="11">
        <f>SUM(D4:D34)</f>
        <v>0</v>
      </c>
      <c r="E35" s="11">
        <f>SUM(E4:E34)</f>
        <v>0</v>
      </c>
      <c r="F35" s="11">
        <f>SUM(F4:F34)</f>
        <v>-136226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6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37327</v>
      </c>
      <c r="D40" s="246"/>
      <c r="E40" s="246"/>
      <c r="F40" s="51">
        <f>+F38+F35</f>
        <v>-57739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37327</v>
      </c>
      <c r="B46" s="32"/>
      <c r="C46" s="32"/>
      <c r="D46" s="471">
        <f>+F35*'by type_area'!G4</f>
        <v>-344651.77999999997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-67164.77999999997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B36" sqref="B3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-94806</v>
      </c>
      <c r="C16" s="11">
        <v>-49783</v>
      </c>
      <c r="D16" s="11"/>
      <c r="E16" s="11">
        <v>-45000</v>
      </c>
      <c r="F16" s="11"/>
      <c r="G16" s="11"/>
      <c r="H16" s="11">
        <f t="shared" si="0"/>
        <v>23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-927637</v>
      </c>
      <c r="C35" s="44">
        <f t="shared" si="3"/>
        <v>-357269</v>
      </c>
      <c r="D35" s="11">
        <f t="shared" si="3"/>
        <v>-46726</v>
      </c>
      <c r="E35" s="44">
        <f t="shared" si="3"/>
        <v>-610456</v>
      </c>
      <c r="F35" s="11">
        <f t="shared" si="3"/>
        <v>0</v>
      </c>
      <c r="G35" s="11">
        <f t="shared" si="3"/>
        <v>0</v>
      </c>
      <c r="H35" s="11">
        <f t="shared" si="3"/>
        <v>6638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2.5299999999999998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16794.14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37328</v>
      </c>
      <c r="F39" s="470"/>
      <c r="G39" s="470"/>
      <c r="H39" s="319">
        <f>+H38+H37</f>
        <v>52424.14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37328</v>
      </c>
      <c r="E47" s="456">
        <f>+H35</f>
        <v>6638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51324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-3378741</v>
      </c>
      <c r="E36" s="11">
        <f t="shared" si="15"/>
        <v>-3448020</v>
      </c>
      <c r="F36" s="11">
        <f t="shared" si="15"/>
        <v>0</v>
      </c>
      <c r="G36" s="11">
        <f t="shared" si="15"/>
        <v>0</v>
      </c>
      <c r="H36" s="11">
        <f t="shared" si="15"/>
        <v>-69279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-69279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6">
        <v>64269</v>
      </c>
      <c r="D38" s="320"/>
      <c r="E38" s="625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37327</v>
      </c>
      <c r="B39" s="2" t="s">
        <v>45</v>
      </c>
      <c r="C39" s="131">
        <f>+C38+C37</f>
        <v>64269</v>
      </c>
      <c r="D39" s="252"/>
      <c r="E39" s="131">
        <f>+E38+E37</f>
        <v>-96100</v>
      </c>
      <c r="F39" s="252"/>
      <c r="G39" s="131"/>
      <c r="H39" s="131">
        <f>+H38+H36</f>
        <v>-31831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37327</v>
      </c>
      <c r="B45" s="32"/>
      <c r="C45" s="47">
        <f>+C37*summary!G4</f>
        <v>0</v>
      </c>
      <c r="D45" s="205"/>
      <c r="E45" s="375">
        <f>+E37*summary!G3</f>
        <v>-175275.87</v>
      </c>
      <c r="F45" s="47">
        <f>+E45+C45</f>
        <v>-175275.87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29</vt:i4>
      </vt:variant>
    </vt:vector>
  </HeadingPairs>
  <TitlesOfParts>
    <vt:vector size="75" baseType="lpstr">
      <vt:lpstr>monthly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2002-03-14T21:51:03Z</cp:lastPrinted>
  <dcterms:created xsi:type="dcterms:W3CDTF">2000-03-28T16:52:23Z</dcterms:created>
  <dcterms:modified xsi:type="dcterms:W3CDTF">2014-09-03T14:23:44Z</dcterms:modified>
</cp:coreProperties>
</file>