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30" i="8" s="1"/>
  <c r="D31" i="8" s="1"/>
  <c r="D50" i="80" s="1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2" i="80" s="1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37" i="74" s="1"/>
  <c r="D46" i="74" s="1"/>
  <c r="D47" i="74" s="1"/>
  <c r="D12" i="80" s="1"/>
  <c r="D8" i="74"/>
  <c r="J8" i="74"/>
  <c r="L8" i="74"/>
  <c r="D9" i="74"/>
  <c r="J9" i="74"/>
  <c r="L9" i="74"/>
  <c r="M9" i="74"/>
  <c r="M10" i="74" s="1"/>
  <c r="D10" i="74"/>
  <c r="J10" i="74"/>
  <c r="L10" i="74" s="1"/>
  <c r="D11" i="74"/>
  <c r="H11" i="74"/>
  <c r="J11" i="74"/>
  <c r="L11" i="74"/>
  <c r="M11" i="74"/>
  <c r="M12" i="74" s="1"/>
  <c r="M13" i="74" s="1"/>
  <c r="M14" i="74" s="1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D18" i="74"/>
  <c r="D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A45" i="74"/>
  <c r="A46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M4" i="13" s="1"/>
  <c r="M13" i="13" s="1"/>
  <c r="F5" i="13"/>
  <c r="I5" i="13"/>
  <c r="K5" i="13" s="1"/>
  <c r="M5" i="13" s="1"/>
  <c r="J5" i="13"/>
  <c r="N5" i="13"/>
  <c r="N10" i="13" s="1"/>
  <c r="F6" i="13"/>
  <c r="I6" i="13"/>
  <c r="J6" i="13"/>
  <c r="K6" i="13"/>
  <c r="M6" i="13" s="1"/>
  <c r="N6" i="13"/>
  <c r="F7" i="13"/>
  <c r="I7" i="13"/>
  <c r="J7" i="13"/>
  <c r="K7" i="13" s="1"/>
  <c r="M7" i="13" s="1"/>
  <c r="N7" i="13"/>
  <c r="F8" i="13"/>
  <c r="I8" i="13"/>
  <c r="J8" i="13"/>
  <c r="K8" i="13" s="1"/>
  <c r="M8" i="13" s="1"/>
  <c r="N8" i="13"/>
  <c r="F9" i="13"/>
  <c r="I9" i="13"/>
  <c r="K9" i="13" s="1"/>
  <c r="J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J35" i="73"/>
  <c r="J36" i="73" s="1"/>
  <c r="C36" i="73"/>
  <c r="I35" i="73" s="1"/>
  <c r="I36" i="73" s="1"/>
  <c r="E36" i="73"/>
  <c r="F36" i="73" s="1"/>
  <c r="F39" i="73"/>
  <c r="F46" i="73"/>
  <c r="H41" i="73" s="1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B79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9" i="20"/>
  <c r="B10" i="20"/>
  <c r="B18" i="20" s="1"/>
  <c r="F39" i="20" s="1"/>
  <c r="F40" i="20" s="1"/>
  <c r="D31" i="80" s="1"/>
  <c r="J11" i="20"/>
  <c r="J15" i="20" s="1"/>
  <c r="B13" i="20"/>
  <c r="B14" i="20"/>
  <c r="B15" i="20"/>
  <c r="B17" i="20"/>
  <c r="B31" i="20"/>
  <c r="B32" i="20"/>
  <c r="C32" i="20" s="1"/>
  <c r="C33" i="20" s="1"/>
  <c r="C78" i="73" s="1"/>
  <c r="E38" i="20"/>
  <c r="E39" i="20"/>
  <c r="G39" i="20"/>
  <c r="G40" i="20" s="1"/>
  <c r="B44" i="20"/>
  <c r="B45" i="20"/>
  <c r="B46" i="20"/>
  <c r="H39" i="20" s="1"/>
  <c r="H40" i="20" s="1"/>
  <c r="H5" i="11"/>
  <c r="H6" i="11"/>
  <c r="H7" i="11"/>
  <c r="H8" i="11"/>
  <c r="AB8" i="11"/>
  <c r="AN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P36" i="11" s="1"/>
  <c r="AI36" i="11"/>
  <c r="AL36" i="11"/>
  <c r="AM36" i="11"/>
  <c r="AN36" i="11"/>
  <c r="AO36" i="11"/>
  <c r="C37" i="11"/>
  <c r="C39" i="11" s="1"/>
  <c r="B70" i="80" s="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9" i="80" s="1"/>
  <c r="D38" i="75"/>
  <c r="A45" i="75"/>
  <c r="A46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 s="1"/>
  <c r="D26" i="22"/>
  <c r="F26" i="22" s="1"/>
  <c r="D27" i="22"/>
  <c r="F27" i="22" s="1"/>
  <c r="D28" i="22"/>
  <c r="F28" i="22"/>
  <c r="D29" i="22"/>
  <c r="F29" i="22" s="1"/>
  <c r="D30" i="22"/>
  <c r="F30" i="22" s="1"/>
  <c r="D31" i="22"/>
  <c r="F31" i="22"/>
  <c r="D32" i="22"/>
  <c r="F32" i="22"/>
  <c r="D33" i="22"/>
  <c r="F33" i="22" s="1"/>
  <c r="D34" i="22"/>
  <c r="F34" i="22"/>
  <c r="D35" i="22"/>
  <c r="F35" i="22" s="1"/>
  <c r="D36" i="22"/>
  <c r="F36" i="22"/>
  <c r="B37" i="22"/>
  <c r="C37" i="22"/>
  <c r="E37" i="22"/>
  <c r="J37" i="22"/>
  <c r="I38" i="22"/>
  <c r="A46" i="22"/>
  <c r="A47" i="22"/>
  <c r="F5" i="5"/>
  <c r="F6" i="5"/>
  <c r="F7" i="5"/>
  <c r="F8" i="5"/>
  <c r="F9" i="5"/>
  <c r="F36" i="5" s="1"/>
  <c r="D49" i="5" s="1"/>
  <c r="D50" i="5" s="1"/>
  <c r="D85" i="80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9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34" i="67" s="1"/>
  <c r="F5" i="67"/>
  <c r="F6" i="67"/>
  <c r="F7" i="67"/>
  <c r="F8" i="67"/>
  <c r="F9" i="67"/>
  <c r="F10" i="67"/>
  <c r="L10" i="67"/>
  <c r="L16" i="67" s="1"/>
  <c r="N10" i="67"/>
  <c r="N16" i="67" s="1"/>
  <c r="S10" i="67"/>
  <c r="F11" i="67"/>
  <c r="J11" i="67"/>
  <c r="L11" i="67" s="1"/>
  <c r="N11" i="67" s="1"/>
  <c r="S11" i="67"/>
  <c r="U11" i="67"/>
  <c r="F12" i="67"/>
  <c r="J12" i="67"/>
  <c r="L12" i="67" s="1"/>
  <c r="N12" i="67"/>
  <c r="S12" i="67"/>
  <c r="U12" i="67" s="1"/>
  <c r="F13" i="67"/>
  <c r="J13" i="67"/>
  <c r="L13" i="67"/>
  <c r="N13" i="67" s="1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F37" i="67"/>
  <c r="A43" i="67"/>
  <c r="A44" i="67"/>
  <c r="D6" i="65"/>
  <c r="D18" i="65" s="1"/>
  <c r="D33" i="65" s="1"/>
  <c r="D34" i="65" s="1"/>
  <c r="D26" i="80" s="1"/>
  <c r="D7" i="65"/>
  <c r="D8" i="65"/>
  <c r="D9" i="65"/>
  <c r="D10" i="65"/>
  <c r="D11" i="65"/>
  <c r="D12" i="65"/>
  <c r="D13" i="65"/>
  <c r="D14" i="65"/>
  <c r="D19" i="65"/>
  <c r="A33" i="65"/>
  <c r="D6" i="77"/>
  <c r="D7" i="77"/>
  <c r="D8" i="77"/>
  <c r="D9" i="77"/>
  <c r="D37" i="77" s="1"/>
  <c r="D49" i="77" s="1"/>
  <c r="D50" i="77" s="1"/>
  <c r="D15" i="80" s="1"/>
  <c r="D10" i="77"/>
  <c r="D11" i="77"/>
  <c r="D12" i="77"/>
  <c r="D13" i="77"/>
  <c r="D14" i="77"/>
  <c r="D15" i="77"/>
  <c r="D16" i="77"/>
  <c r="K16" i="77"/>
  <c r="M16" i="77" s="1"/>
  <c r="M23" i="77" s="1"/>
  <c r="D17" i="77"/>
  <c r="K17" i="77"/>
  <c r="M17" i="77" s="1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 s="1"/>
  <c r="AF6" i="7" s="1"/>
  <c r="F7" i="7"/>
  <c r="Z7" i="7"/>
  <c r="AD7" i="7"/>
  <c r="AF7" i="7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/>
  <c r="F15" i="7"/>
  <c r="Z15" i="7"/>
  <c r="AD15" i="7"/>
  <c r="AF15" i="7" s="1"/>
  <c r="F16" i="7"/>
  <c r="Z16" i="7"/>
  <c r="AD16" i="7" s="1"/>
  <c r="AF16" i="7" s="1"/>
  <c r="F17" i="7"/>
  <c r="Z17" i="7"/>
  <c r="AD17" i="7" s="1"/>
  <c r="AF17" i="7" s="1"/>
  <c r="F18" i="7"/>
  <c r="AI18" i="7"/>
  <c r="F19" i="7"/>
  <c r="Z19" i="7"/>
  <c r="AD19" i="7" s="1"/>
  <c r="AG19" i="7" s="1"/>
  <c r="AG20" i="7" s="1"/>
  <c r="AG21" i="7" s="1"/>
  <c r="AF19" i="7"/>
  <c r="AH19" i="7" s="1"/>
  <c r="AH20" i="7" s="1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D37" i="16"/>
  <c r="D38" i="16"/>
  <c r="D40" i="16" s="1"/>
  <c r="A45" i="16"/>
  <c r="A46" i="16"/>
  <c r="D6" i="81"/>
  <c r="D37" i="81" s="1"/>
  <c r="D41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R6" i="9"/>
  <c r="H7" i="9"/>
  <c r="N7" i="9"/>
  <c r="P7" i="9"/>
  <c r="R7" i="9"/>
  <c r="H8" i="9"/>
  <c r="P8" i="9"/>
  <c r="R8" i="9"/>
  <c r="H9" i="9"/>
  <c r="N9" i="9"/>
  <c r="P9" i="9" s="1"/>
  <c r="R9" i="9" s="1"/>
  <c r="H10" i="9"/>
  <c r="P10" i="9"/>
  <c r="R10" i="9"/>
  <c r="H11" i="9"/>
  <c r="P11" i="9"/>
  <c r="R11" i="9" s="1"/>
  <c r="H12" i="9"/>
  <c r="P12" i="9"/>
  <c r="R12" i="9"/>
  <c r="H13" i="9"/>
  <c r="P13" i="9"/>
  <c r="R13" i="9"/>
  <c r="H14" i="9"/>
  <c r="P14" i="9"/>
  <c r="R14" i="9" s="1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J39" i="15" s="1"/>
  <c r="AJ45" i="15" s="1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AV39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 s="1"/>
  <c r="AF22" i="15"/>
  <c r="AJ22" i="15"/>
  <c r="AN22" i="15"/>
  <c r="AQ22" i="15"/>
  <c r="AQ39" i="15" s="1"/>
  <c r="AR22" i="15"/>
  <c r="AV22" i="15"/>
  <c r="F23" i="15"/>
  <c r="H23" i="15"/>
  <c r="J23" i="15"/>
  <c r="N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R39" i="15" s="1"/>
  <c r="AR45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F126" i="15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C166" i="15"/>
  <c r="C168" i="15"/>
  <c r="C174" i="15" s="1"/>
  <c r="F169" i="15"/>
  <c r="F170" i="15"/>
  <c r="F171" i="15"/>
  <c r="F172" i="15"/>
  <c r="F173" i="15"/>
  <c r="C175" i="15"/>
  <c r="C180" i="15" s="1"/>
  <c r="B176" i="15"/>
  <c r="C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47" i="76" s="1"/>
  <c r="D48" i="76" s="1"/>
  <c r="D38" i="80" s="1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D39" i="69" s="1"/>
  <c r="D40" i="69" s="1"/>
  <c r="D42" i="69" s="1"/>
  <c r="B22" i="80" s="1"/>
  <c r="J3" i="63"/>
  <c r="G4" i="63"/>
  <c r="F38" i="87" s="1"/>
  <c r="G5" i="63"/>
  <c r="D38" i="89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B50" i="63"/>
  <c r="C50" i="63" s="1"/>
  <c r="D50" i="63"/>
  <c r="D51" i="63"/>
  <c r="D52" i="63"/>
  <c r="D53" i="63"/>
  <c r="D54" i="63"/>
  <c r="B118" i="63"/>
  <c r="B120" i="63"/>
  <c r="B128" i="63"/>
  <c r="B141" i="63"/>
  <c r="D6" i="90"/>
  <c r="D7" i="90"/>
  <c r="D8" i="90"/>
  <c r="D9" i="90"/>
  <c r="D37" i="90" s="1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20" i="80" s="1"/>
  <c r="D40" i="19"/>
  <c r="A48" i="19"/>
  <c r="A49" i="19"/>
  <c r="J4" i="2"/>
  <c r="J5" i="2"/>
  <c r="J6" i="2"/>
  <c r="P6" i="2"/>
  <c r="R6" i="2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 s="1"/>
  <c r="J12" i="2"/>
  <c r="P12" i="2"/>
  <c r="R12" i="2" s="1"/>
  <c r="J13" i="2"/>
  <c r="P13" i="2"/>
  <c r="R13" i="2" s="1"/>
  <c r="J14" i="2"/>
  <c r="P14" i="2"/>
  <c r="R14" i="2"/>
  <c r="J15" i="2"/>
  <c r="P15" i="2"/>
  <c r="R15" i="2" s="1"/>
  <c r="J16" i="2"/>
  <c r="P16" i="2"/>
  <c r="R16" i="2" s="1"/>
  <c r="J17" i="2"/>
  <c r="O17" i="2"/>
  <c r="P17" i="2"/>
  <c r="R17" i="2" s="1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112" i="2"/>
  <c r="N6" i="91"/>
  <c r="N7" i="91"/>
  <c r="N8" i="91"/>
  <c r="N37" i="91" s="1"/>
  <c r="D49" i="91" s="1"/>
  <c r="D50" i="91" s="1"/>
  <c r="D42" i="80" s="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41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R21" i="2" l="1"/>
  <c r="J39" i="83"/>
  <c r="J43" i="83" s="1"/>
  <c r="AH21" i="7"/>
  <c r="AI21" i="7" s="1"/>
  <c r="AI20" i="7"/>
  <c r="AR51" i="15"/>
  <c r="AR48" i="15"/>
  <c r="B83" i="80"/>
  <c r="C53" i="63"/>
  <c r="B53" i="63" s="1"/>
  <c r="F40" i="5"/>
  <c r="F43" i="5" s="1"/>
  <c r="D47" i="90"/>
  <c r="D48" i="90" s="1"/>
  <c r="D14" i="80" s="1"/>
  <c r="D17" i="80" s="1"/>
  <c r="D39" i="90"/>
  <c r="D41" i="90" s="1"/>
  <c r="F38" i="67"/>
  <c r="D48" i="72"/>
  <c r="D49" i="72" s="1"/>
  <c r="D84" i="80" s="1"/>
  <c r="D42" i="72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J24" i="74"/>
  <c r="AH57" i="15"/>
  <c r="D35" i="28"/>
  <c r="F37" i="87"/>
  <c r="D47" i="87" s="1"/>
  <c r="D48" i="87" s="1"/>
  <c r="D44" i="80" s="1"/>
  <c r="P21" i="2"/>
  <c r="P23" i="2" s="1"/>
  <c r="C22" i="80"/>
  <c r="E22" i="80" s="1"/>
  <c r="D39" i="76"/>
  <c r="D41" i="76" s="1"/>
  <c r="N37" i="93"/>
  <c r="D49" i="93" s="1"/>
  <c r="D50" i="93" s="1"/>
  <c r="D47" i="80" s="1"/>
  <c r="P19" i="9"/>
  <c r="S16" i="67"/>
  <c r="U10" i="67"/>
  <c r="U16" i="67" s="1"/>
  <c r="D39" i="75"/>
  <c r="D41" i="75" s="1"/>
  <c r="E37" i="11"/>
  <c r="F35" i="73"/>
  <c r="M24" i="15"/>
  <c r="B77" i="73"/>
  <c r="I40" i="20"/>
  <c r="I57" i="20" s="1"/>
  <c r="D17" i="64"/>
  <c r="D29" i="64" s="1"/>
  <c r="D30" i="64" s="1"/>
  <c r="D35" i="80" s="1"/>
  <c r="AF38" i="11"/>
  <c r="AP38" i="11"/>
  <c r="K36" i="73"/>
  <c r="K49" i="73" s="1"/>
  <c r="B74" i="73"/>
  <c r="K13" i="13"/>
  <c r="D37" i="12"/>
  <c r="F35" i="6"/>
  <c r="F39" i="15"/>
  <c r="O23" i="15"/>
  <c r="O24" i="15" s="1"/>
  <c r="D20" i="65"/>
  <c r="D24" i="65" s="1"/>
  <c r="D37" i="89"/>
  <c r="D47" i="89" s="1"/>
  <c r="D48" i="89" s="1"/>
  <c r="D39" i="80" s="1"/>
  <c r="F37" i="22"/>
  <c r="D47" i="22" s="1"/>
  <c r="D48" i="22" s="1"/>
  <c r="D29" i="80" s="1"/>
  <c r="AL47" i="11"/>
  <c r="AP47" i="11"/>
  <c r="F39" i="71"/>
  <c r="D49" i="71" s="1"/>
  <c r="D50" i="71" s="1"/>
  <c r="D48" i="80" s="1"/>
  <c r="N11" i="13"/>
  <c r="J35" i="2"/>
  <c r="N39" i="91"/>
  <c r="N43" i="91" s="1"/>
  <c r="D37" i="92"/>
  <c r="D47" i="92" s="1"/>
  <c r="D48" i="92" s="1"/>
  <c r="D46" i="80" s="1"/>
  <c r="F133" i="15"/>
  <c r="C133" i="15" s="1"/>
  <c r="M23" i="15"/>
  <c r="D35" i="68"/>
  <c r="B37" i="80"/>
  <c r="B46" i="63"/>
  <c r="C46" i="63" s="1"/>
  <c r="AI19" i="7"/>
  <c r="F36" i="7"/>
  <c r="B73" i="73"/>
  <c r="D32" i="80"/>
  <c r="D74" i="2"/>
  <c r="D75" i="2" s="1"/>
  <c r="J39" i="17"/>
  <c r="D48" i="17" s="1"/>
  <c r="D49" i="17" s="1"/>
  <c r="D33" i="80" s="1"/>
  <c r="D37" i="22"/>
  <c r="S12" i="2"/>
  <c r="D41" i="19"/>
  <c r="D43" i="19" s="1"/>
  <c r="F39" i="87"/>
  <c r="F41" i="87" s="1"/>
  <c r="F176" i="15"/>
  <c r="K113" i="15"/>
  <c r="K114" i="15" s="1"/>
  <c r="F101" i="15"/>
  <c r="C101" i="15" s="1"/>
  <c r="AF39" i="15"/>
  <c r="AF45" i="15" s="1"/>
  <c r="AN39" i="15"/>
  <c r="H35" i="9"/>
  <c r="E47" i="9" s="1"/>
  <c r="E48" i="9" s="1"/>
  <c r="D34" i="80" s="1"/>
  <c r="AL48" i="11"/>
  <c r="D38" i="77"/>
  <c r="D39" i="77" s="1"/>
  <c r="D41" i="77" s="1"/>
  <c r="J35" i="70"/>
  <c r="D47" i="70" s="1"/>
  <c r="D48" i="70" s="1"/>
  <c r="D36" i="80" s="1"/>
  <c r="D38" i="79"/>
  <c r="D39" i="79" s="1"/>
  <c r="D41" i="79" s="1"/>
  <c r="D13" i="78"/>
  <c r="D14" i="78" s="1"/>
  <c r="D18" i="78" s="1"/>
  <c r="D38" i="74"/>
  <c r="P38" i="88"/>
  <c r="P39" i="88" s="1"/>
  <c r="P41" i="88" s="1"/>
  <c r="D18" i="64"/>
  <c r="D19" i="64" s="1"/>
  <c r="D23" i="64" s="1"/>
  <c r="N38" i="93"/>
  <c r="J40" i="17"/>
  <c r="H36" i="11"/>
  <c r="F40" i="18"/>
  <c r="F41" i="18" s="1"/>
  <c r="F43" i="18" s="1"/>
  <c r="H39" i="11"/>
  <c r="C37" i="63" s="1"/>
  <c r="AF36" i="11"/>
  <c r="D37" i="85"/>
  <c r="D47" i="85" s="1"/>
  <c r="D48" i="85" s="1"/>
  <c r="D40" i="80" s="1"/>
  <c r="D37" i="86"/>
  <c r="D47" i="86" s="1"/>
  <c r="D48" i="86" s="1"/>
  <c r="D43" i="80" s="1"/>
  <c r="J17" i="74"/>
  <c r="P37" i="88"/>
  <c r="D47" i="88" s="1"/>
  <c r="D48" i="88" s="1"/>
  <c r="D45" i="80" s="1"/>
  <c r="C37" i="73"/>
  <c r="D38" i="86"/>
  <c r="D39" i="86" s="1"/>
  <c r="D41" i="86" s="1"/>
  <c r="G5" i="80"/>
  <c r="G61" i="80" s="1"/>
  <c r="D19" i="8"/>
  <c r="D20" i="8" s="1"/>
  <c r="D24" i="8" s="1"/>
  <c r="B47" i="20"/>
  <c r="C47" i="20" s="1"/>
  <c r="C48" i="20" s="1"/>
  <c r="R19" i="9"/>
  <c r="R22" i="9" s="1"/>
  <c r="D38" i="85"/>
  <c r="L17" i="74"/>
  <c r="F39" i="18"/>
  <c r="D48" i="18" s="1"/>
  <c r="D49" i="18" s="1"/>
  <c r="D28" i="80" s="1"/>
  <c r="D51" i="80" s="1"/>
  <c r="H36" i="9"/>
  <c r="G4" i="80"/>
  <c r="G60" i="80" s="1"/>
  <c r="F40" i="71"/>
  <c r="F41" i="71" s="1"/>
  <c r="F43" i="71" s="1"/>
  <c r="F37" i="13"/>
  <c r="F38" i="13" s="1"/>
  <c r="F41" i="13" s="1"/>
  <c r="F38" i="22"/>
  <c r="D38" i="92"/>
  <c r="C45" i="11"/>
  <c r="C46" i="11" s="1"/>
  <c r="AC16" i="11"/>
  <c r="AC8" i="11"/>
  <c r="B78" i="73"/>
  <c r="B81" i="73" s="1"/>
  <c r="D30" i="80"/>
  <c r="B19" i="20"/>
  <c r="C19" i="20" s="1"/>
  <c r="C20" i="20" s="1"/>
  <c r="D12" i="78"/>
  <c r="D23" i="78" s="1"/>
  <c r="D24" i="78" s="1"/>
  <c r="D16" i="80" s="1"/>
  <c r="G3" i="80"/>
  <c r="G59" i="80" s="1"/>
  <c r="B27" i="80" l="1"/>
  <c r="C27" i="80" s="1"/>
  <c r="E27" i="80" s="1"/>
  <c r="B11" i="63"/>
  <c r="C11" i="63" s="1"/>
  <c r="B45" i="80"/>
  <c r="C45" i="80" s="1"/>
  <c r="E45" i="80" s="1"/>
  <c r="B23" i="63"/>
  <c r="C23" i="63" s="1"/>
  <c r="B14" i="80"/>
  <c r="C14" i="80" s="1"/>
  <c r="E14" i="80" s="1"/>
  <c r="B48" i="63"/>
  <c r="C48" i="63" s="1"/>
  <c r="C57" i="20"/>
  <c r="F51" i="73" s="1"/>
  <c r="B9" i="63"/>
  <c r="C77" i="73"/>
  <c r="D39" i="74"/>
  <c r="D41" i="74" s="1"/>
  <c r="K19" i="74"/>
  <c r="L19" i="74" s="1"/>
  <c r="L24" i="74" s="1"/>
  <c r="L26" i="74" s="1"/>
  <c r="AI5" i="7"/>
  <c r="AH6" i="7"/>
  <c r="B26" i="63"/>
  <c r="C26" i="63" s="1"/>
  <c r="B26" i="80"/>
  <c r="B36" i="63"/>
  <c r="C36" i="63" s="1"/>
  <c r="B38" i="80"/>
  <c r="C38" i="80" s="1"/>
  <c r="E38" i="80" s="1"/>
  <c r="B20" i="63"/>
  <c r="C20" i="63" s="1"/>
  <c r="B28" i="80"/>
  <c r="C28" i="80" s="1"/>
  <c r="E28" i="80" s="1"/>
  <c r="J40" i="2"/>
  <c r="D47" i="2"/>
  <c r="D48" i="2" s="1"/>
  <c r="E37" i="73"/>
  <c r="C38" i="73"/>
  <c r="C40" i="73" s="1"/>
  <c r="J37" i="70"/>
  <c r="J41" i="70" s="1"/>
  <c r="F45" i="15"/>
  <c r="D51" i="15"/>
  <c r="D52" i="15" s="1"/>
  <c r="D75" i="80" s="1"/>
  <c r="E39" i="11"/>
  <c r="E45" i="11"/>
  <c r="F45" i="11" s="1"/>
  <c r="B84" i="80"/>
  <c r="C84" i="80" s="1"/>
  <c r="E84" i="80" s="1"/>
  <c r="C28" i="63"/>
  <c r="B28" i="63" s="1"/>
  <c r="B41" i="80"/>
  <c r="C41" i="80" s="1"/>
  <c r="E41" i="80" s="1"/>
  <c r="B47" i="63"/>
  <c r="C47" i="63" s="1"/>
  <c r="B102" i="15"/>
  <c r="AN45" i="15"/>
  <c r="D39" i="89"/>
  <c r="D41" i="89" s="1"/>
  <c r="B44" i="63" s="1"/>
  <c r="B43" i="80"/>
  <c r="C43" i="80" s="1"/>
  <c r="E43" i="80" s="1"/>
  <c r="B19" i="63"/>
  <c r="C19" i="63" s="1"/>
  <c r="C37" i="80"/>
  <c r="E37" i="80" s="1"/>
  <c r="D70" i="80"/>
  <c r="F46" i="11"/>
  <c r="D77" i="80" s="1"/>
  <c r="J41" i="17"/>
  <c r="J43" i="17" s="1"/>
  <c r="B15" i="80"/>
  <c r="C15" i="80" s="1"/>
  <c r="E15" i="80" s="1"/>
  <c r="B43" i="63"/>
  <c r="C43" i="63" s="1"/>
  <c r="D46" i="68"/>
  <c r="D47" i="68" s="1"/>
  <c r="D68" i="80" s="1"/>
  <c r="D40" i="68"/>
  <c r="F40" i="6"/>
  <c r="D46" i="6"/>
  <c r="D47" i="6" s="1"/>
  <c r="D69" i="80" s="1"/>
  <c r="B49" i="80"/>
  <c r="C49" i="80" s="1"/>
  <c r="E49" i="80" s="1"/>
  <c r="B24" i="63"/>
  <c r="C24" i="63" s="1"/>
  <c r="C83" i="80"/>
  <c r="B48" i="80"/>
  <c r="C48" i="80" s="1"/>
  <c r="E48" i="80" s="1"/>
  <c r="B29" i="63"/>
  <c r="C29" i="63" s="1"/>
  <c r="B42" i="63"/>
  <c r="C42" i="63" s="1"/>
  <c r="B16" i="80"/>
  <c r="C16" i="80" s="1"/>
  <c r="E16" i="80" s="1"/>
  <c r="C70" i="80"/>
  <c r="E70" i="80" s="1"/>
  <c r="C18" i="63"/>
  <c r="B18" i="63" s="1"/>
  <c r="B85" i="80"/>
  <c r="C85" i="80" s="1"/>
  <c r="E85" i="80" s="1"/>
  <c r="D39" i="92"/>
  <c r="D41" i="92" s="1"/>
  <c r="D39" i="85"/>
  <c r="D41" i="85" s="1"/>
  <c r="N39" i="93"/>
  <c r="N43" i="93" s="1"/>
  <c r="B44" i="80"/>
  <c r="C44" i="80" s="1"/>
  <c r="E44" i="80" s="1"/>
  <c r="B45" i="63"/>
  <c r="C45" i="63" s="1"/>
  <c r="D40" i="12"/>
  <c r="D46" i="12"/>
  <c r="D47" i="12" s="1"/>
  <c r="D76" i="80" s="1"/>
  <c r="D46" i="28"/>
  <c r="D47" i="28" s="1"/>
  <c r="D71" i="80" s="1"/>
  <c r="D40" i="28"/>
  <c r="C15" i="63"/>
  <c r="B15" i="63" s="1"/>
  <c r="B82" i="80"/>
  <c r="B8" i="63"/>
  <c r="C79" i="73"/>
  <c r="B21" i="63"/>
  <c r="C21" i="63" s="1"/>
  <c r="B50" i="80"/>
  <c r="C50" i="80" s="1"/>
  <c r="E50" i="80" s="1"/>
  <c r="B42" i="80"/>
  <c r="C42" i="80" s="1"/>
  <c r="E42" i="80" s="1"/>
  <c r="B32" i="63"/>
  <c r="C32" i="63" s="1"/>
  <c r="H37" i="9"/>
  <c r="H39" i="9" s="1"/>
  <c r="B13" i="80"/>
  <c r="C13" i="80" s="1"/>
  <c r="E13" i="80" s="1"/>
  <c r="B33" i="63"/>
  <c r="C33" i="63" s="1"/>
  <c r="F39" i="22"/>
  <c r="F41" i="22" s="1"/>
  <c r="B35" i="80"/>
  <c r="C35" i="80" s="1"/>
  <c r="E35" i="80" s="1"/>
  <c r="B10" i="63"/>
  <c r="C10" i="63" s="1"/>
  <c r="D46" i="81"/>
  <c r="D47" i="81" s="1"/>
  <c r="D83" i="80" s="1"/>
  <c r="B20" i="80"/>
  <c r="B31" i="63"/>
  <c r="C31" i="63" s="1"/>
  <c r="E48" i="7"/>
  <c r="E49" i="7" s="1"/>
  <c r="D78" i="80" s="1"/>
  <c r="F41" i="7"/>
  <c r="M51" i="73"/>
  <c r="M53" i="73" s="1"/>
  <c r="I62" i="20"/>
  <c r="D44" i="67"/>
  <c r="D45" i="67" s="1"/>
  <c r="D82" i="80" s="1"/>
  <c r="D86" i="80" s="1"/>
  <c r="B36" i="80" l="1"/>
  <c r="C36" i="80" s="1"/>
  <c r="E36" i="80" s="1"/>
  <c r="B35" i="63"/>
  <c r="C35" i="63" s="1"/>
  <c r="B29" i="80"/>
  <c r="C29" i="80" s="1"/>
  <c r="E29" i="80" s="1"/>
  <c r="B14" i="63"/>
  <c r="C14" i="63" s="1"/>
  <c r="F43" i="22"/>
  <c r="C26" i="80"/>
  <c r="B47" i="80"/>
  <c r="C47" i="80" s="1"/>
  <c r="E47" i="80" s="1"/>
  <c r="B22" i="63"/>
  <c r="C22" i="63" s="1"/>
  <c r="C12" i="63"/>
  <c r="B12" i="63" s="1"/>
  <c r="B68" i="80"/>
  <c r="AH7" i="7"/>
  <c r="AI6" i="7"/>
  <c r="B34" i="63"/>
  <c r="C34" i="63" s="1"/>
  <c r="B34" i="80"/>
  <c r="C34" i="80" s="1"/>
  <c r="E34" i="80" s="1"/>
  <c r="B40" i="80"/>
  <c r="C40" i="80" s="1"/>
  <c r="E40" i="80" s="1"/>
  <c r="B17" i="63"/>
  <c r="C17" i="63" s="1"/>
  <c r="D72" i="80"/>
  <c r="C21" i="80"/>
  <c r="C52" i="63"/>
  <c r="B52" i="63" s="1"/>
  <c r="C20" i="80"/>
  <c r="B71" i="80"/>
  <c r="C71" i="80" s="1"/>
  <c r="E71" i="80" s="1"/>
  <c r="C25" i="63"/>
  <c r="B25" i="63" s="1"/>
  <c r="B46" i="80"/>
  <c r="C46" i="80" s="1"/>
  <c r="E46" i="80" s="1"/>
  <c r="B30" i="63"/>
  <c r="C30" i="63" s="1"/>
  <c r="C44" i="63"/>
  <c r="C39" i="80" s="1"/>
  <c r="E39" i="80" s="1"/>
  <c r="B39" i="80"/>
  <c r="B77" i="80"/>
  <c r="C77" i="80" s="1"/>
  <c r="E77" i="80" s="1"/>
  <c r="B37" i="63"/>
  <c r="B76" i="80"/>
  <c r="C76" i="80" s="1"/>
  <c r="E76" i="80" s="1"/>
  <c r="C54" i="63"/>
  <c r="B54" i="63" s="1"/>
  <c r="C73" i="73"/>
  <c r="B86" i="80"/>
  <c r="C82" i="80"/>
  <c r="E83" i="80"/>
  <c r="D79" i="80"/>
  <c r="D88" i="80" s="1"/>
  <c r="B12" i="80"/>
  <c r="B51" i="63"/>
  <c r="C51" i="63" s="1"/>
  <c r="B30" i="80"/>
  <c r="C30" i="80" s="1"/>
  <c r="E30" i="80" s="1"/>
  <c r="C9" i="63"/>
  <c r="C49" i="63"/>
  <c r="B49" i="63" s="1"/>
  <c r="B78" i="80"/>
  <c r="C78" i="80" s="1"/>
  <c r="E78" i="80" s="1"/>
  <c r="B31" i="80"/>
  <c r="C31" i="80" s="1"/>
  <c r="E31" i="80" s="1"/>
  <c r="C8" i="63"/>
  <c r="B69" i="80"/>
  <c r="C69" i="80" s="1"/>
  <c r="E69" i="80" s="1"/>
  <c r="C16" i="63"/>
  <c r="B16" i="63" s="1"/>
  <c r="E38" i="73"/>
  <c r="F37" i="73"/>
  <c r="B33" i="80"/>
  <c r="C33" i="80" s="1"/>
  <c r="E33" i="80" s="1"/>
  <c r="B13" i="63"/>
  <c r="C13" i="63" s="1"/>
  <c r="F102" i="15"/>
  <c r="F103" i="15" s="1"/>
  <c r="C103" i="15" s="1"/>
  <c r="B103" i="15"/>
  <c r="B105" i="15" s="1"/>
  <c r="F105" i="15" s="1"/>
  <c r="B75" i="80"/>
  <c r="C27" i="63"/>
  <c r="B27" i="63" s="1"/>
  <c r="E26" i="80" l="1"/>
  <c r="C23" i="80"/>
  <c r="E20" i="80"/>
  <c r="AI7" i="7"/>
  <c r="AH8" i="7"/>
  <c r="B72" i="80"/>
  <c r="C68" i="80"/>
  <c r="B88" i="80"/>
  <c r="C12" i="80"/>
  <c r="B17" i="80"/>
  <c r="E40" i="73"/>
  <c r="F38" i="73"/>
  <c r="B79" i="80"/>
  <c r="C75" i="80"/>
  <c r="C38" i="63"/>
  <c r="C86" i="80"/>
  <c r="E82" i="80"/>
  <c r="E86" i="80" s="1"/>
  <c r="D21" i="80"/>
  <c r="B21" i="80"/>
  <c r="B23" i="80" s="1"/>
  <c r="B38" i="63"/>
  <c r="D23" i="80" l="1"/>
  <c r="D53" i="80" s="1"/>
  <c r="C79" i="80"/>
  <c r="E75" i="80"/>
  <c r="E79" i="80" s="1"/>
  <c r="C72" i="80"/>
  <c r="C88" i="80" s="1"/>
  <c r="E68" i="80"/>
  <c r="E21" i="80"/>
  <c r="E23" i="80" s="1"/>
  <c r="AI8" i="7"/>
  <c r="AH9" i="7"/>
  <c r="C74" i="73"/>
  <c r="C81" i="73" s="1"/>
  <c r="C82" i="73" s="1"/>
  <c r="F40" i="73"/>
  <c r="F49" i="73" s="1"/>
  <c r="B41" i="63"/>
  <c r="E12" i="80"/>
  <c r="C17" i="80"/>
  <c r="E72" i="80" l="1"/>
  <c r="E88" i="80" s="1"/>
  <c r="B32" i="80"/>
  <c r="C41" i="63"/>
  <c r="C55" i="63" s="1"/>
  <c r="C57" i="63" s="1"/>
  <c r="B55" i="63"/>
  <c r="B57" i="63" s="1"/>
  <c r="N15" i="63"/>
  <c r="C61" i="20"/>
  <c r="C62" i="20" s="1"/>
  <c r="F53" i="73"/>
  <c r="AH10" i="7"/>
  <c r="AI9" i="7"/>
  <c r="E17" i="80"/>
  <c r="AH11" i="7" l="1"/>
  <c r="AI10" i="7"/>
  <c r="C32" i="80"/>
  <c r="B51" i="80"/>
  <c r="B53" i="80"/>
  <c r="B91" i="80" s="1"/>
  <c r="AH12" i="7" l="1"/>
  <c r="AI11" i="7"/>
  <c r="E32" i="80"/>
  <c r="C51" i="80"/>
  <c r="C53" i="80"/>
  <c r="B92" i="80" s="1"/>
  <c r="E51" i="80" l="1"/>
  <c r="E53" i="80"/>
  <c r="AI12" i="7"/>
  <c r="AH13" i="7"/>
  <c r="AI13" i="7" l="1"/>
  <c r="AH14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<sst xmlns="http://schemas.openxmlformats.org/spreadsheetml/2006/main" count="1035" uniqueCount="334">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</sst>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2.09</v>
          </cell>
          <cell r="K39">
            <v>2.0699999999999998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2.0699999999999998</v>
      </c>
      <c r="H3" s="402">
        <f ca="1">NOW()</f>
        <v>41885.685114120373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2.08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2.09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-7948.4700000000012</v>
      </c>
      <c r="C12" s="369">
        <f>+B12/$G$4</f>
        <v>-3821.3798076923081</v>
      </c>
      <c r="D12" s="14">
        <f>+Calpine!D47</f>
        <v>83278</v>
      </c>
      <c r="E12" s="70">
        <f>+C12-D12</f>
        <v>-87099.379807692312</v>
      </c>
      <c r="F12" s="364">
        <f>+Calpine!A41</f>
        <v>37286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7181.2400000000052</v>
      </c>
      <c r="C13" s="368">
        <f>+B13/$G$4</f>
        <v>3452.5192307692332</v>
      </c>
      <c r="D13" s="14">
        <f>+'Citizens-Griffith'!D48</f>
        <v>7035</v>
      </c>
      <c r="E13" s="70">
        <f>+C13-D13</f>
        <v>-3582.4807692307668</v>
      </c>
      <c r="F13" s="364">
        <f>+'Citizens-Griffith'!A41</f>
        <v>37286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-20365.09</v>
      </c>
      <c r="C14" s="368">
        <f>+B14/G4</f>
        <v>-9790.9086538461543</v>
      </c>
      <c r="D14" s="14">
        <f>+SWGasTrans!$D$48</f>
        <v>3264</v>
      </c>
      <c r="E14" s="70">
        <f>+C14-D14</f>
        <v>-13054.908653846154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-292882.92</v>
      </c>
      <c r="C15" s="368">
        <f>+B15/$G$4</f>
        <v>-140809.09615384613</v>
      </c>
      <c r="D15" s="14">
        <f>+'NS Steel'!D50</f>
        <v>-14370</v>
      </c>
      <c r="E15" s="70">
        <f>+C15-D15</f>
        <v>-126439.09615384613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-549367.83000000007</v>
      </c>
      <c r="C16" s="370">
        <f>+B16/$G$4</f>
        <v>-264119.14903846156</v>
      </c>
      <c r="D16" s="350">
        <f>+Citizens!D24</f>
        <v>-42436</v>
      </c>
      <c r="E16" s="72">
        <f>+C16-D16</f>
        <v>-221683.14903846156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-863383.07000000007</v>
      </c>
      <c r="C17" s="393">
        <f>SUBTOTAL(9,C12:C16)</f>
        <v>-415088.01442307688</v>
      </c>
      <c r="D17" s="394">
        <f>SUBTOTAL(9,D12:D16)</f>
        <v>36771</v>
      </c>
      <c r="E17" s="395">
        <f>SUBTOTAL(9,E12:E16)</f>
        <v>-451859.01442307694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29433.96</v>
      </c>
      <c r="C20" s="368">
        <f>+B20/$G$4</f>
        <v>14150.942307692307</v>
      </c>
      <c r="D20" s="14">
        <f>+transcol!D50</f>
        <v>-41795</v>
      </c>
      <c r="E20" s="70">
        <f>+C20-D20</f>
        <v>55945.942307692305</v>
      </c>
      <c r="F20" s="365">
        <f>+transcol!A43</f>
        <v>37285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30006.719999999998</v>
      </c>
      <c r="C21" s="368">
        <f>+williams!J40</f>
        <v>14496</v>
      </c>
      <c r="D21" s="14">
        <f>+C21</f>
        <v>14496</v>
      </c>
      <c r="E21" s="70">
        <f>+C21-D21</f>
        <v>0</v>
      </c>
      <c r="F21" s="365">
        <f>+williams!A40</f>
        <v>37286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-13308.599999999991</v>
      </c>
      <c r="C22" s="372">
        <f>+B22/$G$3</f>
        <v>-6429.2753623188364</v>
      </c>
      <c r="D22" s="350">
        <f>+burlington!D49</f>
        <v>-9011</v>
      </c>
      <c r="E22" s="72">
        <f>+C22-D22</f>
        <v>2581.7246376811636</v>
      </c>
      <c r="F22" s="364">
        <f>+burlington!A42</f>
        <v>37286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46132.08</v>
      </c>
      <c r="C23" s="389">
        <f>SUBTOTAL(9,C20:C22)</f>
        <v>22217.666945373468</v>
      </c>
      <c r="D23" s="394">
        <f>SUBTOTAL(9,D20:D22)</f>
        <v>-36310</v>
      </c>
      <c r="E23" s="395">
        <f>SUBTOTAL(9,E20:E22)</f>
        <v>58527.666945373465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51850.18</v>
      </c>
      <c r="C26" s="368">
        <f>+B26/$G$4</f>
        <v>24927.971153846152</v>
      </c>
      <c r="D26" s="14">
        <f>+NNG!D34</f>
        <v>23286</v>
      </c>
      <c r="E26" s="70">
        <f t="shared" ref="E26:E50" si="0">+C26-D26</f>
        <v>1641.9711538461524</v>
      </c>
      <c r="F26" s="364">
        <f>+NNG!A24</f>
        <v>37285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465198.21</v>
      </c>
      <c r="C27" s="368">
        <f>+B27/$G$4</f>
        <v>223652.98557692309</v>
      </c>
      <c r="D27" s="14">
        <f>+Conoco!D48</f>
        <v>20261</v>
      </c>
      <c r="E27" s="70">
        <f t="shared" si="0"/>
        <v>203391.98557692309</v>
      </c>
      <c r="F27" s="364">
        <f>+Conoco!A41</f>
        <v>37286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149736.54999999999</v>
      </c>
      <c r="C28" s="368">
        <f>+B28/$G$4</f>
        <v>71988.725961538454</v>
      </c>
      <c r="D28" s="14">
        <f>+'Amoco Abo'!D49</f>
        <v>-369560</v>
      </c>
      <c r="E28" s="70">
        <f t="shared" si="0"/>
        <v>441548.72596153844</v>
      </c>
      <c r="F28" s="365">
        <f>+'Amoco Abo'!A43</f>
        <v>37285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305000.43</v>
      </c>
      <c r="C29" s="368">
        <f>+B29/$G$4</f>
        <v>146634.8221153846</v>
      </c>
      <c r="D29" s="14">
        <f>+KN_Westar!D48</f>
        <v>-49188</v>
      </c>
      <c r="E29" s="70">
        <f t="shared" si="0"/>
        <v>195822.8221153846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1226238.76</v>
      </c>
      <c r="C30" s="369">
        <f>+B30/$G$5</f>
        <v>586717.11004784692</v>
      </c>
      <c r="D30" s="14">
        <f>+Duke!$G$40+Duke!$H$40+Duke!$I$53+Duke!$I$54</f>
        <v>365664</v>
      </c>
      <c r="E30" s="70">
        <f t="shared" si="0"/>
        <v>221053.11004784692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1513410.51</v>
      </c>
      <c r="C31" s="369">
        <f>+B31/$G$5</f>
        <v>724119.86124401924</v>
      </c>
      <c r="D31" s="14">
        <f>+Duke!$F$40</f>
        <v>370017</v>
      </c>
      <c r="E31" s="70">
        <f t="shared" si="0"/>
        <v>354102.86124401924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-2816109.41</v>
      </c>
      <c r="C32" s="369">
        <f>+B32/$G$5</f>
        <v>-1347420.7703349283</v>
      </c>
      <c r="D32" s="14">
        <f>+DEFS!$I$36+DEFS!$J$36+DEFS!$K$45+DEFS!$K$46+DEFS!$K$47+DEFS!$K$48</f>
        <v>-443438</v>
      </c>
      <c r="E32" s="70">
        <f t="shared" si="0"/>
        <v>-903982.7703349283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345408.88</v>
      </c>
      <c r="C33" s="368">
        <f>+B33/$G$4</f>
        <v>166061.96153846153</v>
      </c>
      <c r="D33" s="14">
        <f>+mewborne!D49</f>
        <v>137405</v>
      </c>
      <c r="E33" s="70">
        <f t="shared" si="0"/>
        <v>28656.961538461532</v>
      </c>
      <c r="F33" s="365">
        <f>+mewborne!A43</f>
        <v>37286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10062.320000000007</v>
      </c>
      <c r="C34" s="368">
        <f>+B34/$G$4</f>
        <v>4837.6538461538494</v>
      </c>
      <c r="D34" s="14">
        <f>+PGETX!E48</f>
        <v>32570</v>
      </c>
      <c r="E34" s="70">
        <f t="shared" si="0"/>
        <v>-27732.346153846149</v>
      </c>
      <c r="F34" s="365">
        <f>+PGETX!E39</f>
        <v>37286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786688.88</v>
      </c>
      <c r="C35" s="368">
        <f>+B35/$G$4</f>
        <v>378215.80769230769</v>
      </c>
      <c r="D35" s="14">
        <f>+PNM!D30</f>
        <v>316829</v>
      </c>
      <c r="E35" s="70">
        <f t="shared" si="0"/>
        <v>61386.807692307688</v>
      </c>
      <c r="F35" s="365">
        <f>+PNM!A23</f>
        <v>37286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24200.53</v>
      </c>
      <c r="C36" s="368">
        <f>+B36/$G$4</f>
        <v>11634.870192307691</v>
      </c>
      <c r="D36" s="14">
        <f>+EOG!D48</f>
        <v>-116084</v>
      </c>
      <c r="E36" s="70">
        <f t="shared" si="0"/>
        <v>127718.87019230769</v>
      </c>
      <c r="F36" s="364">
        <f>+EOG!A41</f>
        <v>37285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-41507.360000000001</v>
      </c>
      <c r="C37" s="368">
        <f>+B37/G5</f>
        <v>-19859.980861244021</v>
      </c>
      <c r="D37" s="14">
        <f>+Oasis!D47</f>
        <v>-22034</v>
      </c>
      <c r="E37" s="70">
        <f>+C37-D37</f>
        <v>2174.0191387559789</v>
      </c>
      <c r="F37" s="364">
        <f>+Oasis!A40</f>
        <v>37285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4498.8900000000003</v>
      </c>
      <c r="C38" s="368">
        <f>+B38/$G$5</f>
        <v>2152.5789473684213</v>
      </c>
      <c r="D38" s="14">
        <f>+SidR!D48</f>
        <v>1979</v>
      </c>
      <c r="E38" s="70">
        <f t="shared" si="0"/>
        <v>173.57894736842127</v>
      </c>
      <c r="F38" s="365">
        <f>+SidR!A41</f>
        <v>37286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-97481.368421052641</v>
      </c>
      <c r="D39" s="14">
        <f>+MiVida_Rich!D48</f>
        <v>-51454</v>
      </c>
      <c r="E39" s="70">
        <f>+C39-D39</f>
        <v>-46027.368421052641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174389.26</v>
      </c>
      <c r="C40" s="368">
        <f>+B40/$G$5</f>
        <v>83439.837320574166</v>
      </c>
      <c r="D40" s="14">
        <f>+Dominion!D48</f>
        <v>76305</v>
      </c>
      <c r="E40" s="70">
        <f t="shared" si="0"/>
        <v>7134.8373205741664</v>
      </c>
      <c r="F40" s="365">
        <f>+Dominion!A41</f>
        <v>37286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-38263.050000000003</v>
      </c>
      <c r="C41" s="368">
        <f>+B41/$G$4</f>
        <v>-18395.697115384617</v>
      </c>
      <c r="D41" s="14">
        <f>+WTGmktg!D50</f>
        <v>-4743</v>
      </c>
      <c r="E41" s="70">
        <f t="shared" si="0"/>
        <v>-13652.697115384617</v>
      </c>
      <c r="F41" s="365">
        <f>+WTGmktg!A43</f>
        <v>37285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29167.530000000002</v>
      </c>
      <c r="C42" s="368">
        <f>+B42/G4</f>
        <v>14022.850961538463</v>
      </c>
      <c r="D42" s="14">
        <f>+'WTG inc'!D50</f>
        <v>10469</v>
      </c>
      <c r="E42" s="70">
        <f>+C42-D42</f>
        <v>3553.8509615384628</v>
      </c>
      <c r="F42" s="365">
        <f>+'WTG inc'!A43</f>
        <v>37285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148248.79999999999</v>
      </c>
      <c r="C43" s="368">
        <f>+B43/$G$5</f>
        <v>70932.440191387563</v>
      </c>
      <c r="D43" s="14">
        <f>+Devon!D48</f>
        <v>27730</v>
      </c>
      <c r="E43" s="70">
        <f t="shared" si="0"/>
        <v>43202.440191387563</v>
      </c>
      <c r="F43" s="365">
        <f>+Devon!A41</f>
        <v>37286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-124051.87999999999</v>
      </c>
      <c r="C44" s="368">
        <f>+B44/$G$4</f>
        <v>-59640.326923076915</v>
      </c>
      <c r="D44" s="14">
        <f>+crosstex!D48</f>
        <v>-38920</v>
      </c>
      <c r="E44" s="70">
        <f t="shared" si="0"/>
        <v>-20720.326923076915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91691</v>
      </c>
      <c r="C45" s="368">
        <f>+B45/$G$4</f>
        <v>44082.211538461539</v>
      </c>
      <c r="D45" s="14">
        <f>+Amarillo!D48</f>
        <v>37965</v>
      </c>
      <c r="E45" s="70">
        <f t="shared" si="0"/>
        <v>6117.211538461539</v>
      </c>
      <c r="F45" s="365">
        <f>+Amarillo!A41</f>
        <v>37286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33990.339999999997</v>
      </c>
      <c r="C46" s="369">
        <f>+B46/$G$4</f>
        <v>16341.509615384613</v>
      </c>
      <c r="D46" s="14">
        <f>+Stratland!D48</f>
        <v>10453</v>
      </c>
      <c r="E46" s="70">
        <f>+C46-D46</f>
        <v>5888.5096153846134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51898.211538461539</v>
      </c>
      <c r="D47" s="14">
        <f>+Plains!D50</f>
        <v>36315</v>
      </c>
      <c r="E47" s="70">
        <f>+C47-D47</f>
        <v>15583.211538461539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29738</v>
      </c>
      <c r="C48" s="369">
        <f>+B48/$G$4</f>
        <v>14297.115384615385</v>
      </c>
      <c r="D48" s="14">
        <f>+Continental!D50</f>
        <v>-1427</v>
      </c>
      <c r="E48" s="70">
        <f t="shared" si="0"/>
        <v>15724.115384615385</v>
      </c>
      <c r="F48" s="365">
        <f>+Continental!A43</f>
        <v>37286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88473.42</v>
      </c>
      <c r="C49" s="369">
        <f>+B49/$G$5</f>
        <v>42331.779904306219</v>
      </c>
      <c r="D49" s="14">
        <f>+EPFS!D47</f>
        <v>56242</v>
      </c>
      <c r="E49" s="70">
        <f t="shared" si="0"/>
        <v>-13910.220095693781</v>
      </c>
      <c r="F49" s="364">
        <f>+EPFS!A41</f>
        <v>37286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119385.54000000001</v>
      </c>
      <c r="C50" s="370">
        <f>+B50/$G$4</f>
        <v>57396.894230769234</v>
      </c>
      <c r="D50" s="350">
        <f>+Agave!D31</f>
        <v>69398</v>
      </c>
      <c r="E50" s="72">
        <f t="shared" si="0"/>
        <v>-12001.105769230766</v>
      </c>
      <c r="F50" s="364">
        <f>+Agave!A24</f>
        <v>37285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2481658.5499999989</v>
      </c>
      <c r="C51" s="393">
        <f>SUBTOTAL(9,C26:C50)</f>
        <v>1192889.0553459697</v>
      </c>
      <c r="D51" s="394">
        <f>SUBTOTAL(9,D26:D50)</f>
        <v>496040</v>
      </c>
      <c r="E51" s="395">
        <f>SUBTOTAL(9,E26:E50)</f>
        <v>696849.05534596997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1664407.5599999998</v>
      </c>
      <c r="C53" s="393">
        <f>SUBTOTAL(9,C12:C50)</f>
        <v>800018.70786826639</v>
      </c>
      <c r="D53" s="394">
        <f>SUBTOTAL(9,D12:D50)</f>
        <v>496501</v>
      </c>
      <c r="E53" s="395">
        <f>SUBTOTAL(9,E12:E50)</f>
        <v>303517.70786826633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2.0699999999999998</v>
      </c>
      <c r="H59" s="402">
        <f ca="1">NOW()</f>
        <v>41885.685114120373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2.08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2.09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179516</v>
      </c>
      <c r="C68" s="346">
        <f>+B68*$G$4</f>
        <v>373393.28</v>
      </c>
      <c r="D68" s="47">
        <f>+Mojave!D47</f>
        <v>184614.44</v>
      </c>
      <c r="E68" s="47">
        <f>+C68-D68</f>
        <v>188778.84000000003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94582</v>
      </c>
      <c r="C69" s="346">
        <f>+B69*$G$4</f>
        <v>196730.56</v>
      </c>
      <c r="D69" s="47">
        <f>+SoCal!D47</f>
        <v>311453.96000000002</v>
      </c>
      <c r="E69" s="47">
        <f>+C69-D69</f>
        <v>-114723.40000000002</v>
      </c>
      <c r="F69" s="365">
        <f>+SoCal!A40</f>
        <v>37286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133679.52000000002</v>
      </c>
      <c r="D70" s="47">
        <f>+'El Paso'!C46</f>
        <v>-1582961.01</v>
      </c>
      <c r="E70" s="47">
        <f>+C70-D70</f>
        <v>1716640.53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28004</v>
      </c>
      <c r="C71" s="349">
        <f>+B71*$G$4</f>
        <v>58248.32</v>
      </c>
      <c r="D71" s="349">
        <f>+'PG&amp;E'!D47</f>
        <v>-145162.51</v>
      </c>
      <c r="E71" s="349">
        <f>+C71-D71</f>
        <v>203410.83000000002</v>
      </c>
      <c r="F71" s="365">
        <f>+'PG&amp;E'!A40</f>
        <v>37286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366371</v>
      </c>
      <c r="C72" s="388">
        <f>SUBTOTAL(9,C68:C71)</f>
        <v>762051.68</v>
      </c>
      <c r="D72" s="388">
        <f>SUBTOTAL(9,D68:D71)</f>
        <v>-1232055.1199999999</v>
      </c>
      <c r="E72" s="388">
        <f>SUBTOTAL(9,E68:E71)</f>
        <v>1994106.8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21891</v>
      </c>
      <c r="C75" s="347">
        <f>+B75*G59</f>
        <v>45314.369999999995</v>
      </c>
      <c r="D75" s="200">
        <f>+'Red C'!D52</f>
        <v>417303.98000000004</v>
      </c>
      <c r="E75" s="47">
        <f>+C75-D75</f>
        <v>-371989.61000000004</v>
      </c>
      <c r="F75" s="364">
        <f>+'Red C'!A45</f>
        <v>37285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-4795</v>
      </c>
      <c r="C76" s="346">
        <f>+B76*$G$3</f>
        <v>-9925.65</v>
      </c>
      <c r="D76" s="47">
        <f>+Amoco!D47</f>
        <v>325191.05</v>
      </c>
      <c r="E76" s="47">
        <f>+C76-D76</f>
        <v>-335116.7</v>
      </c>
      <c r="F76" s="365">
        <f>+Amoco!A40</f>
        <v>37286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-52863</v>
      </c>
      <c r="C79" s="388">
        <f>SUBTOTAL(9,C75:C78)</f>
        <v>-109426.40999999999</v>
      </c>
      <c r="D79" s="388">
        <f>SUBTOTAL(9,D75:D78)</f>
        <v>-393871.35999999999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135611</v>
      </c>
      <c r="C82" s="480">
        <f>+B82*$G$5</f>
        <v>283426.99</v>
      </c>
      <c r="D82" s="47">
        <f>+NGPL!D45</f>
        <v>338745.59999999998</v>
      </c>
      <c r="E82" s="47">
        <f>+C82-D82</f>
        <v>-55318.609999999986</v>
      </c>
      <c r="F82" s="365">
        <f>+NGPL!A38</f>
        <v>37285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-3083</v>
      </c>
      <c r="C83" s="481">
        <f>+B83*$G$4</f>
        <v>-6412.64</v>
      </c>
      <c r="D83" s="47">
        <f>+PEPL!D47</f>
        <v>186597.56</v>
      </c>
      <c r="E83" s="47">
        <f>+C83-D83</f>
        <v>-193010.2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36580.959999999999</v>
      </c>
      <c r="D84" s="200">
        <f>+CIG!D49</f>
        <v>385896.72</v>
      </c>
      <c r="E84" s="70">
        <f>+C84-D84</f>
        <v>-349315.75999999995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73901.7</v>
      </c>
      <c r="C85" s="498">
        <f>+B85*G61</f>
        <v>154454.55299999999</v>
      </c>
      <c r="D85" s="349">
        <f>+Lonestar!D50</f>
        <v>50673.240000000005</v>
      </c>
      <c r="E85" s="349">
        <f>+C85-D85</f>
        <v>103781.31299999998</v>
      </c>
      <c r="F85" s="364">
        <f>+Lonestar!A43</f>
        <v>37285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224016.7</v>
      </c>
      <c r="C86" s="388">
        <f>SUBTOTAL(9,C82:C85)</f>
        <v>468049.86300000001</v>
      </c>
      <c r="D86" s="388">
        <f>SUBTOTAL(9,D82:D85)</f>
        <v>961913.11999999988</v>
      </c>
      <c r="E86" s="388">
        <f>SUBTOTAL(9,E82:E85)</f>
        <v>-493863.25699999998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537524.69999999995</v>
      </c>
      <c r="C88" s="388">
        <f>SUBTOTAL(9,C68:C85)</f>
        <v>1120675.1329999999</v>
      </c>
      <c r="D88" s="388">
        <f>SUBTOTAL(9,D68:D85)</f>
        <v>-664013.35999999987</v>
      </c>
      <c r="E88" s="388">
        <f>SUBTOTAL(9,E68:E85)</f>
        <v>1784688.4930000002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2785082.693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1337543.4078682663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F51" sqref="F5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>
        <v>163055</v>
      </c>
      <c r="C35" s="411">
        <v>161079</v>
      </c>
      <c r="D35" s="307">
        <f t="shared" si="0"/>
        <v>-1976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4598797</v>
      </c>
      <c r="C37" s="411">
        <f>SUM(C6:C36)</f>
        <v>4624212</v>
      </c>
      <c r="D37" s="411">
        <f>SUM(D6:D36)</f>
        <v>25415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37286</v>
      </c>
      <c r="B40" s="285"/>
      <c r="C40" s="436"/>
      <c r="D40" s="307">
        <f>+D39+D37</f>
        <v>-4795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</row>
    <row r="46" spans="1:16" x14ac:dyDescent="0.2">
      <c r="A46" s="49">
        <f>+A40</f>
        <v>37286</v>
      </c>
      <c r="B46" s="32"/>
      <c r="C46" s="32"/>
      <c r="D46" s="375">
        <f>+D37*'by type_area'!G3</f>
        <v>52609.049999999996</v>
      </c>
    </row>
    <row r="47" spans="1:16" x14ac:dyDescent="0.2">
      <c r="A47" s="32"/>
      <c r="B47" s="32"/>
      <c r="C47" s="32"/>
      <c r="D47" s="200">
        <f>+D46+D45</f>
        <v>325191.05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51" sqref="C5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-29113</v>
      </c>
      <c r="C33" s="24">
        <v>-18523</v>
      </c>
      <c r="D33" s="24">
        <f t="shared" si="0"/>
        <v>10590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-944160</v>
      </c>
      <c r="C36" s="24">
        <f>SUM(C5:C35)</f>
        <v>-948115</v>
      </c>
      <c r="D36" s="24">
        <f t="shared" si="0"/>
        <v>-3955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-8265.9499999999989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37285</v>
      </c>
      <c r="B40"/>
      <c r="C40" s="48"/>
      <c r="D40" s="138">
        <f>+D39+D38</f>
        <v>-41507.360000000001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37285</v>
      </c>
      <c r="B46" s="32"/>
      <c r="C46" s="32"/>
      <c r="D46" s="350">
        <f>+D36</f>
        <v>-3955</v>
      </c>
    </row>
    <row r="47" spans="1:65" x14ac:dyDescent="0.2">
      <c r="A47" s="32"/>
      <c r="B47" s="32"/>
      <c r="C47" s="32"/>
      <c r="D47" s="14">
        <f>+D46+D45</f>
        <v>-22034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9" sqref="B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931371</v>
      </c>
      <c r="C5" s="90">
        <v>924416</v>
      </c>
      <c r="D5" s="90">
        <f>+C5-B5</f>
        <v>-6955</v>
      </c>
      <c r="E5" s="275"/>
      <c r="F5" s="273"/>
    </row>
    <row r="6" spans="1:13" x14ac:dyDescent="0.2">
      <c r="A6" s="87">
        <v>78311</v>
      </c>
      <c r="B6" s="90">
        <v>347955</v>
      </c>
      <c r="C6" s="90">
        <v>344252</v>
      </c>
      <c r="D6" s="90">
        <f t="shared" ref="D6:D17" si="0">+C6-B6</f>
        <v>-3703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762531</v>
      </c>
      <c r="C7" s="90">
        <v>839362</v>
      </c>
      <c r="D7" s="90">
        <f t="shared" si="0"/>
        <v>76831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862108</v>
      </c>
      <c r="C8" s="90">
        <v>798622</v>
      </c>
      <c r="D8" s="90">
        <f t="shared" si="0"/>
        <v>-63486</v>
      </c>
      <c r="E8" s="456"/>
      <c r="F8" s="273"/>
    </row>
    <row r="9" spans="1:13" x14ac:dyDescent="0.2">
      <c r="A9" s="87">
        <v>500293</v>
      </c>
      <c r="B9" s="90">
        <v>520774</v>
      </c>
      <c r="C9" s="90">
        <v>580786</v>
      </c>
      <c r="D9" s="90">
        <f t="shared" si="0"/>
        <v>60012</v>
      </c>
      <c r="E9" s="275"/>
      <c r="F9" s="273"/>
    </row>
    <row r="10" spans="1:13" x14ac:dyDescent="0.2">
      <c r="A10" s="87">
        <v>500302</v>
      </c>
      <c r="B10" s="90"/>
      <c r="C10" s="90">
        <v>8913</v>
      </c>
      <c r="D10" s="90">
        <f t="shared" si="0"/>
        <v>8913</v>
      </c>
      <c r="E10" s="275"/>
      <c r="F10" s="273"/>
    </row>
    <row r="11" spans="1:13" x14ac:dyDescent="0.2">
      <c r="A11" s="87">
        <v>500303</v>
      </c>
      <c r="B11" s="90"/>
      <c r="C11" s="90">
        <v>297282</v>
      </c>
      <c r="D11" s="90">
        <f t="shared" si="0"/>
        <v>297282</v>
      </c>
      <c r="E11" s="275"/>
      <c r="F11" s="273"/>
    </row>
    <row r="12" spans="1:13" x14ac:dyDescent="0.2">
      <c r="A12" s="91">
        <v>500305</v>
      </c>
      <c r="B12" s="90">
        <v>1497207</v>
      </c>
      <c r="C12" s="90">
        <v>1387160</v>
      </c>
      <c r="D12" s="90">
        <f t="shared" si="0"/>
        <v>-110047</v>
      </c>
      <c r="E12" s="276"/>
      <c r="F12" s="467"/>
      <c r="G12" s="90"/>
    </row>
    <row r="13" spans="1:13" x14ac:dyDescent="0.2">
      <c r="A13" s="87">
        <v>500307</v>
      </c>
      <c r="B13" s="90">
        <v>89333</v>
      </c>
      <c r="C13" s="90">
        <v>34048</v>
      </c>
      <c r="D13" s="90">
        <f t="shared" si="0"/>
        <v>-55285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211826</v>
      </c>
      <c r="C16" s="90"/>
      <c r="D16" s="90">
        <f t="shared" si="0"/>
        <v>-211826</v>
      </c>
      <c r="E16" s="275"/>
      <c r="F16" s="273"/>
    </row>
    <row r="17" spans="1:7" x14ac:dyDescent="0.2">
      <c r="A17" s="87">
        <v>500657</v>
      </c>
      <c r="B17" s="88">
        <v>150648</v>
      </c>
      <c r="C17" s="88">
        <v>194988</v>
      </c>
      <c r="D17" s="94">
        <f t="shared" si="0"/>
        <v>44340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37692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2.09</v>
      </c>
      <c r="E19" s="277"/>
      <c r="F19" s="273"/>
    </row>
    <row r="20" spans="1:7" x14ac:dyDescent="0.2">
      <c r="A20" s="87"/>
      <c r="B20" s="88"/>
      <c r="C20" s="88"/>
      <c r="D20" s="96">
        <f>+D19*D18</f>
        <v>78776.28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37285</v>
      </c>
      <c r="B24" s="88"/>
      <c r="C24" s="88"/>
      <c r="D24" s="318">
        <f>+D22+D20</f>
        <v>119385.54000000001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37285</v>
      </c>
      <c r="B30" s="32"/>
      <c r="C30" s="32"/>
      <c r="D30" s="350">
        <f>+D18</f>
        <v>37692</v>
      </c>
    </row>
    <row r="31" spans="1:7" x14ac:dyDescent="0.2">
      <c r="A31" s="32"/>
      <c r="B31" s="32"/>
      <c r="C31" s="32"/>
      <c r="D31" s="14">
        <f>+D30+D29</f>
        <v>69398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>
        <v>62733</v>
      </c>
      <c r="C33" s="11">
        <v>60544</v>
      </c>
      <c r="D33" s="11"/>
      <c r="E33" s="11"/>
      <c r="F33" s="25">
        <f t="shared" si="2"/>
        <v>-2189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1060306</v>
      </c>
      <c r="C35" s="11">
        <f>SUM(C4:C34)</f>
        <v>1075596</v>
      </c>
      <c r="D35" s="11">
        <f>SUM(D4:D34)</f>
        <v>880117</v>
      </c>
      <c r="E35" s="11">
        <f>SUM(E4:E34)</f>
        <v>867121</v>
      </c>
      <c r="F35" s="11">
        <f>+E35-D35+C35-B35</f>
        <v>2294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2.08</v>
      </c>
    </row>
    <row r="38" spans="1:7" x14ac:dyDescent="0.2">
      <c r="C38" s="48"/>
      <c r="D38" s="47"/>
      <c r="E38" s="48"/>
      <c r="F38" s="46">
        <f>+F37*F35</f>
        <v>4771.5200000000004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37286</v>
      </c>
      <c r="C41" s="106"/>
      <c r="D41" s="106"/>
      <c r="E41" s="106"/>
      <c r="F41" s="106">
        <f>+F38+F40</f>
        <v>465198.21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37286</v>
      </c>
      <c r="D47" s="350">
        <f>+F35</f>
        <v>2294</v>
      </c>
      <c r="E47" s="11"/>
      <c r="F47" s="11"/>
      <c r="G47" s="25"/>
    </row>
    <row r="48" spans="1:7" x14ac:dyDescent="0.2">
      <c r="D48" s="14">
        <f>+D47+D46</f>
        <v>20261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7" sqref="C3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91684</v>
      </c>
      <c r="C31" s="11">
        <v>98507</v>
      </c>
      <c r="D31" s="11">
        <f t="shared" si="0"/>
        <v>6823</v>
      </c>
      <c r="E31" s="10"/>
      <c r="F31" s="11"/>
      <c r="G31" s="11"/>
      <c r="H31" s="11"/>
    </row>
    <row r="32" spans="1:8" x14ac:dyDescent="0.2">
      <c r="A32" s="10">
        <v>25</v>
      </c>
      <c r="B32" s="11">
        <v>88363</v>
      </c>
      <c r="C32" s="11">
        <v>87822</v>
      </c>
      <c r="D32" s="11">
        <f t="shared" si="0"/>
        <v>-541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">
      <c r="A35" s="10">
        <v>28</v>
      </c>
      <c r="B35" s="11">
        <v>87999</v>
      </c>
      <c r="C35" s="11">
        <v>87822</v>
      </c>
      <c r="D35" s="11">
        <f t="shared" si="0"/>
        <v>-177</v>
      </c>
      <c r="E35" s="10"/>
      <c r="F35" s="11"/>
      <c r="G35" s="11"/>
      <c r="H35" s="11"/>
    </row>
    <row r="36" spans="1:8" x14ac:dyDescent="0.2">
      <c r="A36" s="10">
        <v>29</v>
      </c>
      <c r="B36" s="11">
        <v>87998</v>
      </c>
      <c r="C36" s="11">
        <v>87822</v>
      </c>
      <c r="D36" s="11">
        <f t="shared" si="0"/>
        <v>-176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2693218</v>
      </c>
      <c r="C39" s="11">
        <f>SUM(C8:C38)</f>
        <v>2701205</v>
      </c>
      <c r="D39" s="11">
        <f>SUM(D8:D38)</f>
        <v>7987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16612.96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37285</v>
      </c>
      <c r="D43" s="196">
        <f>+D42+D41</f>
        <v>29433.96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37285</v>
      </c>
      <c r="B49" s="32"/>
      <c r="C49" s="32"/>
      <c r="D49" s="350">
        <f>+D39</f>
        <v>7987</v>
      </c>
    </row>
    <row r="50" spans="1:4" x14ac:dyDescent="0.2">
      <c r="A50" s="32"/>
      <c r="B50" s="32"/>
      <c r="C50" s="32"/>
      <c r="D50" s="14">
        <f>+D49+D48</f>
        <v>-41795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2.09</v>
      </c>
      <c r="C19" s="199">
        <f>+B19*B18</f>
        <v>-17859.05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1513410.51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2.09</v>
      </c>
      <c r="C47" s="199">
        <f>+B47*B46</f>
        <v>11490.82</v>
      </c>
      <c r="H47" s="381"/>
      <c r="I47" s="14"/>
    </row>
    <row r="48" spans="1:9" x14ac:dyDescent="0.2">
      <c r="C48" s="321">
        <f>+C47+C40</f>
        <v>853867.61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2739649.27</v>
      </c>
      <c r="I57" s="14">
        <f>SUM(I40:I54)</f>
        <v>735681</v>
      </c>
    </row>
    <row r="61" spans="1:9" x14ac:dyDescent="0.2">
      <c r="C61" s="15">
        <f>+DEFS!F49</f>
        <v>-2816109.41</v>
      </c>
    </row>
    <row r="62" spans="1:9" x14ac:dyDescent="0.2">
      <c r="C62" s="15">
        <f>+C61+C57</f>
        <v>-76460.14000000013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B40" sqref="B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">
      <c r="C37" s="313">
        <f>+summary!G5</f>
        <v>2.09</v>
      </c>
      <c r="E37" s="104">
        <f>+C37</f>
        <v>2.09</v>
      </c>
      <c r="F37" s="138">
        <f>+F36*E37</f>
        <v>-42002.729999999996</v>
      </c>
    </row>
    <row r="38" spans="1:13" x14ac:dyDescent="0.2">
      <c r="C38" s="138">
        <f>+C37*C36</f>
        <v>0</v>
      </c>
      <c r="E38" s="136">
        <f>+E37*E36</f>
        <v>-42002.729999999996</v>
      </c>
      <c r="F38" s="138">
        <f>+E38+C38</f>
        <v>-42002.729999999996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-613853.06999999995</v>
      </c>
      <c r="F40" s="314">
        <f>+E40+C40</f>
        <v>-1647273.08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-2816109.41</v>
      </c>
      <c r="G49" s="246"/>
      <c r="K49" s="14">
        <f>SUM(K36:K48)</f>
        <v>-443438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2739649.27</v>
      </c>
      <c r="M51" s="14">
        <f>+Duke!I57</f>
        <v>735681</v>
      </c>
    </row>
    <row r="53" spans="3:13" x14ac:dyDescent="0.2">
      <c r="F53" s="104">
        <f>+F51+F49</f>
        <v>-76460.14000000013</v>
      </c>
      <c r="M53" s="16">
        <f>+M51+K49</f>
        <v>292243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-148694</v>
      </c>
      <c r="C74" s="247">
        <f>+E40</f>
        <v>-613853.06999999995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853867.61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1513410.51</v>
      </c>
    </row>
    <row r="81" spans="2:3" x14ac:dyDescent="0.2">
      <c r="B81" s="31">
        <f>SUM(B68:B80)</f>
        <v>292243</v>
      </c>
      <c r="C81" s="259">
        <f>SUM(C68:C80)</f>
        <v>-76460.14000000013</v>
      </c>
    </row>
    <row r="82" spans="2:3" x14ac:dyDescent="0.2">
      <c r="C82">
        <f>+C81/B81</f>
        <v>-0.26163206646523657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H37" sqref="H3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5575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-1743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5178</v>
      </c>
      <c r="C36" s="11">
        <v>4241</v>
      </c>
      <c r="D36" s="11">
        <v>172</v>
      </c>
      <c r="E36" s="11">
        <v>125</v>
      </c>
      <c r="F36" s="129">
        <v>924</v>
      </c>
      <c r="G36" s="11">
        <v>872</v>
      </c>
      <c r="H36" s="11">
        <v>1565</v>
      </c>
      <c r="I36" s="11">
        <v>1123</v>
      </c>
      <c r="J36" s="25">
        <f t="shared" si="0"/>
        <v>-1478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5190</v>
      </c>
      <c r="C37" s="11">
        <v>4241</v>
      </c>
      <c r="D37" s="11">
        <v>246</v>
      </c>
      <c r="E37" s="11">
        <v>125</v>
      </c>
      <c r="F37" s="129">
        <v>900</v>
      </c>
      <c r="G37" s="11">
        <v>872</v>
      </c>
      <c r="H37" s="11">
        <v>1464</v>
      </c>
      <c r="I37" s="11">
        <v>1123</v>
      </c>
      <c r="J37" s="25">
        <f t="shared" si="0"/>
        <v>-1439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165455</v>
      </c>
      <c r="C39" s="11">
        <f t="shared" si="1"/>
        <v>151227</v>
      </c>
      <c r="D39" s="11">
        <f t="shared" si="1"/>
        <v>15911</v>
      </c>
      <c r="E39" s="11">
        <f t="shared" si="1"/>
        <v>13719</v>
      </c>
      <c r="F39" s="129">
        <f t="shared" si="1"/>
        <v>28501</v>
      </c>
      <c r="G39" s="11">
        <f t="shared" si="1"/>
        <v>25950</v>
      </c>
      <c r="H39" s="11">
        <f t="shared" si="1"/>
        <v>44282</v>
      </c>
      <c r="I39" s="11">
        <f t="shared" si="1"/>
        <v>33690</v>
      </c>
      <c r="J39" s="25">
        <f t="shared" si="1"/>
        <v>-29563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-61491.040000000001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37286</v>
      </c>
      <c r="C43" s="48"/>
      <c r="J43" s="138">
        <f>+J42+J41</f>
        <v>345408.88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37286</v>
      </c>
      <c r="B48" s="32"/>
      <c r="C48" s="32"/>
      <c r="D48" s="350">
        <f>+J39</f>
        <v>-29563</v>
      </c>
      <c r="L48"/>
    </row>
    <row r="49" spans="1:12" x14ac:dyDescent="0.2">
      <c r="A49" s="32"/>
      <c r="B49" s="32"/>
      <c r="C49" s="32"/>
      <c r="D49" s="14">
        <f>+D48+D47</f>
        <v>137405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-30453.280000000002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37285</v>
      </c>
      <c r="B43" s="285"/>
      <c r="C43" s="436"/>
      <c r="D43" s="436"/>
      <c r="E43" s="436"/>
      <c r="F43" s="417">
        <f>+F42+F41</f>
        <v>149736.54999999999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37285</v>
      </c>
      <c r="B48" s="32"/>
      <c r="C48" s="32"/>
      <c r="D48" s="350">
        <f>+F39</f>
        <v>-14641</v>
      </c>
      <c r="E48" s="11"/>
    </row>
    <row r="49" spans="1:5" x14ac:dyDescent="0.2">
      <c r="A49" s="32"/>
      <c r="B49" s="32"/>
      <c r="C49" s="32"/>
      <c r="D49" s="14">
        <f>+D48+D47</f>
        <v>-369560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56" sqref="C56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2.0699999999999998</v>
      </c>
      <c r="J3" s="374">
        <f ca="1">NOW()</f>
        <v>41885.685114120373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2.08</v>
      </c>
    </row>
    <row r="5" spans="1:33" ht="15" customHeight="1" x14ac:dyDescent="0.2">
      <c r="B5" s="592"/>
      <c r="F5" s="588" t="s">
        <v>117</v>
      </c>
      <c r="G5" s="589">
        <f>+'[3]1001'!$E$39</f>
        <v>2.09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1513410.51</v>
      </c>
      <c r="C8" s="206">
        <f>+B8/$G$5</f>
        <v>724119.86124401924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1226238.76</v>
      </c>
      <c r="C9" s="206">
        <f>+B9/$G$5</f>
        <v>586717.11004784692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786688.88</v>
      </c>
      <c r="C10" s="275">
        <f>+B10/$G$4</f>
        <v>378215.80769230769</v>
      </c>
      <c r="D10" s="365">
        <f>+PNM!A23</f>
        <v>37286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465198.21</v>
      </c>
      <c r="C11" s="275">
        <f>+B11/$G$4</f>
        <v>223652.98557692309</v>
      </c>
      <c r="D11" s="364">
        <f>+Conoco!A41</f>
        <v>37286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373393.28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345408.88</v>
      </c>
      <c r="C13" s="275">
        <f>+B13/$G$4</f>
        <v>166061.96153846153</v>
      </c>
      <c r="D13" s="365">
        <f>+mewborne!A43</f>
        <v>37286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305000.43</v>
      </c>
      <c r="C14" s="275">
        <f>+B14/$G$4</f>
        <v>146634.8221153846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283426.99</v>
      </c>
      <c r="C15" s="275">
        <f>+NGPL!F38</f>
        <v>135611</v>
      </c>
      <c r="D15" s="365">
        <f>+NGPL!A38</f>
        <v>37285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-76460.14000000013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6">
        <f>+C16*$G$4</f>
        <v>196730.56</v>
      </c>
      <c r="C16" s="206">
        <f>+SoCal!F40</f>
        <v>94582</v>
      </c>
      <c r="D16" s="364">
        <f>+SoCal!A40</f>
        <v>37286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207</v>
      </c>
      <c r="B17" s="346">
        <f>+Dominion!D41</f>
        <v>174389.26</v>
      </c>
      <c r="C17" s="275">
        <f>+B17/$G$5</f>
        <v>83439.837320574166</v>
      </c>
      <c r="D17" s="365">
        <f>+Dominion!A41</f>
        <v>37286</v>
      </c>
      <c r="E17" s="32" t="s">
        <v>85</v>
      </c>
      <c r="F17" s="32" t="s">
        <v>323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6">
        <f>+C18*$G$5</f>
        <v>154454.55299999999</v>
      </c>
      <c r="C18" s="275">
        <f>+Lonestar!F43</f>
        <v>73901.7</v>
      </c>
      <c r="D18" s="364">
        <f>+Lonestar!A43</f>
        <v>37285</v>
      </c>
      <c r="E18" s="32" t="s">
        <v>84</v>
      </c>
      <c r="F18" s="32" t="s">
        <v>324</v>
      </c>
      <c r="G18" s="32" t="s">
        <v>102</v>
      </c>
      <c r="H18" s="32" t="s">
        <v>309</v>
      </c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148248.79999999999</v>
      </c>
      <c r="C19" s="275">
        <f>+B19/$G$5</f>
        <v>70932.440191387563</v>
      </c>
      <c r="D19" s="365">
        <f>+Devon!A41</f>
        <v>37286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149736.54999999999</v>
      </c>
      <c r="C20" s="275">
        <f>+B20/$G$4</f>
        <v>71988.725961538454</v>
      </c>
      <c r="D20" s="365">
        <f>+'Amoco Abo'!A43</f>
        <v>37285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119385.54000000001</v>
      </c>
      <c r="C21" s="464">
        <f>+B21/$G$4</f>
        <v>57396.894230769234</v>
      </c>
      <c r="D21" s="463">
        <f>+Agave!A24</f>
        <v>37285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330</v>
      </c>
      <c r="B22" s="346">
        <f>+Plains!$N$43</f>
        <v>107948.28</v>
      </c>
      <c r="C22" s="206">
        <f>+B22/$G$4</f>
        <v>51898.211538461539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91691</v>
      </c>
      <c r="C23" s="275">
        <f>+B23/$G$4</f>
        <v>44082.211538461539</v>
      </c>
      <c r="D23" s="365">
        <f>+Amarillo!A41</f>
        <v>37286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88473.42</v>
      </c>
      <c r="C24" s="206">
        <f>+B24/$G$5</f>
        <v>42331.779904306219</v>
      </c>
      <c r="D24" s="364">
        <f>+EPFS!A41</f>
        <v>37286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114</v>
      </c>
      <c r="B25" s="346">
        <f>+C25*$G$4</f>
        <v>58248.32</v>
      </c>
      <c r="C25" s="206">
        <f>+'PG&amp;E'!D40</f>
        <v>28004</v>
      </c>
      <c r="D25" s="365">
        <f>+'PG&amp;E'!A40</f>
        <v>37286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04" t="s">
        <v>87</v>
      </c>
      <c r="B26" s="346">
        <f>+NNG!$D$24</f>
        <v>51850.18</v>
      </c>
      <c r="C26" s="275">
        <f>+B26/$G$4</f>
        <v>24927.971153846152</v>
      </c>
      <c r="D26" s="364">
        <f>+NNG!A24</f>
        <v>37285</v>
      </c>
      <c r="E26" s="204" t="s">
        <v>85</v>
      </c>
      <c r="F26" s="204" t="s">
        <v>323</v>
      </c>
      <c r="G26" s="204" t="s">
        <v>100</v>
      </c>
      <c r="H26" s="204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3.5" customHeight="1" x14ac:dyDescent="0.2">
      <c r="A27" s="32" t="s">
        <v>23</v>
      </c>
      <c r="B27" s="346">
        <f>+C27*$G$3</f>
        <v>45314.369999999995</v>
      </c>
      <c r="C27" s="348">
        <f>+'Red C'!$F$45</f>
        <v>21891</v>
      </c>
      <c r="D27" s="364">
        <f>+'Red C'!A45</f>
        <v>37285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110</v>
      </c>
      <c r="B28" s="346">
        <f>+C28*$G$4</f>
        <v>36580.959999999999</v>
      </c>
      <c r="C28" s="275">
        <f>+CIG!D42</f>
        <v>17587</v>
      </c>
      <c r="D28" s="365">
        <f>+CIG!A42</f>
        <v>37278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204" t="s">
        <v>109</v>
      </c>
      <c r="B29" s="346">
        <f>+Continental!F43</f>
        <v>29738</v>
      </c>
      <c r="C29" s="206">
        <f t="shared" ref="C29:C35" si="0">+B29/$G$4</f>
        <v>14297.115384615385</v>
      </c>
      <c r="D29" s="364">
        <f>+Continental!A43</f>
        <v>37286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320</v>
      </c>
      <c r="B30" s="346">
        <f>+Stratland!$D$41</f>
        <v>33990.339999999997</v>
      </c>
      <c r="C30" s="275">
        <f t="shared" si="0"/>
        <v>16341.509615384613</v>
      </c>
      <c r="D30" s="364">
        <f>+Stratland!A41</f>
        <v>37271</v>
      </c>
      <c r="E30" s="32" t="s">
        <v>85</v>
      </c>
      <c r="F30" s="32" t="s">
        <v>323</v>
      </c>
      <c r="G30" s="32" t="s">
        <v>102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204" t="s">
        <v>71</v>
      </c>
      <c r="B31" s="347">
        <f>+transcol!$D$43</f>
        <v>29433.96</v>
      </c>
      <c r="C31" s="348">
        <f t="shared" si="0"/>
        <v>14150.942307692307</v>
      </c>
      <c r="D31" s="364">
        <f>+transcol!A43</f>
        <v>37285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3" customFormat="1" ht="13.5" customHeight="1" x14ac:dyDescent="0.2">
      <c r="A32" s="32" t="s">
        <v>302</v>
      </c>
      <c r="B32" s="346">
        <f>+'WTG inc'!N43</f>
        <v>29167.530000000002</v>
      </c>
      <c r="C32" s="275">
        <f t="shared" si="0"/>
        <v>14022.850961538463</v>
      </c>
      <c r="D32" s="365">
        <f>+'WTG inc'!A43</f>
        <v>37285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139</v>
      </c>
      <c r="B33" s="346">
        <f>+'Citizens-Griffith'!D41</f>
        <v>7181.2400000000052</v>
      </c>
      <c r="C33" s="275">
        <f t="shared" si="0"/>
        <v>3452.5192307692332</v>
      </c>
      <c r="D33" s="364">
        <f>+'Citizens-Griffith'!A41</f>
        <v>37286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147</v>
      </c>
      <c r="B34" s="346">
        <f>+PGETX!$H$39</f>
        <v>10062.320000000007</v>
      </c>
      <c r="C34" s="275">
        <f>+B34/$G$4</f>
        <v>4837.6538461538494</v>
      </c>
      <c r="D34" s="364">
        <f>+PGETX!E39</f>
        <v>37286</v>
      </c>
      <c r="E34" s="204" t="s">
        <v>85</v>
      </c>
      <c r="F34" s="204" t="s">
        <v>154</v>
      </c>
      <c r="G34" s="204" t="s">
        <v>102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32" t="s">
        <v>103</v>
      </c>
      <c r="B35" s="346">
        <f>+EOG!$J$41</f>
        <v>24200.53</v>
      </c>
      <c r="C35" s="275">
        <f t="shared" si="0"/>
        <v>11634.870192307691</v>
      </c>
      <c r="D35" s="364">
        <f>+EOG!A41</f>
        <v>37285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131</v>
      </c>
      <c r="B36" s="346">
        <f>+SidR!D41</f>
        <v>4498.8900000000003</v>
      </c>
      <c r="C36" s="275">
        <f>+B36/$G$5</f>
        <v>2152.5789473684213</v>
      </c>
      <c r="D36" s="365">
        <f>+SidR!A41</f>
        <v>37286</v>
      </c>
      <c r="E36" s="32" t="s">
        <v>85</v>
      </c>
      <c r="F36" s="32" t="s">
        <v>152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6714.0000000000291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6896804.5429999996</v>
      </c>
      <c r="C38" s="69">
        <f>SUM(C8:C37)</f>
        <v>3307316.3605401181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-2816109.41</v>
      </c>
      <c r="C41" s="348">
        <f>+B41/$G$5</f>
        <v>-1347420.7703349283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-549367.83000000007</v>
      </c>
      <c r="C42" s="206">
        <f>+B42/$G$4</f>
        <v>-264119.14903846156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-292882.92</v>
      </c>
      <c r="C43" s="206">
        <f>+B43/$G$4</f>
        <v>-140809.09615384613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-97481.368421052641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-124051.87999999999</v>
      </c>
      <c r="C45" s="206">
        <f>+B45/$G$4</f>
        <v>-59640.326923076915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-41507.360000000001</v>
      </c>
      <c r="C46" s="206">
        <f>+B46/$G$5</f>
        <v>-19859.980861244021</v>
      </c>
      <c r="D46" s="365">
        <f>+Oasis!A40</f>
        <v>37285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204" t="s">
        <v>204</v>
      </c>
      <c r="B47" s="347">
        <f>+WTGmktg!J43</f>
        <v>-38263.050000000003</v>
      </c>
      <c r="C47" s="206">
        <f>+B47/$G$4</f>
        <v>-18395.697115384617</v>
      </c>
      <c r="D47" s="364">
        <f>+WTGmktg!A43</f>
        <v>37285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297</v>
      </c>
      <c r="B48" s="346">
        <f>+SWGasTrans!$D$41</f>
        <v>-20365.09</v>
      </c>
      <c r="C48" s="275">
        <f>+B48/$G$4</f>
        <v>-9790.9086538461543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95</v>
      </c>
      <c r="B50" s="346">
        <f>+burlington!D42</f>
        <v>-13308.599999999991</v>
      </c>
      <c r="C50" s="275">
        <f>+B50/$G$3</f>
        <v>-6429.2753623188364</v>
      </c>
      <c r="D50" s="364">
        <f>+burlington!A42</f>
        <v>37286</v>
      </c>
      <c r="E50" s="204" t="s">
        <v>85</v>
      </c>
      <c r="F50" s="32" t="s">
        <v>154</v>
      </c>
      <c r="G50" s="32" t="s">
        <v>113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04" t="s">
        <v>127</v>
      </c>
      <c r="B51" s="346">
        <f>+Calpine!D41</f>
        <v>-7948.4700000000012</v>
      </c>
      <c r="C51" s="206">
        <f>+B51/$G$4</f>
        <v>-3821.3798076923081</v>
      </c>
      <c r="D51" s="364">
        <f>+Calpine!A41</f>
        <v>37286</v>
      </c>
      <c r="E51" s="204" t="s">
        <v>85</v>
      </c>
      <c r="F51" s="204" t="s">
        <v>153</v>
      </c>
      <c r="G51" s="204" t="s">
        <v>99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3" customFormat="1" ht="13.5" customHeight="1" x14ac:dyDescent="0.2">
      <c r="A52" s="204" t="s">
        <v>28</v>
      </c>
      <c r="B52" s="346">
        <f>+C52*$G$3</f>
        <v>30006.719999999998</v>
      </c>
      <c r="C52" s="275">
        <f>+williams!J40</f>
        <v>14496</v>
      </c>
      <c r="D52" s="364">
        <f>+williams!A40</f>
        <v>37286</v>
      </c>
      <c r="E52" s="204" t="s">
        <v>85</v>
      </c>
      <c r="F52" s="204" t="s">
        <v>154</v>
      </c>
      <c r="G52" s="204" t="s">
        <v>313</v>
      </c>
      <c r="H52" s="32"/>
      <c r="I52" s="204"/>
      <c r="J52" s="204"/>
      <c r="K52" s="204"/>
      <c r="L52" s="204"/>
      <c r="M52" s="204"/>
      <c r="N52" s="471"/>
      <c r="O52" s="273"/>
      <c r="P52" s="273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">
      <c r="A53" s="204" t="s">
        <v>142</v>
      </c>
      <c r="B53" s="347">
        <f>+C53*$G$4</f>
        <v>-6412.64</v>
      </c>
      <c r="C53" s="348">
        <f>+PEPL!D41</f>
        <v>-3083</v>
      </c>
      <c r="D53" s="364">
        <f>+PEPL!A41</f>
        <v>37285</v>
      </c>
      <c r="E53" s="204" t="s">
        <v>84</v>
      </c>
      <c r="F53" s="204" t="s">
        <v>324</v>
      </c>
      <c r="G53" s="204" t="s">
        <v>100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">
      <c r="A54" s="32" t="s">
        <v>311</v>
      </c>
      <c r="B54" s="349">
        <f>+C54*$G$3</f>
        <v>-9925.65</v>
      </c>
      <c r="C54" s="71">
        <f>+Amoco!D40</f>
        <v>-4795</v>
      </c>
      <c r="D54" s="365">
        <f>+Amoco!A40</f>
        <v>37286</v>
      </c>
      <c r="E54" s="32" t="s">
        <v>84</v>
      </c>
      <c r="F54" s="32" t="s">
        <v>153</v>
      </c>
      <c r="G54" s="32" t="s">
        <v>115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SUM(B41:B54)</f>
        <v>-4111721.8499999996</v>
      </c>
      <c r="C55" s="206">
        <f>SUM(C41:C54)</f>
        <v>-1969772.9526718513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2785082.693</v>
      </c>
      <c r="C57" s="355">
        <f>+C55+C38</f>
        <v>1337543.4078682668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-955181</v>
      </c>
      <c r="C7" s="80">
        <v>-337957</v>
      </c>
      <c r="D7" s="80">
        <f t="shared" si="0"/>
        <v>617224</v>
      </c>
    </row>
    <row r="8" spans="1:4" x14ac:dyDescent="0.2">
      <c r="A8" s="32">
        <v>60667</v>
      </c>
      <c r="B8" s="309">
        <v>-208894</v>
      </c>
      <c r="C8" s="80">
        <v>-1132059</v>
      </c>
      <c r="D8" s="80">
        <f t="shared" si="0"/>
        <v>-923165</v>
      </c>
    </row>
    <row r="9" spans="1:4" x14ac:dyDescent="0.2">
      <c r="A9" s="32">
        <v>60749</v>
      </c>
      <c r="B9" s="309">
        <v>91003</v>
      </c>
      <c r="C9" s="80">
        <v>-216671</v>
      </c>
      <c r="D9" s="80">
        <f t="shared" si="0"/>
        <v>-307674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-327596</v>
      </c>
      <c r="C11" s="80"/>
      <c r="D11" s="80">
        <f t="shared" si="0"/>
        <v>327596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3196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6647.68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37285</v>
      </c>
      <c r="B24" s="69"/>
      <c r="C24" s="69"/>
      <c r="D24" s="332">
        <f>+D22+D20</f>
        <v>51850.18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37285</v>
      </c>
      <c r="D33" s="350">
        <f>+D18</f>
        <v>3196</v>
      </c>
    </row>
    <row r="34" spans="1:4" x14ac:dyDescent="0.2">
      <c r="D34" s="14">
        <f>+D33+D32</f>
        <v>23286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-108258</v>
      </c>
      <c r="C5" s="90">
        <v>-77140</v>
      </c>
      <c r="D5" s="90">
        <f t="shared" ref="D5:D13" si="0">+C5-B5</f>
        <v>31118</v>
      </c>
      <c r="E5" s="69"/>
      <c r="F5" s="201"/>
    </row>
    <row r="6" spans="1:13" x14ac:dyDescent="0.2">
      <c r="A6" s="87">
        <v>9238</v>
      </c>
      <c r="B6" s="90">
        <v>-14493</v>
      </c>
      <c r="C6" s="90">
        <v>-30000</v>
      </c>
      <c r="D6" s="90">
        <f t="shared" si="0"/>
        <v>-15507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-2879781</v>
      </c>
      <c r="C7" s="90">
        <v>-2926567</v>
      </c>
      <c r="D7" s="90">
        <f t="shared" si="0"/>
        <v>-46786</v>
      </c>
      <c r="E7" s="275"/>
      <c r="F7" s="201"/>
    </row>
    <row r="8" spans="1:13" x14ac:dyDescent="0.2">
      <c r="A8" s="87">
        <v>58710</v>
      </c>
      <c r="B8" s="90">
        <v>-190943</v>
      </c>
      <c r="C8" s="90">
        <v>-197084</v>
      </c>
      <c r="D8" s="90">
        <f t="shared" si="0"/>
        <v>-6141</v>
      </c>
      <c r="E8" s="275"/>
      <c r="F8" s="201"/>
    </row>
    <row r="9" spans="1:13" x14ac:dyDescent="0.2">
      <c r="A9" s="87">
        <v>60921</v>
      </c>
      <c r="B9" s="90">
        <v>-1328045</v>
      </c>
      <c r="C9" s="90">
        <v>-1260629</v>
      </c>
      <c r="D9" s="90">
        <f t="shared" si="0"/>
        <v>67416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-71420</v>
      </c>
      <c r="C11" s="90">
        <v>-90000</v>
      </c>
      <c r="D11" s="90">
        <f t="shared" si="0"/>
        <v>-18580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-105000</v>
      </c>
      <c r="C13" s="90">
        <v>-120000</v>
      </c>
      <c r="D13" s="90">
        <f t="shared" si="0"/>
        <v>-15000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9507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7"/>
    </row>
    <row r="19" spans="1:7" x14ac:dyDescent="0.2">
      <c r="A19" s="87"/>
      <c r="B19" s="88"/>
      <c r="C19" s="88"/>
      <c r="D19" s="96">
        <f>+D18*D17</f>
        <v>19774.560000000001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37286</v>
      </c>
      <c r="B23" s="88"/>
      <c r="C23" s="88"/>
      <c r="D23" s="318">
        <f>+D21+D19</f>
        <v>786688.88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37286</v>
      </c>
      <c r="B29" s="32"/>
      <c r="C29" s="32"/>
      <c r="D29" s="350">
        <f>+D17</f>
        <v>9507</v>
      </c>
    </row>
    <row r="30" spans="1:7" x14ac:dyDescent="0.2">
      <c r="A30" s="32"/>
      <c r="B30" s="32"/>
      <c r="C30" s="32"/>
      <c r="D30" s="14">
        <f>+D29+D28</f>
        <v>316829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D31" sqref="D3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>
        <v>32502</v>
      </c>
      <c r="C25" s="327">
        <v>32338</v>
      </c>
      <c r="D25" s="327"/>
      <c r="E25" s="327"/>
      <c r="F25" s="90">
        <f t="shared" si="2"/>
        <v>-164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>
        <v>39448</v>
      </c>
      <c r="C31" s="327">
        <v>39545</v>
      </c>
      <c r="D31" s="14"/>
      <c r="E31" s="14"/>
      <c r="F31" s="90">
        <f t="shared" si="2"/>
        <v>97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1308191</v>
      </c>
      <c r="C34" s="287">
        <f>SUM(C3:C33)</f>
        <v>1319036</v>
      </c>
      <c r="D34" s="14">
        <f>SUM(D3:D33)</f>
        <v>-199425</v>
      </c>
      <c r="E34" s="14">
        <f>SUM(E3:E33)</f>
        <v>-189900</v>
      </c>
      <c r="F34" s="14">
        <f>SUM(F3:F33)</f>
        <v>20370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37285</v>
      </c>
      <c r="B38" s="14"/>
      <c r="C38" s="14"/>
      <c r="D38" s="14"/>
      <c r="E38" s="14"/>
      <c r="F38" s="150">
        <f>+F37+F34</f>
        <v>135611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37285</v>
      </c>
      <c r="B44" s="32"/>
      <c r="C44" s="32"/>
      <c r="D44" s="375">
        <f>+F34*'by type_area'!G4</f>
        <v>42369.599999999999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338745.59999999998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37285</v>
      </c>
      <c r="D40" s="51">
        <f>+D38+D35</f>
        <v>179516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37285</v>
      </c>
      <c r="B46" s="32"/>
      <c r="C46" s="32"/>
      <c r="D46" s="375">
        <f>+D35*'by type_area'!G4</f>
        <v>-15198.560000000001</v>
      </c>
    </row>
    <row r="47" spans="1:4" x14ac:dyDescent="0.2">
      <c r="A47" s="32"/>
      <c r="B47" s="32"/>
      <c r="C47" s="32"/>
      <c r="D47" s="200">
        <f>+D46+D45</f>
        <v>184614.44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C29" sqref="C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7737</v>
      </c>
      <c r="F13" s="11">
        <v>7955</v>
      </c>
      <c r="G13" s="11">
        <v>7800</v>
      </c>
      <c r="H13" s="11"/>
      <c r="I13" s="11"/>
      <c r="J13" s="11">
        <f t="shared" si="0"/>
        <v>-1018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8074</v>
      </c>
      <c r="C30" s="11">
        <v>8499</v>
      </c>
      <c r="D30" s="11">
        <v>8309</v>
      </c>
      <c r="E30" s="11">
        <v>7500</v>
      </c>
      <c r="F30" s="11">
        <v>8780</v>
      </c>
      <c r="G30" s="11">
        <v>7000</v>
      </c>
      <c r="H30" s="11">
        <v>547</v>
      </c>
      <c r="I30" s="11"/>
      <c r="J30" s="11">
        <f t="shared" si="0"/>
        <v>-2711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7797</v>
      </c>
      <c r="C31" s="11">
        <v>8500</v>
      </c>
      <c r="D31" s="11">
        <v>8348</v>
      </c>
      <c r="E31" s="11">
        <v>7500</v>
      </c>
      <c r="F31" s="11">
        <v>7731</v>
      </c>
      <c r="G31" s="11">
        <v>7000</v>
      </c>
      <c r="H31" s="11">
        <v>7301</v>
      </c>
      <c r="I31" s="11">
        <v>8999</v>
      </c>
      <c r="J31" s="11">
        <f t="shared" si="0"/>
        <v>822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7885</v>
      </c>
      <c r="C32" s="11">
        <v>8500</v>
      </c>
      <c r="D32" s="11">
        <v>8416</v>
      </c>
      <c r="E32" s="11">
        <v>7500</v>
      </c>
      <c r="F32" s="11">
        <v>7808</v>
      </c>
      <c r="G32" s="11">
        <v>7000</v>
      </c>
      <c r="H32" s="11">
        <v>7001</v>
      </c>
      <c r="I32" s="11">
        <v>9000</v>
      </c>
      <c r="J32" s="11">
        <f t="shared" si="0"/>
        <v>890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275844</v>
      </c>
      <c r="C35" s="11">
        <f t="shared" ref="C35:I35" si="1">SUM(C4:C34)</f>
        <v>286089</v>
      </c>
      <c r="D35" s="11">
        <f t="shared" si="1"/>
        <v>236366</v>
      </c>
      <c r="E35" s="11">
        <f t="shared" si="1"/>
        <v>229189</v>
      </c>
      <c r="F35" s="11">
        <f t="shared" si="1"/>
        <v>211474</v>
      </c>
      <c r="G35" s="11">
        <f t="shared" si="1"/>
        <v>214710</v>
      </c>
      <c r="H35" s="11">
        <f t="shared" si="1"/>
        <v>14849</v>
      </c>
      <c r="I35" s="11">
        <f t="shared" si="1"/>
        <v>17999</v>
      </c>
      <c r="J35" s="11">
        <f>SUM(J4:J34)</f>
        <v>9454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19664.32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37285</v>
      </c>
      <c r="J41" s="319">
        <f>+J39+J37</f>
        <v>24200.53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37285</v>
      </c>
      <c r="B47" s="32"/>
      <c r="C47" s="32"/>
      <c r="D47" s="350">
        <f>+J35</f>
        <v>9454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-116084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D10" sqref="D1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-112968.96000000001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305000.43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151741.50746268657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8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">
      <c r="A36" s="10">
        <v>29</v>
      </c>
      <c r="B36" s="11"/>
      <c r="C36" s="11"/>
      <c r="D36" s="11">
        <v>5631</v>
      </c>
      <c r="E36" s="11">
        <v>3000</v>
      </c>
      <c r="F36" s="25">
        <f t="shared" si="0"/>
        <v>-2631</v>
      </c>
    </row>
    <row r="37" spans="1:6" x14ac:dyDescent="0.2">
      <c r="A37" s="10">
        <v>30</v>
      </c>
      <c r="B37" s="11"/>
      <c r="C37" s="11"/>
      <c r="D37" s="11">
        <v>5367</v>
      </c>
      <c r="E37" s="11">
        <v>3000</v>
      </c>
      <c r="F37" s="25">
        <f t="shared" si="0"/>
        <v>-2367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44375</v>
      </c>
      <c r="E39" s="11">
        <f>SUM(E8:E38)</f>
        <v>42200</v>
      </c>
      <c r="F39" s="25">
        <f>SUM(F8:F38)</f>
        <v>-2175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-4524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37286</v>
      </c>
      <c r="C43" s="48"/>
      <c r="F43" s="138">
        <f>+F42+F41</f>
        <v>29738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37286</v>
      </c>
      <c r="B49" s="32"/>
      <c r="C49" s="32"/>
      <c r="D49" s="350">
        <f>+F39</f>
        <v>-2175</v>
      </c>
    </row>
    <row r="50" spans="1:4" x14ac:dyDescent="0.2">
      <c r="A50" s="32"/>
      <c r="B50" s="32"/>
      <c r="C50" s="32"/>
      <c r="D50" s="14">
        <f>+D49+D48</f>
        <v>-1427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2618.7200000000003</v>
      </c>
    </row>
    <row r="49" spans="1:4" x14ac:dyDescent="0.2">
      <c r="A49" s="32"/>
      <c r="B49" s="32"/>
      <c r="C49" s="32"/>
      <c r="D49" s="200">
        <f>+D48+D47</f>
        <v>385896.72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6" sqref="C3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-2003616</v>
      </c>
      <c r="I19" s="119">
        <f>+C37</f>
        <v>-2093484</v>
      </c>
      <c r="J19" s="119">
        <f>+I19-H19</f>
        <v>-89868</v>
      </c>
      <c r="K19" s="412">
        <f>+D38</f>
        <v>2.08</v>
      </c>
      <c r="L19" s="417">
        <f>+K19*J19</f>
        <v>-186925.44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40624</v>
      </c>
      <c r="K24" s="408"/>
      <c r="L24" s="110">
        <f>+L19+L17</f>
        <v>-105240.34000000017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-50596.317307692385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">
      <c r="A35" s="10">
        <v>30</v>
      </c>
      <c r="B35" s="129">
        <v>-42064</v>
      </c>
      <c r="C35" s="11">
        <v>-40000</v>
      </c>
      <c r="D35" s="25">
        <f t="shared" si="0"/>
        <v>2064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-2003616</v>
      </c>
      <c r="C37" s="11">
        <f>SUM(C6:C36)</f>
        <v>-2093484</v>
      </c>
      <c r="D37" s="25">
        <f>SUM(D6:D36)</f>
        <v>-89868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-186925.44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37286</v>
      </c>
      <c r="C41" s="48"/>
      <c r="D41" s="138">
        <f>+D40+D39</f>
        <v>-7948.4700000000012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37286</v>
      </c>
      <c r="B46" s="32"/>
      <c r="C46" s="32"/>
      <c r="D46" s="350">
        <f>+D37</f>
        <v>-89868</v>
      </c>
    </row>
    <row r="47" spans="1:4" x14ac:dyDescent="0.2">
      <c r="A47" s="32"/>
      <c r="B47" s="32"/>
      <c r="C47" s="32"/>
      <c r="D47" s="14">
        <f>+D46+D45</f>
        <v>83278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0" sqref="A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">
      <c r="A34" s="10">
        <v>29</v>
      </c>
      <c r="B34" s="11">
        <v>36227</v>
      </c>
      <c r="C34" s="11">
        <v>37551</v>
      </c>
      <c r="D34" s="25">
        <f t="shared" si="0"/>
        <v>1324</v>
      </c>
    </row>
    <row r="35" spans="1:4" x14ac:dyDescent="0.2">
      <c r="A35" s="10">
        <v>30</v>
      </c>
      <c r="B35" s="11">
        <v>32206</v>
      </c>
      <c r="C35" s="11">
        <v>37551</v>
      </c>
      <c r="D35" s="25">
        <f t="shared" si="0"/>
        <v>5345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925843</v>
      </c>
      <c r="C37" s="11">
        <f>SUM(C6:C36)</f>
        <v>927504</v>
      </c>
      <c r="D37" s="25">
        <f>SUM(D6:D36)</f>
        <v>1661</v>
      </c>
    </row>
    <row r="38" spans="1:4" x14ac:dyDescent="0.2">
      <c r="A38" s="26"/>
      <c r="B38" s="31"/>
      <c r="C38" s="14"/>
      <c r="D38" s="326">
        <f>+summary!G5</f>
        <v>2.09</v>
      </c>
    </row>
    <row r="39" spans="1:4" x14ac:dyDescent="0.2">
      <c r="D39" s="138">
        <f>+D38*D37</f>
        <v>3471.49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37286</v>
      </c>
      <c r="C41" s="48"/>
      <c r="D41" s="138">
        <f>+D40+D39</f>
        <v>88473.42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37286</v>
      </c>
      <c r="B46" s="32"/>
      <c r="C46" s="32"/>
      <c r="D46" s="350">
        <f>+D37</f>
        <v>1661</v>
      </c>
    </row>
    <row r="47" spans="1:4" x14ac:dyDescent="0.2">
      <c r="A47" s="32"/>
      <c r="B47" s="32"/>
      <c r="C47" s="32"/>
      <c r="D47" s="14">
        <f>+D46+D45</f>
        <v>56242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38" sqref="F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134065</v>
      </c>
      <c r="I11" s="11">
        <v>117742</v>
      </c>
      <c r="J11" s="11">
        <f t="shared" si="0"/>
        <v>-15089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354364</v>
      </c>
      <c r="C32" s="11">
        <v>342270</v>
      </c>
      <c r="D32" s="11">
        <v>40931</v>
      </c>
      <c r="E32" s="11">
        <v>41668</v>
      </c>
      <c r="F32" s="11">
        <v>36589</v>
      </c>
      <c r="G32" s="11">
        <v>45169</v>
      </c>
      <c r="H32" s="11">
        <v>139710</v>
      </c>
      <c r="I32" s="11">
        <v>139903</v>
      </c>
      <c r="J32" s="11">
        <f t="shared" si="0"/>
        <v>-2584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38652</v>
      </c>
      <c r="C33" s="11">
        <v>45169</v>
      </c>
      <c r="D33" s="11">
        <v>39676</v>
      </c>
      <c r="E33" s="11">
        <v>42804</v>
      </c>
      <c r="F33" s="11">
        <v>38652</v>
      </c>
      <c r="G33" s="11">
        <v>45169</v>
      </c>
      <c r="H33" s="11">
        <v>153005</v>
      </c>
      <c r="I33" s="11">
        <v>156939</v>
      </c>
      <c r="J33" s="11">
        <f t="shared" si="0"/>
        <v>20096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8804580</v>
      </c>
      <c r="C35" s="11">
        <f t="shared" ref="C35:I35" si="3">SUM(C4:C34)</f>
        <v>8803426</v>
      </c>
      <c r="D35" s="11">
        <f t="shared" si="3"/>
        <v>1181044</v>
      </c>
      <c r="E35" s="11">
        <f t="shared" si="3"/>
        <v>1189635</v>
      </c>
      <c r="F35" s="11">
        <f t="shared" si="3"/>
        <v>1266574</v>
      </c>
      <c r="G35" s="11">
        <f t="shared" si="3"/>
        <v>1377923</v>
      </c>
      <c r="H35" s="11">
        <f t="shared" si="3"/>
        <v>3969773</v>
      </c>
      <c r="I35" s="11">
        <f t="shared" si="3"/>
        <v>3865483</v>
      </c>
      <c r="J35" s="11">
        <f>SUM(J4:J34)</f>
        <v>14496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37286</v>
      </c>
      <c r="J40" s="51">
        <f>+J38+J35</f>
        <v>14496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37286</v>
      </c>
      <c r="B47" s="32"/>
      <c r="C47" s="32"/>
      <c r="D47" s="375">
        <f>+J35*'by type_area'!G3</f>
        <v>30006.719999999998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30006.719999999998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">
      <c r="A34" s="10">
        <v>29</v>
      </c>
      <c r="B34" s="11">
        <v>26206</v>
      </c>
      <c r="C34" s="11">
        <v>25081</v>
      </c>
      <c r="D34" s="25">
        <f t="shared" si="0"/>
        <v>-1125</v>
      </c>
    </row>
    <row r="35" spans="1:4" x14ac:dyDescent="0.2">
      <c r="A35" s="10">
        <v>30</v>
      </c>
      <c r="B35" s="11">
        <v>27380</v>
      </c>
      <c r="C35" s="11">
        <v>27362</v>
      </c>
      <c r="D35" s="25">
        <f t="shared" si="0"/>
        <v>-18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1358274</v>
      </c>
      <c r="C37" s="11">
        <f>SUM(C6:C36)</f>
        <v>1358119</v>
      </c>
      <c r="D37" s="25">
        <f>SUM(D6:D36)</f>
        <v>-155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-323.95</v>
      </c>
    </row>
    <row r="40" spans="1:4" x14ac:dyDescent="0.2">
      <c r="A40" s="57">
        <v>37256</v>
      </c>
      <c r="C40" s="15"/>
      <c r="D40" s="532">
        <v>4822.84</v>
      </c>
    </row>
    <row r="41" spans="1:4" x14ac:dyDescent="0.2">
      <c r="A41" s="57">
        <v>37286</v>
      </c>
      <c r="C41" s="48"/>
      <c r="D41" s="138">
        <f>+D40+D39</f>
        <v>4498.8900000000003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2134</v>
      </c>
    </row>
    <row r="47" spans="1:4" x14ac:dyDescent="0.2">
      <c r="A47" s="49">
        <f>+A41</f>
        <v>37286</v>
      </c>
      <c r="B47" s="32"/>
      <c r="C47" s="32"/>
      <c r="D47" s="350">
        <f>+D37</f>
        <v>-155</v>
      </c>
    </row>
    <row r="48" spans="1:4" x14ac:dyDescent="0.2">
      <c r="A48" s="32"/>
      <c r="B48" s="32"/>
      <c r="C48" s="32"/>
      <c r="D48" s="14">
        <f>+D47+D46</f>
        <v>1979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D7" sqref="D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62922.080000000002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37284</v>
      </c>
      <c r="C41" s="48"/>
      <c r="D41" s="138">
        <f>+D40+D39</f>
        <v>-292882.92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37284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-63339</v>
      </c>
      <c r="C27" s="11">
        <v>-58000</v>
      </c>
      <c r="D27" s="25">
        <f t="shared" si="0"/>
        <v>5339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">
      <c r="A34" s="10">
        <v>29</v>
      </c>
      <c r="B34" s="11">
        <v>-66318</v>
      </c>
      <c r="C34" s="11">
        <v>-59000</v>
      </c>
      <c r="D34" s="25">
        <f t="shared" si="0"/>
        <v>7318</v>
      </c>
    </row>
    <row r="35" spans="1:4" x14ac:dyDescent="0.2">
      <c r="A35" s="10">
        <v>30</v>
      </c>
      <c r="B35" s="11">
        <v>-48726</v>
      </c>
      <c r="C35" s="11">
        <v>-58983</v>
      </c>
      <c r="D35" s="25">
        <f t="shared" si="0"/>
        <v>-10257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-527576</v>
      </c>
      <c r="C37" s="11">
        <f>SUM(C6:C36)</f>
        <v>-556692</v>
      </c>
      <c r="D37" s="25">
        <f>SUM(D6:D36)</f>
        <v>-29116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-60561.279999999999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37286</v>
      </c>
      <c r="C41" s="48"/>
      <c r="D41" s="138">
        <f>+D40+D39</f>
        <v>7181.2400000000052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37286</v>
      </c>
      <c r="B47" s="32"/>
      <c r="C47" s="32"/>
      <c r="D47" s="350">
        <f>+D37</f>
        <v>-29116</v>
      </c>
    </row>
    <row r="48" spans="1:4" x14ac:dyDescent="0.2">
      <c r="A48" s="32"/>
      <c r="B48" s="32"/>
      <c r="C48" s="32"/>
      <c r="D48" s="14">
        <f>+D47+D46</f>
        <v>7035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-11675.04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-549367.83000000007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37285</v>
      </c>
      <c r="C41" s="48"/>
      <c r="D41" s="25">
        <f>+D40+D37</f>
        <v>-3083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37285</v>
      </c>
      <c r="B46" s="32"/>
      <c r="C46" s="32"/>
      <c r="D46" s="375">
        <f>+D37*'by type_area'!G4</f>
        <v>23362.560000000001</v>
      </c>
    </row>
    <row r="47" spans="1:4" x14ac:dyDescent="0.2">
      <c r="A47" s="32"/>
      <c r="B47" s="32"/>
      <c r="C47" s="32"/>
      <c r="D47" s="200">
        <f>+D46+D45</f>
        <v>186597.56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>
        <v>-136</v>
      </c>
      <c r="C32" s="11">
        <v>-170</v>
      </c>
      <c r="D32" s="11"/>
      <c r="E32" s="11"/>
      <c r="F32" s="11">
        <v>-855</v>
      </c>
      <c r="G32" s="11">
        <v>-1050</v>
      </c>
      <c r="H32" s="11"/>
      <c r="I32" s="11"/>
      <c r="J32" s="11">
        <f t="shared" si="0"/>
        <v>-229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>
        <v>-135</v>
      </c>
      <c r="C33" s="11">
        <v>-170</v>
      </c>
      <c r="D33" s="11"/>
      <c r="E33" s="11"/>
      <c r="F33" s="11">
        <v>-595</v>
      </c>
      <c r="G33" s="11">
        <v>-1050</v>
      </c>
      <c r="H33" s="11"/>
      <c r="I33" s="11"/>
      <c r="J33" s="11">
        <f t="shared" si="0"/>
        <v>-490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>
        <v>-197</v>
      </c>
      <c r="C34" s="11">
        <v>-170</v>
      </c>
      <c r="D34" s="11"/>
      <c r="E34" s="11"/>
      <c r="F34" s="11">
        <v>-566</v>
      </c>
      <c r="G34" s="11">
        <v>-1050</v>
      </c>
      <c r="H34" s="11"/>
      <c r="I34" s="11"/>
      <c r="J34" s="11">
        <f t="shared" si="0"/>
        <v>-457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-4491</v>
      </c>
      <c r="C37" s="11">
        <f t="shared" ref="C37:I37" si="1">SUM(C6:C36)</f>
        <v>-4930</v>
      </c>
      <c r="D37" s="11">
        <f t="shared" si="1"/>
        <v>0</v>
      </c>
      <c r="E37" s="11">
        <f t="shared" si="1"/>
        <v>0</v>
      </c>
      <c r="F37" s="11">
        <f t="shared" si="1"/>
        <v>-29580</v>
      </c>
      <c r="G37" s="11">
        <f t="shared" si="1"/>
        <v>-30450</v>
      </c>
      <c r="H37" s="11">
        <f t="shared" si="1"/>
        <v>0</v>
      </c>
      <c r="I37" s="11">
        <f t="shared" si="1"/>
        <v>0</v>
      </c>
      <c r="J37" s="11">
        <f>SUM(J6:J36)</f>
        <v>-1309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-2722.7200000000003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37285</v>
      </c>
      <c r="J43" s="319">
        <f>+J41+J39</f>
        <v>-38263.050000000003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37285</v>
      </c>
      <c r="B49" s="32"/>
      <c r="C49" s="32"/>
      <c r="D49" s="350">
        <f>+J37</f>
        <v>-1309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-4743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-1052</v>
      </c>
      <c r="M32" s="11">
        <v>-1778</v>
      </c>
      <c r="N32" s="11">
        <f t="shared" si="0"/>
        <v>-726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-1045</v>
      </c>
      <c r="M33" s="11">
        <v>-1778</v>
      </c>
      <c r="N33" s="11">
        <f t="shared" si="0"/>
        <v>-733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-831</v>
      </c>
      <c r="M34" s="11">
        <v>-1778</v>
      </c>
      <c r="N34" s="11">
        <f t="shared" si="0"/>
        <v>-947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-25973</v>
      </c>
      <c r="M37" s="11">
        <f>SUM(M6:M36)</f>
        <v>-27185</v>
      </c>
      <c r="N37" s="11">
        <f t="shared" si="1"/>
        <v>-1212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-2520.96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37285</v>
      </c>
      <c r="N43" s="319">
        <f>+N41+N39</f>
        <v>29167.530000000002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37285</v>
      </c>
      <c r="B49" s="32"/>
      <c r="C49" s="32"/>
      <c r="D49" s="350">
        <f>+N37</f>
        <v>-1212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10469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6" sqref="C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">
      <c r="A34" s="10">
        <v>29</v>
      </c>
      <c r="B34" s="11">
        <v>276</v>
      </c>
      <c r="C34" s="11">
        <v>150</v>
      </c>
      <c r="D34" s="25">
        <f t="shared" si="0"/>
        <v>-126</v>
      </c>
    </row>
    <row r="35" spans="1:4" x14ac:dyDescent="0.2">
      <c r="A35" s="10">
        <v>30</v>
      </c>
      <c r="B35" s="11">
        <v>269</v>
      </c>
      <c r="C35" s="11">
        <v>150</v>
      </c>
      <c r="D35" s="25">
        <f t="shared" si="0"/>
        <v>-119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7208</v>
      </c>
      <c r="C37" s="11">
        <f>SUM(C6:C36)</f>
        <v>4500</v>
      </c>
      <c r="D37" s="25">
        <f>SUM(D6:D36)</f>
        <v>-2708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-5659.7199999999993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37286</v>
      </c>
      <c r="C41" s="48"/>
      <c r="D41" s="138">
        <f>+D40+D39</f>
        <v>174389.26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37286</v>
      </c>
      <c r="B47" s="32"/>
      <c r="C47" s="32"/>
      <c r="D47" s="350">
        <f>+D37</f>
        <v>-2708</v>
      </c>
    </row>
    <row r="48" spans="1:4" x14ac:dyDescent="0.2">
      <c r="A48" s="32"/>
      <c r="B48" s="32"/>
      <c r="C48" s="32"/>
      <c r="D48" s="14">
        <f>+D47+D46</f>
        <v>76305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">
      <c r="A34" s="10">
        <v>29</v>
      </c>
      <c r="B34" s="11">
        <v>520</v>
      </c>
      <c r="C34" s="11">
        <v>88</v>
      </c>
      <c r="D34" s="25">
        <f t="shared" si="0"/>
        <v>-432</v>
      </c>
    </row>
    <row r="35" spans="1:4" x14ac:dyDescent="0.2">
      <c r="A35" s="10">
        <v>30</v>
      </c>
      <c r="B35" s="11">
        <v>800</v>
      </c>
      <c r="C35" s="11">
        <v>88</v>
      </c>
      <c r="D35" s="25">
        <f t="shared" si="0"/>
        <v>-712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12411</v>
      </c>
      <c r="C37" s="11">
        <f>SUM(C6:C36)</f>
        <v>6170</v>
      </c>
      <c r="D37" s="25">
        <f>SUM(D6:D36)</f>
        <v>-6241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-13043.689999999999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37286</v>
      </c>
      <c r="C41" s="48"/>
      <c r="D41" s="138">
        <f>+D40+D39</f>
        <v>148248.79999999999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37286</v>
      </c>
      <c r="B47" s="32"/>
      <c r="C47" s="32"/>
      <c r="D47" s="350">
        <f>+D37</f>
        <v>-6241</v>
      </c>
    </row>
    <row r="48" spans="1:4" x14ac:dyDescent="0.2">
      <c r="A48" s="32"/>
      <c r="B48" s="32"/>
      <c r="C48" s="32"/>
      <c r="D48" s="14">
        <f>+D47+D46</f>
        <v>27730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>
        <v>-9932</v>
      </c>
      <c r="C33" s="11">
        <v>-10000</v>
      </c>
      <c r="D33" s="11">
        <v>-19196</v>
      </c>
      <c r="E33" s="11">
        <v>-12104</v>
      </c>
      <c r="F33" s="11">
        <f t="shared" si="0"/>
        <v>7024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-279780</v>
      </c>
      <c r="C36" s="44">
        <f>SUM(C5:C35)</f>
        <v>-271068</v>
      </c>
      <c r="D36" s="43">
        <f>SUM(D5:D35)</f>
        <v>-1801831</v>
      </c>
      <c r="E36" s="43">
        <f>SUM(E5:E35)</f>
        <v>-1779813</v>
      </c>
      <c r="F36" s="11">
        <f>SUM(F5:F35)</f>
        <v>30730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2.09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64225.7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37285</v>
      </c>
      <c r="B43" s="32"/>
      <c r="C43" s="106"/>
      <c r="D43" s="106"/>
      <c r="E43" s="106"/>
      <c r="F43" s="24">
        <f>+F40+F42</f>
        <v>73901.7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37285</v>
      </c>
      <c r="B49" s="32"/>
      <c r="C49" s="32"/>
      <c r="D49" s="76">
        <f>+F36</f>
        <v>30730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50673.240000000005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9343.36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-124051.87999999999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1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-2050</v>
      </c>
      <c r="C34" s="24">
        <v>-2135</v>
      </c>
      <c r="D34" s="24"/>
      <c r="E34" s="24">
        <v>-25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-110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-2338</v>
      </c>
      <c r="C35" s="24">
        <v>-2135</v>
      </c>
      <c r="D35" s="24"/>
      <c r="E35" s="24">
        <v>-25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178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-63680</v>
      </c>
      <c r="C37" s="24">
        <f t="shared" si="1"/>
        <v>-64050</v>
      </c>
      <c r="D37" s="24">
        <f t="shared" si="1"/>
        <v>-15</v>
      </c>
      <c r="E37" s="24">
        <f t="shared" si="1"/>
        <v>-750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-2298.4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37286</v>
      </c>
      <c r="E41" s="14"/>
      <c r="O41" s="442"/>
      <c r="P41" s="104">
        <f>+P40+P39</f>
        <v>91691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37286</v>
      </c>
      <c r="B47" s="32"/>
      <c r="C47" s="32"/>
      <c r="D47" s="350">
        <f>+P37</f>
        <v>-1105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37965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-4850.5600000000004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37285</v>
      </c>
      <c r="C41" s="48"/>
      <c r="D41" s="138">
        <f>+D40+D39</f>
        <v>-20365.09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37285</v>
      </c>
      <c r="B47" s="32"/>
      <c r="C47" s="32"/>
      <c r="D47" s="350">
        <f>+D37</f>
        <v>-2332</v>
      </c>
    </row>
    <row r="48" spans="1:4" x14ac:dyDescent="0.2">
      <c r="A48" s="32"/>
      <c r="B48" s="32"/>
      <c r="C48" s="32"/>
      <c r="D48" s="14">
        <f>+D47+D46</f>
        <v>3264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-9189.73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37271</v>
      </c>
      <c r="C41" s="48"/>
      <c r="D41" s="138">
        <f>+D40+D39</f>
        <v>33990.339999999997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2.08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">
      <c r="A36" s="10">
        <v>30</v>
      </c>
      <c r="B36" s="11">
        <v>129648</v>
      </c>
      <c r="C36" s="11">
        <v>129253</v>
      </c>
      <c r="D36" s="25">
        <f t="shared" si="0"/>
        <v>-395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4124296</v>
      </c>
      <c r="C38" s="11">
        <f>SUM(C7:C37)</f>
        <v>4094874</v>
      </c>
      <c r="D38" s="11">
        <f>SUM(D7:D37)</f>
        <v>-29422</v>
      </c>
    </row>
    <row r="39" spans="1:8" x14ac:dyDescent="0.2">
      <c r="A39" s="26"/>
      <c r="C39" s="14"/>
      <c r="D39" s="106">
        <f>+summary!G3</f>
        <v>2.0699999999999998</v>
      </c>
    </row>
    <row r="40" spans="1:8" x14ac:dyDescent="0.2">
      <c r="D40" s="138">
        <f>+D39*D38</f>
        <v>-60903.539999999994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37286</v>
      </c>
      <c r="D42" s="319">
        <f>+D41+D40</f>
        <v>-13308.599999999991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37286</v>
      </c>
      <c r="B48" s="32"/>
      <c r="C48" s="32"/>
      <c r="D48" s="350">
        <f>+D38</f>
        <v>-29422</v>
      </c>
    </row>
    <row r="49" spans="1:4" x14ac:dyDescent="0.2">
      <c r="A49" s="32"/>
      <c r="B49" s="32"/>
      <c r="C49" s="32"/>
      <c r="D49" s="14">
        <f>+D48+D47</f>
        <v>-9011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">
      <c r="A33" s="10">
        <v>30</v>
      </c>
      <c r="B33" s="129">
        <v>-268678</v>
      </c>
      <c r="C33" s="11">
        <v>-267969</v>
      </c>
      <c r="D33" s="25">
        <f t="shared" si="0"/>
        <v>709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-5764902</v>
      </c>
      <c r="C35" s="11">
        <f>SUM(C4:C34)</f>
        <v>-5795969</v>
      </c>
      <c r="D35" s="11">
        <f>SUM(D4:D34)</f>
        <v>-31067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37286</v>
      </c>
      <c r="D40" s="51">
        <f>+D38+D35</f>
        <v>28004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37286</v>
      </c>
      <c r="B46" s="32"/>
      <c r="C46" s="32"/>
      <c r="D46" s="375">
        <f>+D35*'by type_area'!G4</f>
        <v>-64619.360000000001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-145162.51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A40" sqref="A4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">
      <c r="A33" s="10">
        <v>30</v>
      </c>
      <c r="B33" s="11">
        <v>-681056</v>
      </c>
      <c r="C33" s="11">
        <v>-679390</v>
      </c>
      <c r="D33" s="11"/>
      <c r="E33" s="11"/>
      <c r="F33" s="25">
        <f t="shared" si="0"/>
        <v>1666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-17495767</v>
      </c>
      <c r="C35" s="11">
        <f>SUM(C4:C34)</f>
        <v>-17505605</v>
      </c>
      <c r="D35" s="11">
        <f>SUM(D4:D34)</f>
        <v>0</v>
      </c>
      <c r="E35" s="11">
        <f>SUM(E4:E34)</f>
        <v>0</v>
      </c>
      <c r="F35" s="11">
        <f>SUM(F4:F34)</f>
        <v>-9838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37286</v>
      </c>
      <c r="D40" s="246"/>
      <c r="E40" s="246"/>
      <c r="F40" s="51">
        <f>+F38+F35</f>
        <v>94582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37286</v>
      </c>
      <c r="B46" s="32"/>
      <c r="C46" s="32"/>
      <c r="D46" s="474">
        <f>+F35*'by type_area'!G4</f>
        <v>-20463.04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311453.96000000002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>
        <v>-52032</v>
      </c>
      <c r="C32" s="11">
        <v>205</v>
      </c>
      <c r="D32" s="11"/>
      <c r="E32" s="11">
        <v>-47000</v>
      </c>
      <c r="F32" s="11"/>
      <c r="G32" s="11"/>
      <c r="H32" s="11">
        <f t="shared" si="0"/>
        <v>5237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>
        <v>-46066</v>
      </c>
      <c r="C33" s="11">
        <v>205</v>
      </c>
      <c r="D33" s="11"/>
      <c r="E33" s="11">
        <v>-45001</v>
      </c>
      <c r="F33" s="11"/>
      <c r="G33" s="11"/>
      <c r="H33" s="11">
        <f t="shared" si="0"/>
        <v>1270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-2612502</v>
      </c>
      <c r="C35" s="44">
        <f t="shared" si="3"/>
        <v>-671509</v>
      </c>
      <c r="D35" s="11">
        <f t="shared" si="3"/>
        <v>-25</v>
      </c>
      <c r="E35" s="44">
        <f t="shared" si="3"/>
        <v>-1903364</v>
      </c>
      <c r="F35" s="11">
        <f t="shared" si="3"/>
        <v>0</v>
      </c>
      <c r="G35" s="11">
        <f t="shared" si="3"/>
        <v>0</v>
      </c>
      <c r="H35" s="11">
        <f t="shared" si="3"/>
        <v>37654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78320.320000000007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37286</v>
      </c>
      <c r="F39" s="473"/>
      <c r="G39" s="473"/>
      <c r="H39" s="319">
        <f>+H38+H37</f>
        <v>10062.320000000007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37286</v>
      </c>
      <c r="E47" s="459">
        <f>+H35</f>
        <v>37654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32570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5" workbookViewId="0">
      <selection activeCell="C47" sqref="C4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129">
        <v>12876</v>
      </c>
      <c r="E15" s="11">
        <v>13033</v>
      </c>
      <c r="F15" s="11">
        <f t="shared" si="5"/>
        <v>-226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554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13394</v>
      </c>
      <c r="E18" s="11">
        <v>13033</v>
      </c>
      <c r="F18" s="11">
        <f t="shared" si="5"/>
        <v>-1054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12668</v>
      </c>
      <c r="E19" s="11">
        <v>13033</v>
      </c>
      <c r="F19" s="11">
        <f t="shared" si="5"/>
        <v>-446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37285</v>
      </c>
      <c r="I23" s="11">
        <f>+B39</f>
        <v>4231863</v>
      </c>
      <c r="J23" s="11">
        <f>+C39</f>
        <v>4223190</v>
      </c>
      <c r="K23" s="11">
        <f>+D39</f>
        <v>377524</v>
      </c>
      <c r="L23" s="11">
        <f>+E39</f>
        <v>377957</v>
      </c>
      <c r="M23" s="42">
        <f>+J23-I23+L23-K23</f>
        <v>-8240</v>
      </c>
      <c r="N23" s="102">
        <f>+summary!G3</f>
        <v>2.0699999999999998</v>
      </c>
      <c r="O23" s="503">
        <f>+N23*M23</f>
        <v>-17056.8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81560</v>
      </c>
      <c r="N24" s="102"/>
      <c r="O24" s="102">
        <f>SUM(O9:O23)</f>
        <v>551059.53999999992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13371</v>
      </c>
      <c r="E29" s="150">
        <v>13033</v>
      </c>
      <c r="F29" s="11">
        <f t="shared" si="5"/>
        <v>-2009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147114</v>
      </c>
      <c r="C36" s="150">
        <v>146997</v>
      </c>
      <c r="D36" s="150">
        <v>13954</v>
      </c>
      <c r="E36" s="150">
        <v>13033</v>
      </c>
      <c r="F36" s="11">
        <f t="shared" si="5"/>
        <v>-1038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4231863</v>
      </c>
      <c r="C39" s="150">
        <f>SUM(C8:C38)</f>
        <v>4223190</v>
      </c>
      <c r="D39" s="150">
        <f>SUM(D8:D38)</f>
        <v>377524</v>
      </c>
      <c r="E39" s="150">
        <f>SUM(E8:E38)</f>
        <v>377957</v>
      </c>
      <c r="F39" s="11">
        <f t="shared" si="5"/>
        <v>-8240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37285</v>
      </c>
      <c r="B45" s="32"/>
      <c r="C45" s="106"/>
      <c r="D45" s="106"/>
      <c r="E45" s="106"/>
      <c r="F45" s="24">
        <f>+F44+F39</f>
        <v>21891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37285</v>
      </c>
      <c r="B51" s="32"/>
      <c r="C51" s="32"/>
      <c r="D51" s="350">
        <f>+F39*summary!G3</f>
        <v>-17056.8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417303.98000000004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2002-01-31T18:34:52Z</cp:lastPrinted>
  <dcterms:created xsi:type="dcterms:W3CDTF">2000-03-28T16:52:23Z</dcterms:created>
  <dcterms:modified xsi:type="dcterms:W3CDTF">2014-09-03T14:26:34Z</dcterms:modified>
</cp:coreProperties>
</file>