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37" i="88" s="1"/>
  <c r="D47" i="88" s="1"/>
  <c r="D48" i="88" s="1"/>
  <c r="D45" i="80" s="1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8" i="88"/>
  <c r="P39" i="88" s="1"/>
  <c r="P41" i="88" s="1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 s="1"/>
  <c r="B74" i="80" s="1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K3" i="80"/>
  <c r="J4" i="80"/>
  <c r="J58" i="80" s="1"/>
  <c r="J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D30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K57" i="80"/>
  <c r="J59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D9" i="74"/>
  <c r="J9" i="74"/>
  <c r="L9" i="74" s="1"/>
  <c r="D10" i="74"/>
  <c r="D37" i="74" s="1"/>
  <c r="D46" i="74" s="1"/>
  <c r="D47" i="74" s="1"/>
  <c r="D12" i="80" s="1"/>
  <c r="J10" i="74"/>
  <c r="L10" i="74"/>
  <c r="D11" i="74"/>
  <c r="H11" i="74"/>
  <c r="J11" i="74" s="1"/>
  <c r="L11" i="74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H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6" i="80" s="1"/>
  <c r="D6" i="78"/>
  <c r="D7" i="78"/>
  <c r="D8" i="78"/>
  <c r="D9" i="78"/>
  <c r="D10" i="78"/>
  <c r="D11" i="78"/>
  <c r="D13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/>
  <c r="M5" i="13" s="1"/>
  <c r="N5" i="13"/>
  <c r="N10" i="13" s="1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/>
  <c r="M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7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37" i="87" s="1"/>
  <c r="D47" i="87" s="1"/>
  <c r="D48" i="87" s="1"/>
  <c r="D44" i="80" s="1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E36" i="73"/>
  <c r="F39" i="73"/>
  <c r="H41" i="73"/>
  <c r="F46" i="73"/>
  <c r="C71" i="73" s="1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J11" i="20"/>
  <c r="J15" i="20"/>
  <c r="B18" i="20"/>
  <c r="F39" i="20" s="1"/>
  <c r="F40" i="20" s="1"/>
  <c r="B19" i="20"/>
  <c r="C19" i="20" s="1"/>
  <c r="C20" i="20"/>
  <c r="B8" i="63" s="1"/>
  <c r="B31" i="20"/>
  <c r="E38" i="20"/>
  <c r="E39" i="20"/>
  <c r="G39" i="20"/>
  <c r="G40" i="20" s="1"/>
  <c r="B78" i="73" s="1"/>
  <c r="I40" i="20"/>
  <c r="I57" i="20" s="1"/>
  <c r="M51" i="73" s="1"/>
  <c r="B46" i="20"/>
  <c r="H39" i="20" s="1"/>
  <c r="H40" i="20" s="1"/>
  <c r="B77" i="73" s="1"/>
  <c r="H5" i="11"/>
  <c r="H6" i="11"/>
  <c r="H7" i="11"/>
  <c r="H36" i="11" s="1"/>
  <c r="H39" i="11" s="1"/>
  <c r="C27" i="63" s="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E37" i="11" s="1"/>
  <c r="F36" i="11"/>
  <c r="G36" i="11"/>
  <c r="AC36" i="11"/>
  <c r="AE36" i="11"/>
  <c r="AI36" i="11"/>
  <c r="AL36" i="11"/>
  <c r="AM36" i="11"/>
  <c r="AN36" i="11"/>
  <c r="AO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37" i="75" s="1"/>
  <c r="D46" i="75" s="1"/>
  <c r="D47" i="75" s="1"/>
  <c r="D47" i="80" s="1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36" i="5" s="1"/>
  <c r="D49" i="5" s="1"/>
  <c r="D50" i="5" s="1"/>
  <c r="D83" i="80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39" i="17" s="1"/>
  <c r="D48" i="17" s="1"/>
  <c r="D49" i="17" s="1"/>
  <c r="D33" i="80" s="1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34" i="67" s="1"/>
  <c r="F4" i="67"/>
  <c r="F5" i="67"/>
  <c r="F6" i="67"/>
  <c r="F7" i="67"/>
  <c r="F8" i="67"/>
  <c r="F9" i="67"/>
  <c r="F10" i="67"/>
  <c r="L10" i="67"/>
  <c r="N10" i="67" s="1"/>
  <c r="S10" i="67"/>
  <c r="U10" i="67" s="1"/>
  <c r="F11" i="67"/>
  <c r="J11" i="67"/>
  <c r="L11" i="67"/>
  <c r="N11" i="67" s="1"/>
  <c r="N16" i="67" s="1"/>
  <c r="S11" i="67"/>
  <c r="F12" i="67"/>
  <c r="J12" i="67"/>
  <c r="L12" i="67"/>
  <c r="N12" i="67"/>
  <c r="S12" i="67"/>
  <c r="U12" i="67" s="1"/>
  <c r="F13" i="67"/>
  <c r="J13" i="67"/>
  <c r="L13" i="67"/>
  <c r="N13" i="67" s="1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B6" i="65"/>
  <c r="D6" i="65"/>
  <c r="B7" i="65"/>
  <c r="D7" i="65" s="1"/>
  <c r="C7" i="65"/>
  <c r="C8" i="65"/>
  <c r="D8" i="65"/>
  <c r="B9" i="65"/>
  <c r="C9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M23" i="77" s="1"/>
  <c r="D17" i="77"/>
  <c r="K17" i="77"/>
  <c r="M17" i="77" s="1"/>
  <c r="D18" i="77"/>
  <c r="K18" i="77"/>
  <c r="M18" i="77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H5" i="7" s="1"/>
  <c r="AH6" i="7" s="1"/>
  <c r="AG5" i="7"/>
  <c r="AG6" i="7" s="1"/>
  <c r="AG7" i="7" s="1"/>
  <c r="AG8" i="7" s="1"/>
  <c r="F6" i="7"/>
  <c r="Z6" i="7"/>
  <c r="AD6" i="7" s="1"/>
  <c r="AF6" i="7" s="1"/>
  <c r="F7" i="7"/>
  <c r="Z7" i="7"/>
  <c r="AD7" i="7"/>
  <c r="AF7" i="7" s="1"/>
  <c r="F8" i="7"/>
  <c r="Z8" i="7"/>
  <c r="AD8" i="7" s="1"/>
  <c r="AF8" i="7" s="1"/>
  <c r="F9" i="7"/>
  <c r="Z9" i="7"/>
  <c r="AD9" i="7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 s="1"/>
  <c r="F13" i="7"/>
  <c r="Z13" i="7"/>
  <c r="AD13" i="7"/>
  <c r="AF13" i="7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F36" i="7" s="1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H10" i="9"/>
  <c r="N10" i="9"/>
  <c r="P10" i="9"/>
  <c r="P16" i="9" s="1"/>
  <c r="H11" i="9"/>
  <c r="N11" i="9"/>
  <c r="P11" i="9"/>
  <c r="H12" i="9"/>
  <c r="L12" i="9"/>
  <c r="N12" i="9"/>
  <c r="P12" i="9"/>
  <c r="H13" i="9"/>
  <c r="N13" i="9"/>
  <c r="P13" i="9" s="1"/>
  <c r="H14" i="9"/>
  <c r="L14" i="9"/>
  <c r="N14" i="9"/>
  <c r="P14" i="9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Q39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F39" i="15" s="1"/>
  <c r="D39" i="15"/>
  <c r="K23" i="15" s="1"/>
  <c r="E39" i="15"/>
  <c r="AD39" i="15"/>
  <c r="AE39" i="15"/>
  <c r="AH39" i="15"/>
  <c r="AI39" i="15"/>
  <c r="AL39" i="15"/>
  <c r="AM39" i="15"/>
  <c r="AP39" i="15"/>
  <c r="AT39" i="15"/>
  <c r="AU39" i="15"/>
  <c r="F45" i="15"/>
  <c r="A50" i="15"/>
  <c r="A51" i="15"/>
  <c r="D51" i="15"/>
  <c r="D52" i="15" s="1"/>
  <c r="D73" i="80" s="1"/>
  <c r="AH52" i="15"/>
  <c r="AH54" i="15"/>
  <c r="AH56" i="15"/>
  <c r="AH57" i="15"/>
  <c r="F86" i="15"/>
  <c r="K86" i="15"/>
  <c r="F87" i="15"/>
  <c r="F101" i="15" s="1"/>
  <c r="C101" i="15" s="1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33" i="15" s="1"/>
  <c r="C133" i="15" s="1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F169" i="15"/>
  <c r="F170" i="15"/>
  <c r="F171" i="15"/>
  <c r="F172" i="15"/>
  <c r="F173" i="15"/>
  <c r="C174" i="15"/>
  <c r="C175" i="15"/>
  <c r="C176" i="15" s="1"/>
  <c r="F176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F38" i="22" s="1"/>
  <c r="H5" i="63"/>
  <c r="D19" i="8" s="1"/>
  <c r="C8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C45" i="63"/>
  <c r="B45" i="63" s="1"/>
  <c r="D45" i="63"/>
  <c r="D46" i="63"/>
  <c r="D47" i="63"/>
  <c r="J47" i="63"/>
  <c r="D48" i="63"/>
  <c r="D49" i="63"/>
  <c r="D50" i="63"/>
  <c r="D51" i="63"/>
  <c r="D52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A48" i="19"/>
  <c r="A49" i="19"/>
  <c r="D49" i="19"/>
  <c r="D50" i="19" s="1"/>
  <c r="D20" i="80" s="1"/>
  <c r="J4" i="2"/>
  <c r="J5" i="2"/>
  <c r="J6" i="2"/>
  <c r="P6" i="2"/>
  <c r="R6" i="2"/>
  <c r="J7" i="2"/>
  <c r="P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A48" i="91"/>
  <c r="A49" i="91"/>
  <c r="D49" i="91"/>
  <c r="D50" i="91" s="1"/>
  <c r="D42" i="80" s="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J39" i="83" l="1"/>
  <c r="J43" i="83" s="1"/>
  <c r="B31" i="80"/>
  <c r="C31" i="80" s="1"/>
  <c r="D37" i="90"/>
  <c r="D47" i="90" s="1"/>
  <c r="D48" i="90" s="1"/>
  <c r="D14" i="80" s="1"/>
  <c r="D17" i="80" s="1"/>
  <c r="C28" i="63"/>
  <c r="B28" i="63" s="1"/>
  <c r="B73" i="80"/>
  <c r="D37" i="81"/>
  <c r="N39" i="91"/>
  <c r="N43" i="91" s="1"/>
  <c r="D41" i="19"/>
  <c r="D43" i="19" s="1"/>
  <c r="F41" i="7"/>
  <c r="B45" i="80"/>
  <c r="C45" i="80" s="1"/>
  <c r="E45" i="80" s="1"/>
  <c r="B21" i="63"/>
  <c r="C21" i="63" s="1"/>
  <c r="B73" i="73"/>
  <c r="AF39" i="15"/>
  <c r="AF45" i="15" s="1"/>
  <c r="D19" i="64"/>
  <c r="D23" i="64" s="1"/>
  <c r="D35" i="28"/>
  <c r="AI6" i="7"/>
  <c r="AH7" i="7"/>
  <c r="R7" i="2"/>
  <c r="R21" i="2" s="1"/>
  <c r="S12" i="2"/>
  <c r="D20" i="8"/>
  <c r="D24" i="8" s="1"/>
  <c r="F35" i="6"/>
  <c r="AG9" i="7"/>
  <c r="AG10" i="7" s="1"/>
  <c r="AG11" i="7" s="1"/>
  <c r="AG12" i="7" s="1"/>
  <c r="AG13" i="7" s="1"/>
  <c r="AG14" i="7" s="1"/>
  <c r="AG15" i="7" s="1"/>
  <c r="AG16" i="7" s="1"/>
  <c r="AG17" i="7" s="1"/>
  <c r="P17" i="2"/>
  <c r="R17" i="2" s="1"/>
  <c r="D37" i="76"/>
  <c r="D47" i="76" s="1"/>
  <c r="D48" i="76" s="1"/>
  <c r="D38" i="80" s="1"/>
  <c r="D44" i="67"/>
  <c r="D45" i="67" s="1"/>
  <c r="D80" i="80" s="1"/>
  <c r="F38" i="67"/>
  <c r="K114" i="15"/>
  <c r="J37" i="83"/>
  <c r="D49" i="83" s="1"/>
  <c r="D50" i="83" s="1"/>
  <c r="D41" i="80" s="1"/>
  <c r="J35" i="2"/>
  <c r="AJ39" i="15"/>
  <c r="AJ45" i="15" s="1"/>
  <c r="C45" i="11"/>
  <c r="C46" i="11" s="1"/>
  <c r="C39" i="11"/>
  <c r="C74" i="80"/>
  <c r="D39" i="69"/>
  <c r="J3" i="80"/>
  <c r="J57" i="80" s="1"/>
  <c r="AR26" i="15"/>
  <c r="AR39" i="15" s="1"/>
  <c r="AR45" i="15" s="1"/>
  <c r="AN39" i="15"/>
  <c r="S16" i="67"/>
  <c r="U11" i="67"/>
  <c r="U16" i="67" s="1"/>
  <c r="E45" i="11"/>
  <c r="AP36" i="11"/>
  <c r="AF36" i="11"/>
  <c r="F37" i="22"/>
  <c r="D47" i="22" s="1"/>
  <c r="D48" i="22" s="1"/>
  <c r="D29" i="80" s="1"/>
  <c r="F39" i="87"/>
  <c r="F41" i="87" s="1"/>
  <c r="F38" i="13"/>
  <c r="F41" i="13" s="1"/>
  <c r="K13" i="13"/>
  <c r="M4" i="13"/>
  <c r="M13" i="13" s="1"/>
  <c r="C180" i="15"/>
  <c r="H35" i="9"/>
  <c r="E47" i="9" s="1"/>
  <c r="E48" i="9" s="1"/>
  <c r="D34" i="80" s="1"/>
  <c r="AI5" i="7"/>
  <c r="D18" i="65"/>
  <c r="D33" i="65" s="1"/>
  <c r="D34" i="65" s="1"/>
  <c r="D26" i="80" s="1"/>
  <c r="J35" i="70"/>
  <c r="D47" i="70" s="1"/>
  <c r="D48" i="70" s="1"/>
  <c r="D36" i="80" s="1"/>
  <c r="D37" i="85"/>
  <c r="D47" i="85" s="1"/>
  <c r="D48" i="85" s="1"/>
  <c r="D40" i="80" s="1"/>
  <c r="F35" i="13"/>
  <c r="D47" i="13" s="1"/>
  <c r="D48" i="13" s="1"/>
  <c r="D27" i="80" s="1"/>
  <c r="D46" i="12"/>
  <c r="D47" i="12" s="1"/>
  <c r="D74" i="80" s="1"/>
  <c r="D38" i="89"/>
  <c r="C37" i="73"/>
  <c r="D38" i="86"/>
  <c r="D39" i="86" s="1"/>
  <c r="D41" i="86" s="1"/>
  <c r="D38" i="85"/>
  <c r="B47" i="20"/>
  <c r="C47" i="20" s="1"/>
  <c r="C48" i="20" s="1"/>
  <c r="D38" i="75"/>
  <c r="D39" i="75" s="1"/>
  <c r="D41" i="75" s="1"/>
  <c r="F39" i="5"/>
  <c r="F40" i="5" s="1"/>
  <c r="F43" i="5" s="1"/>
  <c r="D37" i="89"/>
  <c r="D47" i="89" s="1"/>
  <c r="D48" i="89" s="1"/>
  <c r="D39" i="80" s="1"/>
  <c r="D31" i="80"/>
  <c r="B79" i="73"/>
  <c r="F35" i="73"/>
  <c r="K7" i="13"/>
  <c r="M7" i="13" s="1"/>
  <c r="N11" i="13"/>
  <c r="J17" i="74"/>
  <c r="J24" i="74" s="1"/>
  <c r="L8" i="74"/>
  <c r="L17" i="74" s="1"/>
  <c r="AL48" i="11"/>
  <c r="D14" i="78"/>
  <c r="D18" i="78" s="1"/>
  <c r="C79" i="73"/>
  <c r="B32" i="20"/>
  <c r="C32" i="20" s="1"/>
  <c r="C33" i="20" s="1"/>
  <c r="C78" i="73" s="1"/>
  <c r="H36" i="9"/>
  <c r="F40" i="71"/>
  <c r="D38" i="77"/>
  <c r="D39" i="77" s="1"/>
  <c r="D41" i="77" s="1"/>
  <c r="D19" i="65"/>
  <c r="D20" i="65" s="1"/>
  <c r="D24" i="65" s="1"/>
  <c r="D38" i="74"/>
  <c r="F40" i="18"/>
  <c r="F41" i="18" s="1"/>
  <c r="F43" i="18" s="1"/>
  <c r="J40" i="17"/>
  <c r="J41" i="17" s="1"/>
  <c r="J43" i="17" s="1"/>
  <c r="J23" i="15"/>
  <c r="M23" i="15" s="1"/>
  <c r="M24" i="15" s="1"/>
  <c r="AV39" i="15"/>
  <c r="AF19" i="7"/>
  <c r="AH19" i="7" s="1"/>
  <c r="AG19" i="7"/>
  <c r="AG20" i="7" s="1"/>
  <c r="AG21" i="7" s="1"/>
  <c r="D37" i="77"/>
  <c r="D49" i="77" s="1"/>
  <c r="D50" i="77" s="1"/>
  <c r="D15" i="80" s="1"/>
  <c r="L16" i="67"/>
  <c r="D35" i="68"/>
  <c r="D37" i="86"/>
  <c r="D47" i="86" s="1"/>
  <c r="D48" i="86" s="1"/>
  <c r="D43" i="80" s="1"/>
  <c r="D38" i="79"/>
  <c r="D39" i="79" s="1"/>
  <c r="D41" i="79" s="1"/>
  <c r="D18" i="8"/>
  <c r="D30" i="8" s="1"/>
  <c r="D31" i="8" s="1"/>
  <c r="D48" i="80" s="1"/>
  <c r="F39" i="71"/>
  <c r="D49" i="71" s="1"/>
  <c r="D50" i="71" s="1"/>
  <c r="D46" i="80" s="1"/>
  <c r="N23" i="15"/>
  <c r="O23" i="15" s="1"/>
  <c r="O24" i="15" s="1"/>
  <c r="D75" i="2"/>
  <c r="D38" i="76"/>
  <c r="D39" i="76" s="1"/>
  <c r="D41" i="76" s="1"/>
  <c r="D17" i="64"/>
  <c r="D29" i="64" s="1"/>
  <c r="D30" i="64" s="1"/>
  <c r="D35" i="80" s="1"/>
  <c r="D37" i="16"/>
  <c r="D38" i="16" s="1"/>
  <c r="D40" i="16" s="1"/>
  <c r="J35" i="73"/>
  <c r="J36" i="73" s="1"/>
  <c r="D32" i="80" s="1"/>
  <c r="F36" i="73"/>
  <c r="D39" i="72"/>
  <c r="D38" i="69"/>
  <c r="D48" i="69" s="1"/>
  <c r="D49" i="69" s="1"/>
  <c r="D22" i="80" s="1"/>
  <c r="B27" i="80" l="1"/>
  <c r="C27" i="80" s="1"/>
  <c r="E27" i="80" s="1"/>
  <c r="B11" i="63"/>
  <c r="C11" i="63" s="1"/>
  <c r="C73" i="80"/>
  <c r="B44" i="80"/>
  <c r="C44" i="80" s="1"/>
  <c r="E44" i="80" s="1"/>
  <c r="B44" i="63"/>
  <c r="C44" i="63" s="1"/>
  <c r="AR48" i="15"/>
  <c r="AR51" i="15"/>
  <c r="J40" i="2"/>
  <c r="D47" i="2"/>
  <c r="D48" i="2" s="1"/>
  <c r="B76" i="80"/>
  <c r="C76" i="80" s="1"/>
  <c r="C47" i="63"/>
  <c r="B47" i="63" s="1"/>
  <c r="H37" i="9"/>
  <c r="H39" i="9" s="1"/>
  <c r="D39" i="85"/>
  <c r="D41" i="85" s="1"/>
  <c r="D49" i="80"/>
  <c r="F40" i="6"/>
  <c r="D46" i="6"/>
  <c r="D47" i="6" s="1"/>
  <c r="D67" i="80" s="1"/>
  <c r="E48" i="7"/>
  <c r="E49" i="7" s="1"/>
  <c r="D76" i="80" s="1"/>
  <c r="F39" i="22"/>
  <c r="F41" i="22" s="1"/>
  <c r="B15" i="80"/>
  <c r="C15" i="80" s="1"/>
  <c r="E15" i="80" s="1"/>
  <c r="B42" i="63"/>
  <c r="C42" i="63" s="1"/>
  <c r="AN45" i="15"/>
  <c r="B102" i="15"/>
  <c r="AH20" i="7"/>
  <c r="AI19" i="7"/>
  <c r="B13" i="80"/>
  <c r="C13" i="80" s="1"/>
  <c r="E13" i="80" s="1"/>
  <c r="B26" i="63"/>
  <c r="C26" i="63" s="1"/>
  <c r="B43" i="80"/>
  <c r="C43" i="80" s="1"/>
  <c r="E43" i="80" s="1"/>
  <c r="B20" i="63"/>
  <c r="C20" i="63" s="1"/>
  <c r="D40" i="69"/>
  <c r="D42" i="69" s="1"/>
  <c r="B20" i="80"/>
  <c r="B32" i="63"/>
  <c r="C32" i="63" s="1"/>
  <c r="E74" i="80"/>
  <c r="D39" i="90"/>
  <c r="D41" i="90" s="1"/>
  <c r="B42" i="80"/>
  <c r="C42" i="80" s="1"/>
  <c r="E42" i="80" s="1"/>
  <c r="B34" i="63"/>
  <c r="C34" i="63" s="1"/>
  <c r="D39" i="74"/>
  <c r="D41" i="74" s="1"/>
  <c r="K19" i="74"/>
  <c r="L19" i="74" s="1"/>
  <c r="L24" i="74" s="1"/>
  <c r="L26" i="74" s="1"/>
  <c r="B23" i="63"/>
  <c r="C23" i="63" s="1"/>
  <c r="B47" i="80"/>
  <c r="C47" i="80" s="1"/>
  <c r="E47" i="80" s="1"/>
  <c r="D48" i="72"/>
  <c r="D49" i="72" s="1"/>
  <c r="D82" i="80" s="1"/>
  <c r="D42" i="72"/>
  <c r="F41" i="71"/>
  <c r="F43" i="71" s="1"/>
  <c r="C57" i="20"/>
  <c r="F51" i="73" s="1"/>
  <c r="C77" i="73"/>
  <c r="B9" i="63"/>
  <c r="K36" i="73"/>
  <c r="K49" i="73" s="1"/>
  <c r="M53" i="73" s="1"/>
  <c r="B74" i="73"/>
  <c r="B81" i="73" s="1"/>
  <c r="AH8" i="7"/>
  <c r="AI7" i="7"/>
  <c r="J37" i="70"/>
  <c r="J41" i="70" s="1"/>
  <c r="B37" i="80"/>
  <c r="C37" i="80" s="1"/>
  <c r="E37" i="80" s="1"/>
  <c r="B49" i="63"/>
  <c r="C49" i="63" s="1"/>
  <c r="B33" i="80"/>
  <c r="C33" i="80" s="1"/>
  <c r="E33" i="80" s="1"/>
  <c r="B13" i="63"/>
  <c r="C13" i="63" s="1"/>
  <c r="E37" i="73"/>
  <c r="E38" i="73" s="1"/>
  <c r="C38" i="73"/>
  <c r="C40" i="73" s="1"/>
  <c r="D40" i="68"/>
  <c r="D46" i="68"/>
  <c r="D47" i="68" s="1"/>
  <c r="D66" i="80" s="1"/>
  <c r="B28" i="80"/>
  <c r="C28" i="80" s="1"/>
  <c r="E28" i="80" s="1"/>
  <c r="B19" i="63"/>
  <c r="C19" i="63" s="1"/>
  <c r="B16" i="80"/>
  <c r="C16" i="80" s="1"/>
  <c r="E16" i="80" s="1"/>
  <c r="B41" i="63"/>
  <c r="C41" i="63" s="1"/>
  <c r="D39" i="89"/>
  <c r="D41" i="89" s="1"/>
  <c r="B43" i="63" s="1"/>
  <c r="F45" i="11"/>
  <c r="B68" i="80"/>
  <c r="C68" i="80" s="1"/>
  <c r="E68" i="80" s="1"/>
  <c r="B27" i="63"/>
  <c r="C15" i="63"/>
  <c r="B15" i="63" s="1"/>
  <c r="B80" i="80"/>
  <c r="C75" i="80"/>
  <c r="D46" i="28"/>
  <c r="D47" i="28" s="1"/>
  <c r="D69" i="80" s="1"/>
  <c r="D40" i="28"/>
  <c r="M9" i="74"/>
  <c r="M10" i="74" s="1"/>
  <c r="M11" i="74" s="1"/>
  <c r="M12" i="74" s="1"/>
  <c r="M13" i="74" s="1"/>
  <c r="M14" i="74" s="1"/>
  <c r="E31" i="80"/>
  <c r="B38" i="80"/>
  <c r="C38" i="80" s="1"/>
  <c r="E38" i="80" s="1"/>
  <c r="B35" i="63"/>
  <c r="C35" i="63" s="1"/>
  <c r="D68" i="80"/>
  <c r="F46" i="11"/>
  <c r="D75" i="80" s="1"/>
  <c r="D77" i="80" s="1"/>
  <c r="B51" i="63"/>
  <c r="C51" i="63" s="1"/>
  <c r="B48" i="80"/>
  <c r="C48" i="80" s="1"/>
  <c r="E48" i="80" s="1"/>
  <c r="B35" i="80"/>
  <c r="C35" i="80" s="1"/>
  <c r="E35" i="80" s="1"/>
  <c r="B10" i="63"/>
  <c r="C10" i="63" s="1"/>
  <c r="B41" i="80"/>
  <c r="C41" i="80" s="1"/>
  <c r="E41" i="80" s="1"/>
  <c r="B48" i="63"/>
  <c r="C48" i="63" s="1"/>
  <c r="B26" i="80"/>
  <c r="B36" i="63"/>
  <c r="C36" i="63" s="1"/>
  <c r="C30" i="63"/>
  <c r="B30" i="63" s="1"/>
  <c r="B83" i="80"/>
  <c r="C83" i="80" s="1"/>
  <c r="E83" i="80" s="1"/>
  <c r="D46" i="81"/>
  <c r="D47" i="81" s="1"/>
  <c r="D81" i="80" s="1"/>
  <c r="D84" i="80" s="1"/>
  <c r="D41" i="81"/>
  <c r="P21" i="2"/>
  <c r="P23" i="2" s="1"/>
  <c r="F37" i="73" l="1"/>
  <c r="B81" i="80"/>
  <c r="C81" i="80" s="1"/>
  <c r="E81" i="80" s="1"/>
  <c r="C50" i="63"/>
  <c r="B50" i="63" s="1"/>
  <c r="D70" i="80"/>
  <c r="D86" i="80"/>
  <c r="C12" i="63"/>
  <c r="B12" i="63" s="1"/>
  <c r="B37" i="63" s="1"/>
  <c r="B66" i="80"/>
  <c r="C31" i="63"/>
  <c r="B31" i="63" s="1"/>
  <c r="B82" i="80"/>
  <c r="C82" i="80" s="1"/>
  <c r="E82" i="80" s="1"/>
  <c r="B14" i="80"/>
  <c r="C14" i="80" s="1"/>
  <c r="E14" i="80" s="1"/>
  <c r="B52" i="63"/>
  <c r="C52" i="63" s="1"/>
  <c r="E76" i="80"/>
  <c r="C77" i="80"/>
  <c r="E73" i="80"/>
  <c r="E77" i="80" s="1"/>
  <c r="C73" i="73"/>
  <c r="AH9" i="7"/>
  <c r="AI8" i="7"/>
  <c r="B77" i="80"/>
  <c r="B36" i="80"/>
  <c r="C36" i="80" s="1"/>
  <c r="E36" i="80" s="1"/>
  <c r="B25" i="63"/>
  <c r="C25" i="63" s="1"/>
  <c r="E40" i="73"/>
  <c r="F38" i="73"/>
  <c r="AH21" i="7"/>
  <c r="AI21" i="7" s="1"/>
  <c r="AI20" i="7"/>
  <c r="B67" i="80"/>
  <c r="C67" i="80" s="1"/>
  <c r="E67" i="80" s="1"/>
  <c r="C16" i="63"/>
  <c r="B16" i="63" s="1"/>
  <c r="C20" i="80"/>
  <c r="F102" i="15"/>
  <c r="F103" i="15" s="1"/>
  <c r="C103" i="15" s="1"/>
  <c r="B103" i="15"/>
  <c r="B105" i="15" s="1"/>
  <c r="F105" i="15" s="1"/>
  <c r="C21" i="80"/>
  <c r="C24" i="63"/>
  <c r="B24" i="63" s="1"/>
  <c r="B46" i="80"/>
  <c r="C46" i="80" s="1"/>
  <c r="E46" i="80" s="1"/>
  <c r="B33" i="63"/>
  <c r="C33" i="63" s="1"/>
  <c r="C43" i="63"/>
  <c r="C39" i="80" s="1"/>
  <c r="E39" i="80" s="1"/>
  <c r="B39" i="80"/>
  <c r="C26" i="80"/>
  <c r="E75" i="80"/>
  <c r="B30" i="80"/>
  <c r="C30" i="80" s="1"/>
  <c r="E30" i="80" s="1"/>
  <c r="C9" i="63"/>
  <c r="B22" i="80"/>
  <c r="C22" i="80" s="1"/>
  <c r="E22" i="80" s="1"/>
  <c r="B29" i="63"/>
  <c r="C29" i="63" s="1"/>
  <c r="B40" i="80"/>
  <c r="C40" i="80" s="1"/>
  <c r="E40" i="80" s="1"/>
  <c r="B18" i="63"/>
  <c r="C18" i="63" s="1"/>
  <c r="B29" i="80"/>
  <c r="C29" i="80" s="1"/>
  <c r="E29" i="80" s="1"/>
  <c r="B14" i="63"/>
  <c r="C14" i="63" s="1"/>
  <c r="B69" i="80"/>
  <c r="C69" i="80" s="1"/>
  <c r="E69" i="80" s="1"/>
  <c r="C22" i="63"/>
  <c r="B22" i="63" s="1"/>
  <c r="B84" i="80"/>
  <c r="C80" i="80"/>
  <c r="B12" i="80"/>
  <c r="B17" i="63"/>
  <c r="C17" i="63" s="1"/>
  <c r="B34" i="80"/>
  <c r="C34" i="80" s="1"/>
  <c r="E34" i="80" s="1"/>
  <c r="B46" i="63"/>
  <c r="C46" i="63" s="1"/>
  <c r="C12" i="80" l="1"/>
  <c r="B17" i="80"/>
  <c r="E26" i="80"/>
  <c r="C81" i="73"/>
  <c r="C82" i="73" s="1"/>
  <c r="B70" i="80"/>
  <c r="B86" i="80" s="1"/>
  <c r="C66" i="80"/>
  <c r="C84" i="80"/>
  <c r="E80" i="80"/>
  <c r="E84" i="80" s="1"/>
  <c r="C37" i="63"/>
  <c r="C74" i="73"/>
  <c r="F40" i="73"/>
  <c r="F49" i="73" s="1"/>
  <c r="F53" i="73" s="1"/>
  <c r="C23" i="80"/>
  <c r="E20" i="80"/>
  <c r="E23" i="80" s="1"/>
  <c r="AH10" i="7"/>
  <c r="AI9" i="7"/>
  <c r="D21" i="80"/>
  <c r="E21" i="80"/>
  <c r="B21" i="80"/>
  <c r="B23" i="80" s="1"/>
  <c r="B40" i="63"/>
  <c r="B51" i="80" l="1"/>
  <c r="B32" i="80"/>
  <c r="C40" i="63"/>
  <c r="C53" i="63" s="1"/>
  <c r="C55" i="63" s="1"/>
  <c r="B53" i="63"/>
  <c r="B55" i="63" s="1"/>
  <c r="M15" i="63"/>
  <c r="C70" i="80"/>
  <c r="C86" i="80" s="1"/>
  <c r="B89" i="80" s="1"/>
  <c r="E66" i="80"/>
  <c r="D23" i="80"/>
  <c r="D51" i="80"/>
  <c r="AI10" i="7"/>
  <c r="AH11" i="7"/>
  <c r="E12" i="80"/>
  <c r="C17" i="80"/>
  <c r="C32" i="80" l="1"/>
  <c r="B49" i="80"/>
  <c r="E70" i="80"/>
  <c r="E86" i="80" s="1"/>
  <c r="E17" i="80"/>
  <c r="AI11" i="7"/>
  <c r="AH12" i="7"/>
  <c r="AH13" i="7" l="1"/>
  <c r="AI12" i="7"/>
  <c r="E32" i="80"/>
  <c r="C49" i="80"/>
  <c r="C51" i="80"/>
  <c r="B90" i="80" s="1"/>
  <c r="E49" i="80" l="1"/>
  <c r="E51" i="80"/>
  <c r="AH14" i="7"/>
  <c r="AI13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<sst xmlns="http://schemas.openxmlformats.org/spreadsheetml/2006/main" count="926" uniqueCount="323">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</sst>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8" workbookViewId="0">
      <selection activeCell="B89" sqref="B8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2.23</v>
      </c>
      <c r="K3" s="410">
        <f ca="1">NOW()</f>
        <v>41885.68899386574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2.33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239121.41</v>
      </c>
      <c r="C12" s="376">
        <f>+B12/$J$4</f>
        <v>104419.82969432314</v>
      </c>
      <c r="D12" s="14">
        <f>+Calpine!D47</f>
        <v>199432</v>
      </c>
      <c r="E12" s="70">
        <f>+C12-D12</f>
        <v>-95012.17030567686</v>
      </c>
      <c r="F12" s="371">
        <f>+Calpine!A41</f>
        <v>37261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68235.06</v>
      </c>
      <c r="C13" s="375">
        <f>+B13/$J$4</f>
        <v>29796.96943231441</v>
      </c>
      <c r="D13" s="14">
        <f>+'Citizens-Griffith'!D48</f>
        <v>36366</v>
      </c>
      <c r="E13" s="70">
        <f>+C13-D13</f>
        <v>-6569.0305676855896</v>
      </c>
      <c r="F13" s="371">
        <f>+'Citizens-Griffith'!A41</f>
        <v>37261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-355805</v>
      </c>
      <c r="C15" s="375">
        <f>+B15/$J$4</f>
        <v>-155373.36244541485</v>
      </c>
      <c r="D15" s="14">
        <f>+'NS Steel'!D50</f>
        <v>-44621</v>
      </c>
      <c r="E15" s="70">
        <f>+C15-D15</f>
        <v>-110752.36244541485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-610290.45000000007</v>
      </c>
      <c r="C17" s="401">
        <f>SUBTOTAL(9,C12:C16)</f>
        <v>-266502.37991266383</v>
      </c>
      <c r="D17" s="402">
        <f>SUBTOTAL(9,D12:D16)</f>
        <v>156658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72787.199999999997</v>
      </c>
      <c r="C21" s="375">
        <f>+williams!J40</f>
        <v>32640</v>
      </c>
      <c r="D21" s="14">
        <f>+C21</f>
        <v>32640</v>
      </c>
      <c r="E21" s="70">
        <f>+C21-D21</f>
        <v>0</v>
      </c>
      <c r="F21" s="372">
        <f>+williams!A40</f>
        <v>37261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53431.11</v>
      </c>
      <c r="C22" s="379">
        <f>+B22/$J$3</f>
        <v>23960.139013452914</v>
      </c>
      <c r="D22" s="355">
        <f>+burlington!D49</f>
        <v>23169</v>
      </c>
      <c r="E22" s="72">
        <f>+C22-D22</f>
        <v>791.13901345291379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162367.53999999998</v>
      </c>
      <c r="C23" s="396">
        <f>SUBTOTAL(9,C20:C22)</f>
        <v>72385.828969784779</v>
      </c>
      <c r="D23" s="402">
        <f>SUBTOTAL(9,D20:D22)</f>
        <v>16214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146.31999999999971</v>
      </c>
      <c r="C26" s="375">
        <f t="shared" ref="C26:C46" si="0">+B26/$J$4</f>
        <v>63.895196506550093</v>
      </c>
      <c r="D26" s="14">
        <f>+NNG!D34</f>
        <v>518</v>
      </c>
      <c r="E26" s="70">
        <f t="shared" ref="E26:E48" si="1">+C26-D26</f>
        <v>-454.10480349344994</v>
      </c>
      <c r="F26" s="371">
        <f>+NNG!A24</f>
        <v>37261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459290.77</v>
      </c>
      <c r="C27" s="375">
        <f t="shared" si="0"/>
        <v>200563.65502183407</v>
      </c>
      <c r="D27" s="14">
        <f>+Conoco!D48</f>
        <v>40813</v>
      </c>
      <c r="E27" s="70">
        <f t="shared" si="1"/>
        <v>159750.65502183407</v>
      </c>
      <c r="F27" s="371">
        <f>+Conoco!A41</f>
        <v>37261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1214345.6599999999</v>
      </c>
      <c r="C30" s="376">
        <f>+B30/$J$5</f>
        <v>521178.39484978537</v>
      </c>
      <c r="D30" s="14">
        <f>+Duke!$G$40+Duke!$H$40+Duke!$I$53+Duke!$I$54</f>
        <v>359988</v>
      </c>
      <c r="E30" s="70">
        <f t="shared" si="1"/>
        <v>161190.39484978537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1537446.14</v>
      </c>
      <c r="C31" s="376">
        <f>+B31/$J$5</f>
        <v>659848.1287553648</v>
      </c>
      <c r="D31" s="14">
        <f>+Duke!$F$40</f>
        <v>381295</v>
      </c>
      <c r="E31" s="70">
        <f t="shared" si="1"/>
        <v>278553.1287553648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-2743477.3600000003</v>
      </c>
      <c r="C32" s="376">
        <f>+B32/$J$5</f>
        <v>-1177458.0944206009</v>
      </c>
      <c r="D32" s="14">
        <f>+DEFS!$I$36+DEFS!$J$36+DEFS!$K$45+DEFS!$K$46+DEFS!$K$47+DEFS!$K$48</f>
        <v>-410728</v>
      </c>
      <c r="E32" s="70">
        <f t="shared" si="1"/>
        <v>-766730.09442060092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-68258</v>
      </c>
      <c r="C34" s="375">
        <f t="shared" si="0"/>
        <v>-29806.986899563319</v>
      </c>
      <c r="D34" s="14">
        <f>+PGETX!E48</f>
        <v>-5084</v>
      </c>
      <c r="E34" s="70">
        <f t="shared" si="1"/>
        <v>-24722.986899563319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33154.770000000004</v>
      </c>
      <c r="C38" s="375">
        <f>+B38/$J$5</f>
        <v>14229.515021459229</v>
      </c>
      <c r="D38" s="14">
        <f>+SidR!D48</f>
        <v>16067</v>
      </c>
      <c r="E38" s="70">
        <f t="shared" si="1"/>
        <v>-1837.4849785407714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-32129.68</v>
      </c>
      <c r="C41" s="375">
        <f t="shared" si="0"/>
        <v>-14030.427947598253</v>
      </c>
      <c r="D41" s="14">
        <f>+WTGmktg!D50</f>
        <v>-1945</v>
      </c>
      <c r="E41" s="70">
        <f t="shared" si="1"/>
        <v>-12085.427947598253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34241.269999999997</v>
      </c>
      <c r="C42" s="375">
        <f>+B42/J4</f>
        <v>14952.51965065502</v>
      </c>
      <c r="D42" s="14">
        <f>+'WTG inc'!D50</f>
        <v>12802</v>
      </c>
      <c r="E42" s="70">
        <f>+C42-D42</f>
        <v>2150.5196506550201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-128572.76</v>
      </c>
      <c r="C44" s="375">
        <f>+B44/$J$4</f>
        <v>-56145.31004366812</v>
      </c>
      <c r="D44" s="14">
        <f>+crosstex!D48</f>
        <v>-38813</v>
      </c>
      <c r="E44" s="70">
        <f t="shared" si="1"/>
        <v>-17332.31004366812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114904.95</v>
      </c>
      <c r="C45" s="375">
        <f>+B45/$J$4</f>
        <v>50176.834061135371</v>
      </c>
      <c r="D45" s="14">
        <f>+Amarillo!D48</f>
        <v>48361</v>
      </c>
      <c r="E45" s="70">
        <f t="shared" si="1"/>
        <v>1815.8340611353706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92285.25</v>
      </c>
      <c r="C47" s="376">
        <f>+B47/$J$5</f>
        <v>39607.403433476393</v>
      </c>
      <c r="D47" s="14">
        <f>+EPFS!D47</f>
        <v>57707</v>
      </c>
      <c r="E47" s="70">
        <f t="shared" si="1"/>
        <v>-18099.596566523607</v>
      </c>
      <c r="F47" s="371">
        <f>+EPFS!A41</f>
        <v>37261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2434586.5199999996</v>
      </c>
      <c r="C49" s="401">
        <f>SUBTOTAL(9,C26:C48)</f>
        <v>1061254.0568622672</v>
      </c>
      <c r="D49" s="402">
        <f>SUBTOTAL(9,D26:D48)</f>
        <v>520833</v>
      </c>
      <c r="E49" s="403">
        <f>SUBTOTAL(9,E26:E48)</f>
        <v>540421.0568622672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1986663.6099999994</v>
      </c>
      <c r="C51" s="401">
        <f>SUBTOTAL(9,C12:C48)</f>
        <v>867137.50591938803</v>
      </c>
      <c r="D51" s="402">
        <f>SUBTOTAL(9,D12:D48)</f>
        <v>693705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2.23</v>
      </c>
      <c r="K57" s="410">
        <f ca="1">NOW()</f>
        <v>41885.68899386574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122043</v>
      </c>
      <c r="C67" s="351">
        <f>+B67*$J$4</f>
        <v>279478.47000000003</v>
      </c>
      <c r="D67" s="47">
        <f>+SoCal!D47</f>
        <v>372273.67</v>
      </c>
      <c r="E67" s="47">
        <f>+C67-D67</f>
        <v>-92795.199999999953</v>
      </c>
      <c r="F67" s="372">
        <f>+SoCal!A40</f>
        <v>37261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37261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43156</v>
      </c>
      <c r="C69" s="354">
        <f>+B69*$J$4</f>
        <v>98827.24</v>
      </c>
      <c r="D69" s="354">
        <f>+'PG&amp;E'!D47</f>
        <v>-23992.35</v>
      </c>
      <c r="E69" s="354">
        <f>+C69-D69</f>
        <v>122819.59</v>
      </c>
      <c r="F69" s="372">
        <f>+'PG&amp;E'!A40</f>
        <v>37261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420104</v>
      </c>
      <c r="C70" s="395">
        <f>SUBTOTAL(9,C66:C69)</f>
        <v>962038.16</v>
      </c>
      <c r="D70" s="395">
        <f>SUBTOTAL(9,D66:D69)</f>
        <v>-1026131.0399999999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24171</v>
      </c>
      <c r="C73" s="352">
        <f>+B73*J57</f>
        <v>53901.33</v>
      </c>
      <c r="D73" s="200">
        <f>+'Red C'!D52</f>
        <v>421070.75</v>
      </c>
      <c r="E73" s="47">
        <f>+C73-D73</f>
        <v>-367169.42</v>
      </c>
      <c r="F73" s="371">
        <f>+'Red C'!A45</f>
        <v>37261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-36347</v>
      </c>
      <c r="C75" s="351">
        <f>+B75*$J$3</f>
        <v>-81053.81</v>
      </c>
      <c r="D75" s="47">
        <f>+'El Paso'!F46</f>
        <v>-657486</v>
      </c>
      <c r="E75" s="47">
        <f>+C75-D75</f>
        <v>576432.18999999994</v>
      </c>
      <c r="F75" s="372">
        <f>+'El Paso'!A39</f>
        <v>37261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-26973</v>
      </c>
      <c r="C76" s="354">
        <f>+B76*$J$3</f>
        <v>-60149.79</v>
      </c>
      <c r="D76" s="354">
        <f>+NW!E49</f>
        <v>-517830.32</v>
      </c>
      <c r="E76" s="354">
        <f>+C76-D76</f>
        <v>457680.53</v>
      </c>
      <c r="F76" s="371">
        <f>+NW!B41</f>
        <v>37261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-74495</v>
      </c>
      <c r="C77" s="395">
        <f>SUBTOTAL(9,C73:C76)</f>
        <v>-166123.85</v>
      </c>
      <c r="D77" s="395">
        <f>SUBTOTAL(9,D73:D76)</f>
        <v>-493116.85000000003</v>
      </c>
      <c r="E77" s="395">
        <f>SUBTOTAL(9,E73:E76)</f>
        <v>326993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121854</v>
      </c>
      <c r="C80" s="489">
        <f>+B80*$J$5</f>
        <v>283919.82</v>
      </c>
      <c r="D80" s="47">
        <f>+NGPL!D45</f>
        <v>309529.76</v>
      </c>
      <c r="E80" s="47">
        <f>+C80-D80</f>
        <v>-25609.940000000002</v>
      </c>
      <c r="F80" s="372">
        <f>+NGPL!A38</f>
        <v>37261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-11634</v>
      </c>
      <c r="C81" s="490">
        <f>+B81*$J$4</f>
        <v>-26641.86</v>
      </c>
      <c r="D81" s="47">
        <f>+PEPL!D47</f>
        <v>155492.51</v>
      </c>
      <c r="E81" s="47">
        <f>+C81-D81</f>
        <v>-182134.37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143226.33000000002</v>
      </c>
      <c r="C84" s="395">
        <f>SUBTOTAL(9,C80:C83)</f>
        <v>333529.58890000003</v>
      </c>
      <c r="D84" s="395">
        <f>SUBTOTAL(9,D80:D83)</f>
        <v>871244.51</v>
      </c>
      <c r="E84" s="395">
        <f>SUBTOTAL(9,E80:E83)</f>
        <v>-537714.92109999992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488835.33</v>
      </c>
      <c r="C86" s="395">
        <f>SUBTOTAL(9,C66:C83)</f>
        <v>1129443.8989000001</v>
      </c>
      <c r="D86" s="395">
        <f>SUBTOTAL(9,D66:D83)</f>
        <v>-648003.37999999989</v>
      </c>
      <c r="E86" s="395">
        <f>SUBTOTAL(9,E66:E83)</f>
        <v>1777447.2789000003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3116107.5088999998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1355972.8359193881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37261</v>
      </c>
      <c r="B46" s="32"/>
      <c r="C46" s="32"/>
      <c r="D46" s="355">
        <f>+D36</f>
        <v>1064</v>
      </c>
    </row>
    <row r="47" spans="1:65" x14ac:dyDescent="0.2">
      <c r="A47" s="32"/>
      <c r="B47" s="32"/>
      <c r="C47" s="32"/>
      <c r="D47" s="14">
        <f>+D46+D45</f>
        <v>-17380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">
      <c r="A18" s="87"/>
      <c r="B18" s="88"/>
      <c r="C18" s="88"/>
      <c r="D18" s="88">
        <f>SUM(D5:D17)</f>
        <v>-40284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">
      <c r="A20" s="87"/>
      <c r="B20" s="88"/>
      <c r="C20" s="88"/>
      <c r="D20" s="96">
        <f>+D19*D18</f>
        <v>-93861.72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37261</v>
      </c>
      <c r="B30" s="32"/>
      <c r="C30" s="32"/>
      <c r="D30" s="355">
        <f>+D18</f>
        <v>-40284</v>
      </c>
    </row>
    <row r="31" spans="1:6" x14ac:dyDescent="0.2">
      <c r="A31" s="32"/>
      <c r="B31" s="32"/>
      <c r="C31" s="32"/>
      <c r="D31" s="14">
        <f>+D30+D29</f>
        <v>3966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176109</v>
      </c>
      <c r="C35" s="11">
        <f>SUM(C4:C34)</f>
        <v>176894</v>
      </c>
      <c r="D35" s="11">
        <f>SUM(D4:D34)</f>
        <v>159223</v>
      </c>
      <c r="E35" s="11">
        <f>SUM(E4:E34)</f>
        <v>157940</v>
      </c>
      <c r="F35" s="11">
        <f>+E35-D35+C35-B35</f>
        <v>-498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-1140.42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37261</v>
      </c>
      <c r="C41" s="106"/>
      <c r="D41" s="106"/>
      <c r="E41" s="106"/>
      <c r="F41" s="106">
        <f>+F38+F40</f>
        <v>459290.77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37261</v>
      </c>
      <c r="D47" s="355">
        <f>+F35</f>
        <v>-498</v>
      </c>
      <c r="E47" s="11"/>
      <c r="F47" s="11"/>
      <c r="G47" s="25"/>
    </row>
    <row r="48" spans="1:7" x14ac:dyDescent="0.2">
      <c r="D48" s="14">
        <f>+D47+D46</f>
        <v>40813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939312</v>
      </c>
      <c r="C36" s="11">
        <f>SUM(C5:C35)</f>
        <v>937539</v>
      </c>
      <c r="D36" s="11">
        <f>SUM(D5:D35)</f>
        <v>0</v>
      </c>
      <c r="E36" s="11">
        <f>SUM(E5:E35)</f>
        <v>-2811</v>
      </c>
      <c r="F36" s="11">
        <f>SUM(F5:F35)</f>
        <v>-4584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37261</v>
      </c>
      <c r="F41" s="336">
        <f>+F39+F36</f>
        <v>-26973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37261</v>
      </c>
      <c r="C48" s="32"/>
      <c r="D48" s="32"/>
      <c r="E48" s="382">
        <f>+F36*'by type_area'!J3</f>
        <v>-10222.32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-517830.32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">
      <c r="A40" s="26"/>
      <c r="D40" s="75">
        <f>+summary!H4</f>
        <v>2.29</v>
      </c>
      <c r="E40" s="26"/>
      <c r="H40" s="75"/>
    </row>
    <row r="41" spans="1:8" x14ac:dyDescent="0.2">
      <c r="D41" s="195">
        <f>+D40*D39</f>
        <v>23328.23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37261</v>
      </c>
      <c r="D43" s="196">
        <f>+D42+D41</f>
        <v>36149.229999999996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37261</v>
      </c>
      <c r="B49" s="32"/>
      <c r="C49" s="32"/>
      <c r="D49" s="355">
        <f>+D39</f>
        <v>10187</v>
      </c>
    </row>
    <row r="50" spans="1:4" x14ac:dyDescent="0.2">
      <c r="A50" s="32"/>
      <c r="B50" s="32"/>
      <c r="C50" s="32"/>
      <c r="D50" s="14">
        <f>+D49+D48</f>
        <v>-39595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37256</v>
      </c>
      <c r="I7" s="3" t="s">
        <v>260</v>
      </c>
      <c r="J7" s="15"/>
    </row>
    <row r="8" spans="1:14" x14ac:dyDescent="0.2">
      <c r="A8" s="248">
        <v>50895</v>
      </c>
      <c r="B8" s="343"/>
      <c r="J8" s="15"/>
    </row>
    <row r="9" spans="1:14" x14ac:dyDescent="0.2">
      <c r="A9" s="248">
        <v>60874</v>
      </c>
      <c r="B9" s="343"/>
      <c r="J9" s="15"/>
    </row>
    <row r="10" spans="1:14" x14ac:dyDescent="0.2">
      <c r="A10" s="248">
        <v>78169</v>
      </c>
      <c r="B10" s="343"/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2.33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8"/>
      <c r="I44" s="14"/>
    </row>
    <row r="45" spans="1:9" x14ac:dyDescent="0.2">
      <c r="A45" s="32">
        <v>500392</v>
      </c>
      <c r="B45" s="250"/>
      <c r="G45" s="32"/>
      <c r="H45" s="388"/>
      <c r="I45" s="14"/>
    </row>
    <row r="46" spans="1:9" x14ac:dyDescent="0.2">
      <c r="B46" s="14">
        <f>SUM(B43:B45)</f>
        <v>0</v>
      </c>
      <c r="G46" s="32"/>
      <c r="H46" s="388"/>
      <c r="I46" s="14"/>
    </row>
    <row r="47" spans="1:9" x14ac:dyDescent="0.2">
      <c r="B47" s="199">
        <f>+summary!H5</f>
        <v>2.33</v>
      </c>
      <c r="C47" s="199">
        <f>+B47*B46</f>
        <v>0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">
      <c r="C37" s="316">
        <f>+summary!H5</f>
        <v>2.33</v>
      </c>
      <c r="E37" s="104">
        <f>+C37</f>
        <v>2.33</v>
      </c>
      <c r="F37" s="138">
        <f>+F36*E37</f>
        <v>-1062.48</v>
      </c>
    </row>
    <row r="38" spans="1:13" x14ac:dyDescent="0.2">
      <c r="C38" s="138">
        <f>+C37*C36</f>
        <v>0</v>
      </c>
      <c r="E38" s="136">
        <f>+E37*E36</f>
        <v>-1062.48</v>
      </c>
      <c r="F38" s="138">
        <f>+E38+C38</f>
        <v>-1062.48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-572910.48</v>
      </c>
      <c r="F40" s="317">
        <f>+E40+C40</f>
        <v>-1606335.48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-2743477.3600000003</v>
      </c>
      <c r="G49" s="246"/>
      <c r="K49" s="14">
        <f>SUM(K36:K48)</f>
        <v>-410728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8314.4399999994785</v>
      </c>
      <c r="M53" s="16">
        <f>+M51+K49</f>
        <v>330555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-129052</v>
      </c>
      <c r="C74" s="247">
        <f>+E40</f>
        <v>-572910.48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330555</v>
      </c>
      <c r="C81" s="259">
        <f>SUM(C68:C80)</f>
        <v>8314.4399999997113</v>
      </c>
    </row>
    <row r="82" spans="2:3" x14ac:dyDescent="0.2">
      <c r="C82">
        <f>+C81/B81</f>
        <v>2.515297000499073E-2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8564.6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">
      <c r="A49" s="32"/>
      <c r="B49" s="32"/>
      <c r="C49" s="32"/>
      <c r="D49" s="14">
        <f>+D48+D47</f>
        <v>168268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32" sqref="B32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2.23</v>
      </c>
      <c r="I3" s="381">
        <f ca="1">NOW()</f>
        <v>41885.68899386574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">
      <c r="B5" s="348"/>
      <c r="G5" s="289" t="s">
        <v>117</v>
      </c>
      <c r="H5" s="349">
        <f>+'[3]1001'!$E$39</f>
        <v>2.33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1537446.14</v>
      </c>
      <c r="C8" s="206">
        <f>+B8/$H$5</f>
        <v>659848.1287553648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1214345.6599999999</v>
      </c>
      <c r="C9" s="206">
        <f>+B9/$H$5</f>
        <v>521178.39484978537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459290.77</v>
      </c>
      <c r="C11" s="275">
        <f>+B11/$H$4</f>
        <v>200563.65502183407</v>
      </c>
      <c r="D11" s="371">
        <f>+Conoco!A41</f>
        <v>37261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283919.82</v>
      </c>
      <c r="C15" s="275">
        <f>+NGPL!F38</f>
        <v>121854</v>
      </c>
      <c r="D15" s="372">
        <f>+NGPL!A38</f>
        <v>37261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8314.4399999994785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279478.47000000003</v>
      </c>
      <c r="C16" s="206">
        <f>+SoCal!F40</f>
        <v>122043</v>
      </c>
      <c r="D16" s="371">
        <f>+SoCal!A40</f>
        <v>37261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239121.41</v>
      </c>
      <c r="C17" s="206">
        <f>+B17/$H$4</f>
        <v>104419.82969432314</v>
      </c>
      <c r="D17" s="371">
        <f>+Calpine!A41</f>
        <v>37261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114904.95</v>
      </c>
      <c r="C21" s="275">
        <f>+B21/$H$4</f>
        <v>50176.834061135371</v>
      </c>
      <c r="D21" s="372">
        <f>+Amarillo!A41</f>
        <v>37259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114</v>
      </c>
      <c r="B22" s="489">
        <f>+C22*$H$4</f>
        <v>98827.24</v>
      </c>
      <c r="C22" s="206">
        <f>+'PG&amp;E'!D40</f>
        <v>43156</v>
      </c>
      <c r="D22" s="372">
        <f>+'PG&amp;E'!A40</f>
        <v>37261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89">
        <f>+EPFS!D41</f>
        <v>92285.25</v>
      </c>
      <c r="C23" s="206">
        <f>+B23/$H$5</f>
        <v>39607.403433476393</v>
      </c>
      <c r="D23" s="371">
        <f>+EPFS!A41</f>
        <v>37261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28</v>
      </c>
      <c r="B24" s="351">
        <f>+C24*$H$3</f>
        <v>72787.199999999997</v>
      </c>
      <c r="C24" s="275">
        <f>+williams!J40</f>
        <v>32640</v>
      </c>
      <c r="D24" s="371">
        <f>+williams!A40</f>
        <v>37261</v>
      </c>
      <c r="E24" s="204" t="s">
        <v>85</v>
      </c>
      <c r="F24" s="204" t="s">
        <v>321</v>
      </c>
      <c r="G24" s="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7" t="s">
        <v>139</v>
      </c>
      <c r="B26" s="489">
        <f>+'Citizens-Griffith'!D41</f>
        <v>68235.06</v>
      </c>
      <c r="C26" s="275">
        <f>+B26/$H$4</f>
        <v>29796.96943231441</v>
      </c>
      <c r="D26" s="371">
        <f>+'Citizens-Griffith'!A41</f>
        <v>37261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537" t="s">
        <v>33</v>
      </c>
      <c r="B27" s="489">
        <f>+'El Paso'!C39*summary!H4+'El Paso'!E39*summary!H3</f>
        <v>65886.330000000016</v>
      </c>
      <c r="C27" s="275">
        <f>+'El Paso'!H39</f>
        <v>27819</v>
      </c>
      <c r="D27" s="371">
        <f>+'El Paso'!A39</f>
        <v>37261</v>
      </c>
      <c r="E27" s="204" t="s">
        <v>84</v>
      </c>
      <c r="F27" s="204" t="s">
        <v>100</v>
      </c>
      <c r="G27" s="204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23</v>
      </c>
      <c r="B28" s="351">
        <f>+C28*$H$3</f>
        <v>53901.33</v>
      </c>
      <c r="C28" s="353">
        <f>+'Red C'!$F$45</f>
        <v>24171</v>
      </c>
      <c r="D28" s="371">
        <f>+'Red C'!A45</f>
        <v>37261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537" t="s">
        <v>95</v>
      </c>
      <c r="B29" s="351">
        <f>+burlington!D42</f>
        <v>53431.11</v>
      </c>
      <c r="C29" s="275">
        <f>+B29/$H$3</f>
        <v>23960.139013452914</v>
      </c>
      <c r="D29" s="371">
        <f>+burlington!A42</f>
        <v>37259</v>
      </c>
      <c r="E29" s="204" t="s">
        <v>85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31</v>
      </c>
      <c r="B30" s="351">
        <f>+C30*H5</f>
        <v>38860.508900000008</v>
      </c>
      <c r="C30" s="275">
        <f>+Lonestar!F43</f>
        <v>16678.330000000002</v>
      </c>
      <c r="D30" s="371">
        <f>+Lonestar!A43</f>
        <v>37261</v>
      </c>
      <c r="E30" s="32" t="s">
        <v>84</v>
      </c>
      <c r="F30" s="32" t="s">
        <v>102</v>
      </c>
      <c r="G30" s="32" t="s">
        <v>314</v>
      </c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110</v>
      </c>
      <c r="B31" s="351">
        <f>+C31*$H$4</f>
        <v>37391.120000000003</v>
      </c>
      <c r="C31" s="275">
        <f>+CIG!D42</f>
        <v>16328</v>
      </c>
      <c r="D31" s="372">
        <f>+CIG!A42</f>
        <v>37261</v>
      </c>
      <c r="E31" s="204" t="s">
        <v>84</v>
      </c>
      <c r="F31" s="32" t="s">
        <v>113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537" t="s">
        <v>109</v>
      </c>
      <c r="B33" s="489">
        <f>+Continental!F43</f>
        <v>34262</v>
      </c>
      <c r="C33" s="206">
        <f>+B33/$H$4</f>
        <v>14961.572052401747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248" t="s">
        <v>307</v>
      </c>
      <c r="B34" s="489">
        <f>+'WTG inc'!N43</f>
        <v>34241.269999999997</v>
      </c>
      <c r="C34" s="275">
        <f>+B34/$H$4</f>
        <v>14952.51965065502</v>
      </c>
      <c r="D34" s="372">
        <f>+'WTG inc'!A43</f>
        <v>37259</v>
      </c>
      <c r="E34" s="32" t="s">
        <v>85</v>
      </c>
      <c r="F34" s="32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248" t="s">
        <v>131</v>
      </c>
      <c r="B35" s="351">
        <f>+SidR!D41</f>
        <v>33154.770000000004</v>
      </c>
      <c r="C35" s="275">
        <f>+B35/$H$5</f>
        <v>14229.515021459229</v>
      </c>
      <c r="D35" s="372">
        <f>+SidR!A41</f>
        <v>37259</v>
      </c>
      <c r="E35" s="32" t="s">
        <v>85</v>
      </c>
      <c r="F35" s="32" t="s">
        <v>102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146.31999999999971</v>
      </c>
      <c r="C36" s="71">
        <f>+B36/$H$4</f>
        <v>63.895196506550093</v>
      </c>
      <c r="D36" s="371">
        <f>+NNG!A24</f>
        <v>37261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7423762.8589000003</v>
      </c>
      <c r="C37" s="69">
        <f>SUM(C8:C36)</f>
        <v>3216408.7472524857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-2743477.3600000003</v>
      </c>
      <c r="C40" s="353">
        <f>+B40/$H$5</f>
        <v>-1177458.0944206009</v>
      </c>
      <c r="D40" s="371">
        <f>+DEFS!A40</f>
        <v>36894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-355805</v>
      </c>
      <c r="C42" s="206">
        <f>+B42/$H$4</f>
        <v>-155373.36244541485</v>
      </c>
      <c r="D42" s="372">
        <f>+'NS Steel'!A41</f>
        <v>37256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-128572.76</v>
      </c>
      <c r="C44" s="206">
        <f>+B44/$H$4</f>
        <v>-56145.31004366812</v>
      </c>
      <c r="D44" s="372">
        <f>+crosstex!A41</f>
        <v>37259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147</v>
      </c>
      <c r="B46" s="351">
        <f>+PGETX!$H$39</f>
        <v>-68258</v>
      </c>
      <c r="C46" s="275">
        <f>+B46/$H$4</f>
        <v>-29806.986899563319</v>
      </c>
      <c r="D46" s="372">
        <f>+PGETX!E39</f>
        <v>37256</v>
      </c>
      <c r="E46" s="32" t="s">
        <v>85</v>
      </c>
      <c r="F46" s="32" t="s">
        <v>102</v>
      </c>
      <c r="G46" s="32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</v>
      </c>
      <c r="B47" s="489">
        <f>+C47*$H$3</f>
        <v>-60149.79</v>
      </c>
      <c r="C47" s="206">
        <f>+NW!$F$41</f>
        <v>-26973</v>
      </c>
      <c r="D47" s="371">
        <f>+NW!B41</f>
        <v>37261</v>
      </c>
      <c r="E47" s="32" t="s">
        <v>84</v>
      </c>
      <c r="F47" s="32" t="s">
        <v>115</v>
      </c>
      <c r="G47" s="357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537" t="s">
        <v>205</v>
      </c>
      <c r="B48" s="490">
        <f>+WTGmktg!J43</f>
        <v>-32129.68</v>
      </c>
      <c r="C48" s="206">
        <f>+B48/$H$4</f>
        <v>-14030.427947598253</v>
      </c>
      <c r="D48" s="371">
        <f>+WTGmktg!A43</f>
        <v>37259</v>
      </c>
      <c r="E48" s="32" t="s">
        <v>85</v>
      </c>
      <c r="F48" s="204" t="s">
        <v>115</v>
      </c>
      <c r="G48" s="204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48" t="s">
        <v>6</v>
      </c>
      <c r="B49" s="489">
        <f>+Oasis!$D$40</f>
        <v>-31354.880000000001</v>
      </c>
      <c r="C49" s="206">
        <f>+B49/$H$5</f>
        <v>-13457.030042918455</v>
      </c>
      <c r="D49" s="372">
        <f>+Oasis!A40</f>
        <v>37261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142</v>
      </c>
      <c r="B50" s="352">
        <f>+C50*$H$4</f>
        <v>-26641.86</v>
      </c>
      <c r="C50" s="353">
        <f>+PEPL!D41</f>
        <v>-11634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-4307655.3500000006</v>
      </c>
      <c r="C53" s="206">
        <f>SUM(C40:C52)</f>
        <v>-1860435.9113330962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3116107.5088999998</v>
      </c>
      <c r="C55" s="360">
        <f>+C53+C37</f>
        <v>1355972.8359193895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-155277-33323</f>
        <v>-188600</v>
      </c>
      <c r="C7" s="80">
        <f>-59034-11819</f>
        <v>-70853</v>
      </c>
      <c r="D7" s="80">
        <f t="shared" si="0"/>
        <v>117747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-25492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-58376.68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37261</v>
      </c>
      <c r="B24" s="69"/>
      <c r="C24" s="69"/>
      <c r="D24" s="335">
        <f>+D22+D20</f>
        <v>146.31999999999971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37261</v>
      </c>
      <c r="D33" s="355">
        <f>+D18</f>
        <v>-25492</v>
      </c>
    </row>
    <row r="34" spans="1:4" x14ac:dyDescent="0.2">
      <c r="D34" s="14">
        <f>+D33+D32</f>
        <v>518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17139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">
      <c r="A19" s="87"/>
      <c r="B19" s="88"/>
      <c r="C19" s="88"/>
      <c r="D19" s="96">
        <f>+D18*D17</f>
        <v>39248.31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37261</v>
      </c>
      <c r="B29" s="32"/>
      <c r="C29" s="32"/>
      <c r="D29" s="355">
        <f>+D17</f>
        <v>17139</v>
      </c>
    </row>
    <row r="30" spans="1:7" x14ac:dyDescent="0.2">
      <c r="A30" s="32"/>
      <c r="B30" s="32"/>
      <c r="C30" s="32"/>
      <c r="D30" s="14">
        <f>+D29+D28</f>
        <v>300817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1" sqref="C3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253689</v>
      </c>
      <c r="C34" s="287">
        <f>SUM(C3:C33)</f>
        <v>258052</v>
      </c>
      <c r="D34" s="14">
        <f>SUM(D3:D33)</f>
        <v>-21381</v>
      </c>
      <c r="E34" s="14">
        <f>SUM(E3:E33)</f>
        <v>-20000</v>
      </c>
      <c r="F34" s="14">
        <f>SUM(F3:F33)</f>
        <v>5744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37261</v>
      </c>
      <c r="B38" s="14"/>
      <c r="C38" s="14"/>
      <c r="D38" s="14"/>
      <c r="E38" s="14"/>
      <c r="F38" s="150">
        <f>+F37+F34</f>
        <v>121854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37261</v>
      </c>
      <c r="B44" s="32"/>
      <c r="C44" s="32"/>
      <c r="D44" s="382">
        <f>+F34*'by type_area'!J4</f>
        <v>13153.76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309529.76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37261</v>
      </c>
      <c r="D40" s="51">
        <f>+D38+D35</f>
        <v>190739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37261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37261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1" sqref="C1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-436732</v>
      </c>
      <c r="I19" s="119">
        <f>+C37</f>
        <v>-411703</v>
      </c>
      <c r="J19" s="119">
        <f>+I19-H19</f>
        <v>25029</v>
      </c>
      <c r="K19" s="420">
        <f>+D38</f>
        <v>2.29</v>
      </c>
      <c r="L19" s="425">
        <f>+K19*J19</f>
        <v>57316.41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155521</v>
      </c>
      <c r="K24" s="416"/>
      <c r="L24" s="110">
        <f>+L19+L17</f>
        <v>139001.50999999983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60699.349344978094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-436732</v>
      </c>
      <c r="C37" s="11">
        <f>SUM(C6:C36)</f>
        <v>-411703</v>
      </c>
      <c r="D37" s="25">
        <f>SUM(D6:D36)</f>
        <v>25029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57316.41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37261</v>
      </c>
      <c r="C41" s="48"/>
      <c r="D41" s="138">
        <f>+D40+D39</f>
        <v>239121.41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37261</v>
      </c>
      <c r="B46" s="32"/>
      <c r="C46" s="32"/>
      <c r="D46" s="355">
        <f>+D37</f>
        <v>25029</v>
      </c>
    </row>
    <row r="47" spans="1:4" x14ac:dyDescent="0.2">
      <c r="A47" s="32"/>
      <c r="B47" s="32"/>
      <c r="C47" s="32"/>
      <c r="D47" s="14">
        <f>+D46+D45</f>
        <v>199432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148939</v>
      </c>
      <c r="C37" s="11">
        <f>SUM(C6:C36)</f>
        <v>152064</v>
      </c>
      <c r="D37" s="25">
        <f>SUM(D6:D36)</f>
        <v>3125</v>
      </c>
    </row>
    <row r="38" spans="1:4" x14ac:dyDescent="0.2">
      <c r="A38" s="26"/>
      <c r="B38" s="31"/>
      <c r="C38" s="14"/>
      <c r="D38" s="329">
        <f>+summary!H5</f>
        <v>2.33</v>
      </c>
    </row>
    <row r="39" spans="1:4" x14ac:dyDescent="0.2">
      <c r="D39" s="138">
        <f>+D38*D37</f>
        <v>7281.25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37261</v>
      </c>
      <c r="C41" s="48"/>
      <c r="D41" s="138">
        <f>+D40+D39</f>
        <v>92285.25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37261</v>
      </c>
      <c r="B46" s="32"/>
      <c r="C46" s="32"/>
      <c r="D46" s="355">
        <f>+D37</f>
        <v>3125</v>
      </c>
    </row>
    <row r="47" spans="1:4" x14ac:dyDescent="0.2">
      <c r="A47" s="32"/>
      <c r="B47" s="32"/>
      <c r="C47" s="32"/>
      <c r="D47" s="14">
        <f>+D46+D45</f>
        <v>57707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G9" sqref="G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1305341</v>
      </c>
      <c r="C35" s="11">
        <f t="shared" ref="C35:I35" si="3">SUM(C4:C34)</f>
        <v>1329072</v>
      </c>
      <c r="D35" s="11">
        <f t="shared" si="3"/>
        <v>182947</v>
      </c>
      <c r="E35" s="11">
        <f t="shared" si="3"/>
        <v>201094</v>
      </c>
      <c r="F35" s="11">
        <f t="shared" si="3"/>
        <v>204818</v>
      </c>
      <c r="G35" s="11">
        <f t="shared" si="3"/>
        <v>232227</v>
      </c>
      <c r="H35" s="11">
        <f t="shared" si="3"/>
        <v>605094</v>
      </c>
      <c r="I35" s="11">
        <f t="shared" si="3"/>
        <v>568447</v>
      </c>
      <c r="J35" s="11">
        <f>SUM(J4:J34)</f>
        <v>32640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37261</v>
      </c>
      <c r="J40" s="51">
        <f>+J38+J35</f>
        <v>32640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37261</v>
      </c>
      <c r="B47" s="32"/>
      <c r="C47" s="32"/>
      <c r="D47" s="382">
        <f>+J35*'by type_area'!J3</f>
        <v>72787.199999999997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72787.199999999997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-12421.23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37259</v>
      </c>
      <c r="C41" s="48"/>
      <c r="D41" s="138">
        <f>+D40+D39</f>
        <v>33154.770000000004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37259</v>
      </c>
      <c r="B47" s="32"/>
      <c r="C47" s="32"/>
      <c r="D47" s="355">
        <f>+D37</f>
        <v>-5331</v>
      </c>
    </row>
    <row r="48" spans="1:4" x14ac:dyDescent="0.2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/>
      <c r="C6" s="11"/>
      <c r="D6" s="25">
        <f>+C6-B6</f>
        <v>0</v>
      </c>
    </row>
    <row r="7" spans="1:13" x14ac:dyDescent="0.2">
      <c r="A7" s="10">
        <v>2</v>
      </c>
      <c r="B7" s="11"/>
      <c r="C7" s="11"/>
      <c r="D7" s="25">
        <f t="shared" ref="D7:D36" si="0">+C7-B7</f>
        <v>0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37256</v>
      </c>
      <c r="C41" s="48"/>
      <c r="D41" s="138">
        <f>+D40+D39</f>
        <v>-355805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37256</v>
      </c>
      <c r="B49" s="32"/>
      <c r="C49" s="32"/>
      <c r="D49" s="355">
        <f>+D37</f>
        <v>0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4" sqref="B3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-214</v>
      </c>
      <c r="C37" s="11">
        <f>SUM(C6:C36)</f>
        <v>0</v>
      </c>
      <c r="D37" s="25">
        <f>SUM(D6:D36)</f>
        <v>214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490.06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37261</v>
      </c>
      <c r="C41" s="48"/>
      <c r="D41" s="138">
        <f>+D40+D39</f>
        <v>68235.06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37261</v>
      </c>
      <c r="B47" s="32"/>
      <c r="C47" s="32"/>
      <c r="D47" s="355">
        <f>+D37</f>
        <v>214</v>
      </c>
    </row>
    <row r="48" spans="1:4" x14ac:dyDescent="0.2">
      <c r="A48" s="32"/>
      <c r="B48" s="32"/>
      <c r="C48" s="32"/>
      <c r="D48" s="14">
        <f>+D47+D46</f>
        <v>36366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">
      <c r="A14" s="87"/>
      <c r="B14" s="88"/>
      <c r="C14" s="88"/>
      <c r="D14" s="96">
        <f>+D13*D12</f>
        <v>-3522.02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C12" sqref="C1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-31500</v>
      </c>
      <c r="C11" s="11">
        <v>-16528</v>
      </c>
      <c r="D11" s="25">
        <f t="shared" si="0"/>
        <v>14972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-31675</v>
      </c>
      <c r="C37" s="11">
        <f>SUM(C6:C36)</f>
        <v>-35056</v>
      </c>
      <c r="D37" s="25">
        <f>SUM(D6:D36)</f>
        <v>-3381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-11634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-7742.49</v>
      </c>
    </row>
    <row r="47" spans="1:4" x14ac:dyDescent="0.2">
      <c r="A47" s="32"/>
      <c r="B47" s="32"/>
      <c r="C47" s="32"/>
      <c r="D47" s="200">
        <f>+D46+D45</f>
        <v>155492.51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4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4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3453.32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37259</v>
      </c>
      <c r="J43" s="322">
        <f>+J41+J39</f>
        <v>-32129.68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3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1747.27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37259</v>
      </c>
      <c r="N43" s="322">
        <f>+N41+N39</f>
        <v>34241.269999999997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-692.01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37261</v>
      </c>
      <c r="C41" s="48"/>
      <c r="D41" s="138">
        <f>+D40+D39</f>
        <v>179339.99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37261</v>
      </c>
      <c r="B47" s="32"/>
      <c r="C47" s="32"/>
      <c r="D47" s="355">
        <f>+D37</f>
        <v>-297</v>
      </c>
    </row>
    <row r="48" spans="1:4" x14ac:dyDescent="0.2">
      <c r="A48" s="32"/>
      <c r="B48" s="32"/>
      <c r="C48" s="32"/>
      <c r="D48" s="14">
        <f>+D47+D46</f>
        <v>78696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4002.94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37261</v>
      </c>
      <c r="C41" s="48"/>
      <c r="D41" s="138">
        <f>+D40+D39</f>
        <v>165292.94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37261</v>
      </c>
      <c r="B47" s="32"/>
      <c r="C47" s="32"/>
      <c r="D47" s="355">
        <f>+D37</f>
        <v>1718</v>
      </c>
    </row>
    <row r="48" spans="1:4" x14ac:dyDescent="0.2">
      <c r="A48" s="32"/>
      <c r="B48" s="32"/>
      <c r="C48" s="32"/>
      <c r="D48" s="14">
        <f>+D47+D46</f>
        <v>35688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4536.49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-128572.76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618.29999999999995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114904.95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-2367.86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36894</v>
      </c>
      <c r="C41" s="48"/>
      <c r="D41" s="138">
        <f>+D40+D39</f>
        <v>-19607.86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">
      <c r="A39" s="26"/>
      <c r="C39" s="14"/>
      <c r="D39" s="106">
        <f>+summary!H3</f>
        <v>2.23</v>
      </c>
    </row>
    <row r="40" spans="1:8" x14ac:dyDescent="0.2">
      <c r="D40" s="138">
        <f>+D39*D38</f>
        <v>6148.11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37259</v>
      </c>
      <c r="D42" s="322">
        <f>+D41+D40</f>
        <v>53431.11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37259</v>
      </c>
      <c r="B48" s="32"/>
      <c r="C48" s="32"/>
      <c r="D48" s="355">
        <f>+D38</f>
        <v>2757</v>
      </c>
    </row>
    <row r="49" spans="1:4" x14ac:dyDescent="0.2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-970031</v>
      </c>
      <c r="C35" s="11">
        <f>SUM(C4:C34)</f>
        <v>-985946</v>
      </c>
      <c r="D35" s="11">
        <f>SUM(D4:D34)</f>
        <v>-15915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37261</v>
      </c>
      <c r="D40" s="51">
        <f>+D38+D35</f>
        <v>43156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37261</v>
      </c>
      <c r="B46" s="32"/>
      <c r="C46" s="32"/>
      <c r="D46" s="382">
        <f>+D35*'by type_area'!J4</f>
        <v>-36445.35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-23992.35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2" sqref="C3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-2509615</v>
      </c>
      <c r="C35" s="11">
        <f>SUM(C4:C34)</f>
        <v>-2491992</v>
      </c>
      <c r="D35" s="11">
        <f>SUM(D4:D34)</f>
        <v>0</v>
      </c>
      <c r="E35" s="11">
        <f>SUM(E4:E34)</f>
        <v>0</v>
      </c>
      <c r="F35" s="11">
        <f>SUM(F4:F34)</f>
        <v>17623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37261</v>
      </c>
      <c r="D40" s="246"/>
      <c r="E40" s="246"/>
      <c r="F40" s="51">
        <f>+F38+F35</f>
        <v>122043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37261</v>
      </c>
      <c r="B46" s="32"/>
      <c r="C46" s="32"/>
      <c r="D46" s="483">
        <f>+F35*'by type_area'!J4</f>
        <v>40356.67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372273.67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3" sqref="E33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-1488524</v>
      </c>
      <c r="E36" s="11">
        <f t="shared" si="15"/>
        <v>-1495082</v>
      </c>
      <c r="F36" s="11">
        <f t="shared" si="15"/>
        <v>0</v>
      </c>
      <c r="G36" s="11">
        <f t="shared" si="15"/>
        <v>0</v>
      </c>
      <c r="H36" s="11">
        <f t="shared" si="15"/>
        <v>-6558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-6558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37261</v>
      </c>
      <c r="B39" s="2" t="s">
        <v>45</v>
      </c>
      <c r="C39" s="131">
        <f>+C38+C37</f>
        <v>64166</v>
      </c>
      <c r="D39" s="252"/>
      <c r="E39" s="131">
        <f>+E38+E37</f>
        <v>-36347</v>
      </c>
      <c r="F39" s="252"/>
      <c r="G39" s="131"/>
      <c r="H39" s="131">
        <f>+H38+H36</f>
        <v>27819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37261</v>
      </c>
      <c r="B45" s="32"/>
      <c r="C45" s="47">
        <f>+C37*summary!H4</f>
        <v>0</v>
      </c>
      <c r="D45" s="205"/>
      <c r="E45" s="384">
        <f>+E37*summary!H3</f>
        <v>-14624.34</v>
      </c>
      <c r="F45" s="47">
        <f>+E45+C45</f>
        <v>-14624.34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37261</v>
      </c>
      <c r="I23" s="11">
        <f>+B39</f>
        <v>737418</v>
      </c>
      <c r="J23" s="11">
        <f>+C39</f>
        <v>729504</v>
      </c>
      <c r="K23" s="11">
        <f>+D39</f>
        <v>63326</v>
      </c>
      <c r="L23" s="11">
        <f>+E39</f>
        <v>65165</v>
      </c>
      <c r="M23" s="42">
        <f>+J23-I23+L23-K23</f>
        <v>-6075</v>
      </c>
      <c r="N23" s="102">
        <f>+summary!H3</f>
        <v>2.23</v>
      </c>
      <c r="O23" s="532">
        <f>+N23*M23</f>
        <v>-13547.25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83725</v>
      </c>
      <c r="N24" s="102"/>
      <c r="O24" s="102">
        <f>SUM(O9:O23)</f>
        <v>554569.09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737418</v>
      </c>
      <c r="C39" s="150">
        <f>SUM(C8:C38)</f>
        <v>729504</v>
      </c>
      <c r="D39" s="150">
        <f>SUM(D8:D38)</f>
        <v>63326</v>
      </c>
      <c r="E39" s="150">
        <f>SUM(E8:E38)</f>
        <v>65165</v>
      </c>
      <c r="F39" s="11">
        <f t="shared" si="5"/>
        <v>-6075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37261</v>
      </c>
      <c r="B45" s="32"/>
      <c r="C45" s="106"/>
      <c r="D45" s="106"/>
      <c r="E45" s="106"/>
      <c r="F45" s="24">
        <f>+F44+F39</f>
        <v>24171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37261</v>
      </c>
      <c r="B51" s="32"/>
      <c r="C51" s="32"/>
      <c r="D51" s="355">
        <f>+F39*summary!H3</f>
        <v>-13547.25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421070.75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2002-01-07T18:29:16Z</cp:lastPrinted>
  <dcterms:created xsi:type="dcterms:W3CDTF">2000-03-28T16:52:23Z</dcterms:created>
  <dcterms:modified xsi:type="dcterms:W3CDTF">2014-09-03T14:32:09Z</dcterms:modified>
</cp:coreProperties>
</file>