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burlington" sheetId="69" r:id="rId44"/>
  </sheets>
  <externalReferences>
    <externalReference r:id="rId45"/>
    <externalReference r:id="rId46"/>
    <externalReference r:id="rId47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type_area'!$A$2:$L$52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summary!$A$2:$J$58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C6" i="8"/>
  <c r="D6" i="8"/>
  <c r="D7" i="8"/>
  <c r="D8" i="8"/>
  <c r="D9" i="8"/>
  <c r="D10" i="8"/>
  <c r="D11" i="8"/>
  <c r="B12" i="8"/>
  <c r="D12" i="8"/>
  <c r="B13" i="8"/>
  <c r="D13" i="8" s="1"/>
  <c r="D14" i="8"/>
  <c r="D15" i="8"/>
  <c r="B16" i="8"/>
  <c r="D16" i="8"/>
  <c r="B17" i="8"/>
  <c r="D17" i="8"/>
  <c r="A29" i="8"/>
  <c r="A30" i="8"/>
  <c r="P6" i="88"/>
  <c r="P37" i="88" s="1"/>
  <c r="D47" i="88" s="1"/>
  <c r="D48" i="88" s="1"/>
  <c r="D45" i="80" s="1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A46" i="88"/>
  <c r="A47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A45" i="12"/>
  <c r="A46" i="12"/>
  <c r="H47" i="12"/>
  <c r="H49" i="12" s="1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40" i="18"/>
  <c r="A47" i="18"/>
  <c r="A48" i="18"/>
  <c r="D7" i="69"/>
  <c r="D8" i="69"/>
  <c r="D9" i="69"/>
  <c r="D10" i="69"/>
  <c r="D38" i="69" s="1"/>
  <c r="D48" i="69" s="1"/>
  <c r="D49" i="69" s="1"/>
  <c r="D22" i="80" s="1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/>
  <c r="A47" i="69"/>
  <c r="A48" i="69"/>
  <c r="K3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F49" i="80"/>
  <c r="K58" i="80"/>
  <c r="F67" i="80"/>
  <c r="F68" i="80"/>
  <c r="F69" i="80"/>
  <c r="F70" i="80"/>
  <c r="F74" i="80"/>
  <c r="F75" i="80"/>
  <c r="F76" i="80"/>
  <c r="F77" i="80"/>
  <c r="F81" i="80"/>
  <c r="F82" i="80"/>
  <c r="F83" i="80"/>
  <c r="F84" i="80"/>
  <c r="A129" i="80"/>
  <c r="D6" i="74"/>
  <c r="D7" i="74"/>
  <c r="D8" i="74"/>
  <c r="J8" i="74"/>
  <c r="L8" i="74"/>
  <c r="D9" i="74"/>
  <c r="J9" i="74"/>
  <c r="L9" i="74"/>
  <c r="M9" i="74" s="1"/>
  <c r="M10" i="74" s="1"/>
  <c r="M11" i="74" s="1"/>
  <c r="M12" i="74" s="1"/>
  <c r="M13" i="74" s="1"/>
  <c r="M14" i="74" s="1"/>
  <c r="D10" i="74"/>
  <c r="J10" i="74"/>
  <c r="L10" i="74" s="1"/>
  <c r="D11" i="74"/>
  <c r="H11" i="74"/>
  <c r="J11" i="74"/>
  <c r="L11" i="74" s="1"/>
  <c r="D12" i="74"/>
  <c r="H12" i="74"/>
  <c r="J12" i="74"/>
  <c r="L12" i="74"/>
  <c r="D13" i="74"/>
  <c r="J13" i="74"/>
  <c r="L13" i="74"/>
  <c r="D14" i="74"/>
  <c r="J14" i="74"/>
  <c r="L14" i="74"/>
  <c r="D15" i="74"/>
  <c r="D16" i="74"/>
  <c r="D17" i="74"/>
  <c r="D18" i="74"/>
  <c r="D19" i="74"/>
  <c r="I19" i="74"/>
  <c r="J19" i="74" s="1"/>
  <c r="K19" i="74"/>
  <c r="L19" i="74" s="1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D38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D12" i="78"/>
  <c r="D23" i="78" s="1"/>
  <c r="D24" i="78" s="1"/>
  <c r="D16" i="80" s="1"/>
  <c r="A22" i="78"/>
  <c r="A23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A46" i="79"/>
  <c r="A47" i="79"/>
  <c r="F4" i="13"/>
  <c r="K4" i="13"/>
  <c r="M4" i="13"/>
  <c r="F5" i="13"/>
  <c r="I5" i="13"/>
  <c r="J5" i="13"/>
  <c r="K5" i="13" s="1"/>
  <c r="N5" i="13"/>
  <c r="F6" i="13"/>
  <c r="I6" i="13"/>
  <c r="K6" i="13" s="1"/>
  <c r="J6" i="13"/>
  <c r="M6" i="13"/>
  <c r="N6" i="13"/>
  <c r="F7" i="13"/>
  <c r="I7" i="13"/>
  <c r="J7" i="13"/>
  <c r="K7" i="13"/>
  <c r="M7" i="13" s="1"/>
  <c r="N7" i="13"/>
  <c r="F8" i="13"/>
  <c r="I8" i="13"/>
  <c r="J8" i="13"/>
  <c r="K8" i="13" s="1"/>
  <c r="M8" i="13"/>
  <c r="N8" i="13"/>
  <c r="F9" i="13"/>
  <c r="I9" i="13"/>
  <c r="J9" i="13"/>
  <c r="K9" i="13" s="1"/>
  <c r="M9" i="13"/>
  <c r="N9" i="13"/>
  <c r="F10" i="13"/>
  <c r="N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D47" i="13" s="1"/>
  <c r="D48" i="13" s="1"/>
  <c r="D27" i="80" s="1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8" i="87"/>
  <c r="A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H35" i="73"/>
  <c r="J35" i="73"/>
  <c r="J36" i="73" s="1"/>
  <c r="E36" i="73"/>
  <c r="F39" i="73"/>
  <c r="F46" i="73"/>
  <c r="K46" i="73"/>
  <c r="B68" i="73"/>
  <c r="C68" i="73"/>
  <c r="B69" i="73"/>
  <c r="C69" i="73"/>
  <c r="B70" i="73"/>
  <c r="C70" i="73"/>
  <c r="B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47" i="86" s="1"/>
  <c r="D48" i="86" s="1"/>
  <c r="D43" i="80" s="1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A46" i="85"/>
  <c r="A47" i="85"/>
  <c r="B8" i="20"/>
  <c r="B10" i="20"/>
  <c r="B18" i="20" s="1"/>
  <c r="F39" i="20" s="1"/>
  <c r="F40" i="20" s="1"/>
  <c r="J11" i="20"/>
  <c r="B13" i="20"/>
  <c r="B14" i="20"/>
  <c r="B15" i="20"/>
  <c r="J15" i="20"/>
  <c r="B17" i="20"/>
  <c r="B31" i="20"/>
  <c r="E38" i="20"/>
  <c r="E39" i="20"/>
  <c r="G39" i="20"/>
  <c r="G40" i="20" s="1"/>
  <c r="B78" i="73" s="1"/>
  <c r="B44" i="20"/>
  <c r="B46" i="20" s="1"/>
  <c r="H39" i="20" s="1"/>
  <c r="H40" i="20" s="1"/>
  <c r="B45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D36" i="1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L47" i="11" s="1"/>
  <c r="AK47" i="11"/>
  <c r="AM47" i="11"/>
  <c r="AN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A46" i="70"/>
  <c r="A47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I38" i="22"/>
  <c r="A46" i="22"/>
  <c r="A47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A48" i="5"/>
  <c r="A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47" i="89" s="1"/>
  <c r="D48" i="89" s="1"/>
  <c r="D39" i="80" s="1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34" i="67" s="1"/>
  <c r="F5" i="67"/>
  <c r="F6" i="67"/>
  <c r="F7" i="67"/>
  <c r="F8" i="67"/>
  <c r="F9" i="67"/>
  <c r="F10" i="67"/>
  <c r="L10" i="67"/>
  <c r="N10" i="67"/>
  <c r="N16" i="67" s="1"/>
  <c r="S10" i="67"/>
  <c r="U10" i="67"/>
  <c r="F11" i="67"/>
  <c r="J11" i="67"/>
  <c r="L11" i="67"/>
  <c r="N11" i="67"/>
  <c r="S11" i="67"/>
  <c r="U11" i="67"/>
  <c r="F12" i="67"/>
  <c r="J12" i="67"/>
  <c r="L12" i="67" s="1"/>
  <c r="N12" i="67" s="1"/>
  <c r="S12" i="67"/>
  <c r="U12" i="67"/>
  <c r="F13" i="67"/>
  <c r="J13" i="67"/>
  <c r="L13" i="67" s="1"/>
  <c r="N13" i="67"/>
  <c r="S13" i="67"/>
  <c r="U13" i="67" s="1"/>
  <c r="F14" i="67"/>
  <c r="L14" i="67"/>
  <c r="N14" i="67" s="1"/>
  <c r="S14" i="67"/>
  <c r="F15" i="67"/>
  <c r="S15" i="67"/>
  <c r="F16" i="67"/>
  <c r="S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A43" i="67"/>
  <c r="A44" i="67"/>
  <c r="D6" i="65"/>
  <c r="D7" i="65"/>
  <c r="D8" i="65"/>
  <c r="D9" i="65"/>
  <c r="D10" i="65"/>
  <c r="D11" i="65"/>
  <c r="D12" i="65"/>
  <c r="D13" i="65"/>
  <c r="D14" i="65"/>
  <c r="A33" i="65"/>
  <c r="D6" i="77"/>
  <c r="D7" i="77"/>
  <c r="D8" i="77"/>
  <c r="D9" i="77"/>
  <c r="D10" i="77"/>
  <c r="D11" i="77"/>
  <c r="D12" i="77"/>
  <c r="D13" i="77"/>
  <c r="D37" i="77" s="1"/>
  <c r="D49" i="77" s="1"/>
  <c r="D50" i="77" s="1"/>
  <c r="D15" i="80" s="1"/>
  <c r="D14" i="77"/>
  <c r="D15" i="77"/>
  <c r="D16" i="77"/>
  <c r="K16" i="77"/>
  <c r="M16" i="77" s="1"/>
  <c r="D17" i="77"/>
  <c r="K17" i="77"/>
  <c r="M17" i="77"/>
  <c r="D18" i="77"/>
  <c r="K18" i="77"/>
  <c r="M18" i="77"/>
  <c r="D19" i="77"/>
  <c r="K19" i="77"/>
  <c r="M19" i="77"/>
  <c r="D20" i="77"/>
  <c r="K20" i="77"/>
  <c r="M20" i="77"/>
  <c r="M23" i="77" s="1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G5" i="7" s="1"/>
  <c r="AF5" i="7"/>
  <c r="AH5" i="7"/>
  <c r="F6" i="7"/>
  <c r="Z6" i="7"/>
  <c r="AD6" i="7" s="1"/>
  <c r="AF6" i="7" s="1"/>
  <c r="AG6" i="7"/>
  <c r="AG7" i="7" s="1"/>
  <c r="AG8" i="7" s="1"/>
  <c r="F7" i="7"/>
  <c r="Z7" i="7"/>
  <c r="AD7" i="7"/>
  <c r="AF7" i="7" s="1"/>
  <c r="F8" i="7"/>
  <c r="Z8" i="7"/>
  <c r="AD8" i="7"/>
  <c r="AF8" i="7" s="1"/>
  <c r="F9" i="7"/>
  <c r="Z9" i="7"/>
  <c r="AD9" i="7" s="1"/>
  <c r="AF9" i="7" s="1"/>
  <c r="F10" i="7"/>
  <c r="Z10" i="7"/>
  <c r="AD10" i="7"/>
  <c r="AF10" i="7" s="1"/>
  <c r="F11" i="7"/>
  <c r="Z11" i="7"/>
  <c r="AD11" i="7" s="1"/>
  <c r="AF11" i="7" s="1"/>
  <c r="F12" i="7"/>
  <c r="Z12" i="7"/>
  <c r="AD12" i="7"/>
  <c r="AF12" i="7" s="1"/>
  <c r="F13" i="7"/>
  <c r="Z13" i="7"/>
  <c r="AD13" i="7"/>
  <c r="AF13" i="7"/>
  <c r="F14" i="7"/>
  <c r="Z14" i="7"/>
  <c r="AD14" i="7" s="1"/>
  <c r="AF14" i="7" s="1"/>
  <c r="F15" i="7"/>
  <c r="Z15" i="7"/>
  <c r="AD15" i="7" s="1"/>
  <c r="AF15" i="7" s="1"/>
  <c r="F16" i="7"/>
  <c r="Z16" i="7"/>
  <c r="AD16" i="7"/>
  <c r="AF16" i="7" s="1"/>
  <c r="F17" i="7"/>
  <c r="Z17" i="7"/>
  <c r="AD17" i="7"/>
  <c r="AF17" i="7" s="1"/>
  <c r="F18" i="7"/>
  <c r="AI18" i="7"/>
  <c r="F19" i="7"/>
  <c r="Z19" i="7"/>
  <c r="AD19" i="7"/>
  <c r="AG19" i="7" s="1"/>
  <c r="F20" i="7"/>
  <c r="Z20" i="7"/>
  <c r="AD20" i="7"/>
  <c r="F21" i="7"/>
  <c r="Z21" i="7"/>
  <c r="AD21" i="7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6" i="16" s="1"/>
  <c r="D47" i="16" s="1"/>
  <c r="D37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35" i="28" s="1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/>
  <c r="H5" i="9"/>
  <c r="P5" i="9"/>
  <c r="R5" i="9"/>
  <c r="H6" i="9"/>
  <c r="P6" i="9"/>
  <c r="R6" i="9" s="1"/>
  <c r="H7" i="9"/>
  <c r="N7" i="9"/>
  <c r="P7" i="9" s="1"/>
  <c r="R7" i="9"/>
  <c r="H8" i="9"/>
  <c r="P8" i="9"/>
  <c r="R8" i="9"/>
  <c r="H9" i="9"/>
  <c r="N9" i="9"/>
  <c r="P9" i="9"/>
  <c r="R9" i="9" s="1"/>
  <c r="H10" i="9"/>
  <c r="P10" i="9"/>
  <c r="R10" i="9" s="1"/>
  <c r="H11" i="9"/>
  <c r="P11" i="9"/>
  <c r="R11" i="9"/>
  <c r="H12" i="9"/>
  <c r="P12" i="9"/>
  <c r="R12" i="9"/>
  <c r="H13" i="9"/>
  <c r="P13" i="9"/>
  <c r="R13" i="9" s="1"/>
  <c r="H14" i="9"/>
  <c r="P14" i="9"/>
  <c r="R14" i="9" s="1"/>
  <c r="H15" i="9"/>
  <c r="P15" i="9"/>
  <c r="R15" i="9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B33" i="9"/>
  <c r="C33" i="9"/>
  <c r="D33" i="9"/>
  <c r="E33" i="9"/>
  <c r="F33" i="9"/>
  <c r="G33" i="9"/>
  <c r="B44" i="9"/>
  <c r="H44" i="9"/>
  <c r="B45" i="9"/>
  <c r="B5" i="64"/>
  <c r="D5" i="64"/>
  <c r="D17" i="64" s="1"/>
  <c r="D6" i="64"/>
  <c r="B7" i="64"/>
  <c r="D7" i="64" s="1"/>
  <c r="D8" i="64"/>
  <c r="B9" i="64"/>
  <c r="D9" i="64" s="1"/>
  <c r="D10" i="64"/>
  <c r="D11" i="64"/>
  <c r="D12" i="64"/>
  <c r="D13" i="64"/>
  <c r="A28" i="64"/>
  <c r="A29" i="64"/>
  <c r="D29" i="64"/>
  <c r="D30" i="64" s="1"/>
  <c r="D35" i="80" s="1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 s="1"/>
  <c r="AV39" i="15" s="1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V21" i="15"/>
  <c r="F22" i="15"/>
  <c r="M22" i="15"/>
  <c r="O22" i="15" s="1"/>
  <c r="AF22" i="15"/>
  <c r="AJ22" i="15"/>
  <c r="AN22" i="15"/>
  <c r="AQ22" i="15"/>
  <c r="AR22" i="15"/>
  <c r="AV22" i="15"/>
  <c r="F23" i="15"/>
  <c r="H23" i="15"/>
  <c r="J23" i="15"/>
  <c r="L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 s="1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D39" i="15"/>
  <c r="E39" i="15"/>
  <c r="AD39" i="15"/>
  <c r="AE39" i="15"/>
  <c r="AH39" i="15"/>
  <c r="AL39" i="15"/>
  <c r="AM39" i="15"/>
  <c r="AP39" i="15"/>
  <c r="AT39" i="15"/>
  <c r="AU39" i="15"/>
  <c r="A50" i="15"/>
  <c r="A51" i="15"/>
  <c r="AH52" i="15"/>
  <c r="AH54" i="15" s="1"/>
  <c r="F86" i="15"/>
  <c r="K86" i="15"/>
  <c r="K114" i="15" s="1"/>
  <c r="F87" i="15"/>
  <c r="K87" i="15"/>
  <c r="F88" i="15"/>
  <c r="K88" i="15"/>
  <c r="F89" i="15"/>
  <c r="K89" i="15"/>
  <c r="F90" i="15"/>
  <c r="K90" i="15"/>
  <c r="F91" i="15"/>
  <c r="K91" i="15"/>
  <c r="B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 s="1"/>
  <c r="I114" i="15"/>
  <c r="F126" i="15"/>
  <c r="F127" i="15"/>
  <c r="F128" i="15"/>
  <c r="F129" i="15"/>
  <c r="F130" i="15"/>
  <c r="F131" i="15"/>
  <c r="B132" i="15"/>
  <c r="B133" i="15" s="1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C168" i="15" s="1"/>
  <c r="C174" i="15" s="1"/>
  <c r="C176" i="15" s="1"/>
  <c r="F176" i="15" s="1"/>
  <c r="B168" i="15"/>
  <c r="B174" i="15" s="1"/>
  <c r="B176" i="15" s="1"/>
  <c r="F169" i="15"/>
  <c r="F170" i="15"/>
  <c r="F171" i="15"/>
  <c r="F172" i="15"/>
  <c r="F173" i="15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A45" i="6"/>
  <c r="A46" i="6"/>
  <c r="D6" i="92"/>
  <c r="D7" i="92"/>
  <c r="D8" i="92"/>
  <c r="D9" i="92"/>
  <c r="D10" i="92"/>
  <c r="D11" i="92"/>
  <c r="D37" i="92" s="1"/>
  <c r="D47" i="92" s="1"/>
  <c r="D48" i="92" s="1"/>
  <c r="D46" i="80" s="1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I3" i="63"/>
  <c r="J3" i="63"/>
  <c r="I4" i="63"/>
  <c r="D38" i="90" s="1"/>
  <c r="I5" i="63"/>
  <c r="B19" i="20" s="1"/>
  <c r="C19" i="20" s="1"/>
  <c r="C20" i="20" s="1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P27" i="63"/>
  <c r="D28" i="63"/>
  <c r="P28" i="63"/>
  <c r="D29" i="63"/>
  <c r="D30" i="63"/>
  <c r="D31" i="63"/>
  <c r="D32" i="63"/>
  <c r="D33" i="63"/>
  <c r="D34" i="63"/>
  <c r="D35" i="63"/>
  <c r="D36" i="63"/>
  <c r="D40" i="63"/>
  <c r="D41" i="63"/>
  <c r="D42" i="63"/>
  <c r="D43" i="63"/>
  <c r="D44" i="63"/>
  <c r="D45" i="63"/>
  <c r="D46" i="63"/>
  <c r="K46" i="63"/>
  <c r="D47" i="63"/>
  <c r="D48" i="63"/>
  <c r="D49" i="63"/>
  <c r="D50" i="63"/>
  <c r="D51" i="63"/>
  <c r="D52" i="63"/>
  <c r="D53" i="63"/>
  <c r="B117" i="63"/>
  <c r="B119" i="63"/>
  <c r="B127" i="63"/>
  <c r="D6" i="90"/>
  <c r="D7" i="90"/>
  <c r="D8" i="90"/>
  <c r="D9" i="90"/>
  <c r="D37" i="90" s="1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A46" i="90"/>
  <c r="A47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6" i="2"/>
  <c r="P6" i="2"/>
  <c r="R6" i="2"/>
  <c r="J7" i="2"/>
  <c r="P7" i="2"/>
  <c r="R7" i="2"/>
  <c r="J8" i="2"/>
  <c r="P8" i="2"/>
  <c r="R8" i="2" s="1"/>
  <c r="J9" i="2"/>
  <c r="P9" i="2"/>
  <c r="R9" i="2" s="1"/>
  <c r="J10" i="2"/>
  <c r="P10" i="2"/>
  <c r="R10" i="2" s="1"/>
  <c r="J11" i="2"/>
  <c r="P11" i="2"/>
  <c r="R11" i="2"/>
  <c r="J12" i="2"/>
  <c r="P12" i="2"/>
  <c r="R12" i="2"/>
  <c r="S12" i="2"/>
  <c r="J13" i="2"/>
  <c r="P13" i="2"/>
  <c r="R13" i="2" s="1"/>
  <c r="J14" i="2"/>
  <c r="P14" i="2"/>
  <c r="R14" i="2" s="1"/>
  <c r="J15" i="2"/>
  <c r="P15" i="2"/>
  <c r="R15" i="2" s="1"/>
  <c r="J16" i="2"/>
  <c r="P16" i="2"/>
  <c r="R16" i="2"/>
  <c r="J17" i="2"/>
  <c r="O17" i="2"/>
  <c r="J18" i="2"/>
  <c r="P18" i="2"/>
  <c r="Q18" i="2"/>
  <c r="R18" i="2"/>
  <c r="J19" i="2"/>
  <c r="J20" i="2"/>
  <c r="J21" i="2"/>
  <c r="J22" i="2"/>
  <c r="J23" i="2"/>
  <c r="J24" i="2"/>
  <c r="J25" i="2"/>
  <c r="J26" i="2"/>
  <c r="J27" i="2"/>
  <c r="N27" i="2"/>
  <c r="N17" i="2" s="1"/>
  <c r="P17" i="2" s="1"/>
  <c r="R17" i="2" s="1"/>
  <c r="R21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D49" i="83" s="1"/>
  <c r="D50" i="83" s="1"/>
  <c r="D41" i="80" s="1"/>
  <c r="A48" i="83"/>
  <c r="A49" i="83"/>
  <c r="D47" i="90" l="1"/>
  <c r="D48" i="90" s="1"/>
  <c r="D14" i="80" s="1"/>
  <c r="D39" i="90"/>
  <c r="D41" i="90" s="1"/>
  <c r="D40" i="28"/>
  <c r="F133" i="15"/>
  <c r="C133" i="15" s="1"/>
  <c r="AJ39" i="15"/>
  <c r="AJ45" i="15" s="1"/>
  <c r="C79" i="73"/>
  <c r="B8" i="63"/>
  <c r="AH6" i="7"/>
  <c r="AI5" i="7"/>
  <c r="P21" i="2"/>
  <c r="P23" i="2" s="1"/>
  <c r="F92" i="15"/>
  <c r="F101" i="15" s="1"/>
  <c r="C101" i="15" s="1"/>
  <c r="B101" i="15"/>
  <c r="AI39" i="15"/>
  <c r="AJ28" i="15"/>
  <c r="F38" i="67"/>
  <c r="D39" i="19"/>
  <c r="D49" i="19" s="1"/>
  <c r="D50" i="19" s="1"/>
  <c r="D20" i="80" s="1"/>
  <c r="AR21" i="15"/>
  <c r="AR39" i="15" s="1"/>
  <c r="AR45" i="15" s="1"/>
  <c r="AQ39" i="15"/>
  <c r="P17" i="9"/>
  <c r="F37" i="22"/>
  <c r="D47" i="22" s="1"/>
  <c r="D48" i="22" s="1"/>
  <c r="D29" i="80" s="1"/>
  <c r="H33" i="9"/>
  <c r="E45" i="9" s="1"/>
  <c r="E46" i="9" s="1"/>
  <c r="D34" i="80" s="1"/>
  <c r="D31" i="80"/>
  <c r="B79" i="73"/>
  <c r="F39" i="71"/>
  <c r="D49" i="71" s="1"/>
  <c r="D50" i="71" s="1"/>
  <c r="D47" i="80" s="1"/>
  <c r="D41" i="19"/>
  <c r="D43" i="19" s="1"/>
  <c r="B140" i="63"/>
  <c r="N37" i="91"/>
  <c r="D49" i="91" s="1"/>
  <c r="D50" i="91" s="1"/>
  <c r="D42" i="80" s="1"/>
  <c r="J35" i="2"/>
  <c r="D39" i="69"/>
  <c r="D40" i="69" s="1"/>
  <c r="D42" i="69" s="1"/>
  <c r="N23" i="15"/>
  <c r="J3" i="80"/>
  <c r="J58" i="80" s="1"/>
  <c r="D37" i="76"/>
  <c r="D47" i="76" s="1"/>
  <c r="D48" i="76" s="1"/>
  <c r="D38" i="80" s="1"/>
  <c r="F132" i="15"/>
  <c r="C39" i="11"/>
  <c r="C45" i="11"/>
  <c r="C46" i="11" s="1"/>
  <c r="AP34" i="11"/>
  <c r="AF34" i="11"/>
  <c r="AM16" i="11"/>
  <c r="AC16" i="11"/>
  <c r="B73" i="73"/>
  <c r="B81" i="73" s="1"/>
  <c r="D32" i="80"/>
  <c r="F35" i="73"/>
  <c r="D37" i="74"/>
  <c r="D46" i="74" s="1"/>
  <c r="D47" i="74" s="1"/>
  <c r="D12" i="80" s="1"/>
  <c r="AN39" i="15"/>
  <c r="F40" i="6"/>
  <c r="AG9" i="7"/>
  <c r="AG10" i="7" s="1"/>
  <c r="AG11" i="7" s="1"/>
  <c r="AG12" i="7" s="1"/>
  <c r="AG13" i="7" s="1"/>
  <c r="AG14" i="7" s="1"/>
  <c r="AG15" i="7" s="1"/>
  <c r="AG16" i="7" s="1"/>
  <c r="AG17" i="7" s="1"/>
  <c r="D30" i="80"/>
  <c r="AH56" i="15"/>
  <c r="AH57" i="15"/>
  <c r="K23" i="15"/>
  <c r="F39" i="15"/>
  <c r="D37" i="75"/>
  <c r="D46" i="75" s="1"/>
  <c r="D47" i="75" s="1"/>
  <c r="D48" i="80" s="1"/>
  <c r="J35" i="70"/>
  <c r="D47" i="70" s="1"/>
  <c r="D48" i="70" s="1"/>
  <c r="D36" i="80" s="1"/>
  <c r="F36" i="73"/>
  <c r="R17" i="9"/>
  <c r="R20" i="9" s="1"/>
  <c r="B77" i="73"/>
  <c r="I40" i="20"/>
  <c r="I57" i="20" s="1"/>
  <c r="M23" i="15"/>
  <c r="M24" i="15" s="1"/>
  <c r="AF39" i="15"/>
  <c r="AF45" i="15" s="1"/>
  <c r="AF20" i="7"/>
  <c r="AG20" i="7"/>
  <c r="AG21" i="7" s="1"/>
  <c r="D39" i="92"/>
  <c r="D41" i="92" s="1"/>
  <c r="AP20" i="11"/>
  <c r="AF20" i="11"/>
  <c r="K36" i="73"/>
  <c r="K49" i="73" s="1"/>
  <c r="B74" i="73"/>
  <c r="M5" i="13"/>
  <c r="N11" i="13" s="1"/>
  <c r="K13" i="13"/>
  <c r="D39" i="72"/>
  <c r="D37" i="12"/>
  <c r="D38" i="76"/>
  <c r="AF19" i="7"/>
  <c r="AH19" i="7" s="1"/>
  <c r="AO47" i="11"/>
  <c r="B47" i="20"/>
  <c r="C47" i="20" s="1"/>
  <c r="C48" i="20" s="1"/>
  <c r="D38" i="79"/>
  <c r="D18" i="65"/>
  <c r="D33" i="65" s="1"/>
  <c r="D34" i="65" s="1"/>
  <c r="D26" i="80" s="1"/>
  <c r="U16" i="67"/>
  <c r="D35" i="68"/>
  <c r="E39" i="11"/>
  <c r="B76" i="80" s="1"/>
  <c r="E45" i="11"/>
  <c r="F45" i="11" s="1"/>
  <c r="D38" i="85"/>
  <c r="D37" i="79"/>
  <c r="D47" i="79" s="1"/>
  <c r="D48" i="79" s="1"/>
  <c r="D13" i="80" s="1"/>
  <c r="F39" i="18"/>
  <c r="D48" i="18" s="1"/>
  <c r="D49" i="18" s="1"/>
  <c r="D28" i="80" s="1"/>
  <c r="D18" i="8"/>
  <c r="D30" i="8" s="1"/>
  <c r="D31" i="8" s="1"/>
  <c r="D49" i="80" s="1"/>
  <c r="J38" i="83"/>
  <c r="J39" i="83" s="1"/>
  <c r="J43" i="83" s="1"/>
  <c r="F36" i="7"/>
  <c r="F39" i="5"/>
  <c r="D37" i="85"/>
  <c r="D47" i="85" s="1"/>
  <c r="D48" i="85" s="1"/>
  <c r="D40" i="80" s="1"/>
  <c r="J17" i="74"/>
  <c r="J24" i="74" s="1"/>
  <c r="L17" i="74"/>
  <c r="L24" i="74" s="1"/>
  <c r="L26" i="74" s="1"/>
  <c r="D37" i="81"/>
  <c r="L16" i="67"/>
  <c r="J39" i="17"/>
  <c r="D48" i="17" s="1"/>
  <c r="D49" i="17" s="1"/>
  <c r="D33" i="80" s="1"/>
  <c r="F36" i="5"/>
  <c r="D49" i="5" s="1"/>
  <c r="D50" i="5" s="1"/>
  <c r="D84" i="80" s="1"/>
  <c r="H36" i="11"/>
  <c r="H39" i="11" s="1"/>
  <c r="C22" i="63" s="1"/>
  <c r="F37" i="87"/>
  <c r="D47" i="87" s="1"/>
  <c r="D48" i="87" s="1"/>
  <c r="D44" i="80" s="1"/>
  <c r="J5" i="80"/>
  <c r="J60" i="80" s="1"/>
  <c r="D19" i="8"/>
  <c r="C37" i="73"/>
  <c r="D38" i="86"/>
  <c r="D39" i="86" s="1"/>
  <c r="D41" i="86" s="1"/>
  <c r="D37" i="16"/>
  <c r="D38" i="16" s="1"/>
  <c r="D40" i="16" s="1"/>
  <c r="D38" i="89"/>
  <c r="D39" i="89" s="1"/>
  <c r="D41" i="89" s="1"/>
  <c r="B43" i="63" s="1"/>
  <c r="P38" i="88"/>
  <c r="P39" i="88" s="1"/>
  <c r="P41" i="88" s="1"/>
  <c r="J4" i="80"/>
  <c r="J59" i="80" s="1"/>
  <c r="F37" i="13"/>
  <c r="F38" i="13" s="1"/>
  <c r="F41" i="13" s="1"/>
  <c r="B32" i="20"/>
  <c r="C32" i="20" s="1"/>
  <c r="C33" i="20" s="1"/>
  <c r="C78" i="73" s="1"/>
  <c r="F38" i="22"/>
  <c r="D38" i="77"/>
  <c r="D39" i="77" s="1"/>
  <c r="D41" i="77" s="1"/>
  <c r="D18" i="64"/>
  <c r="D19" i="64" s="1"/>
  <c r="D23" i="64" s="1"/>
  <c r="D19" i="65"/>
  <c r="D20" i="65" s="1"/>
  <c r="D24" i="65" s="1"/>
  <c r="F40" i="71"/>
  <c r="J36" i="70"/>
  <c r="J37" i="70" s="1"/>
  <c r="J41" i="70" s="1"/>
  <c r="H34" i="9"/>
  <c r="H35" i="9" s="1"/>
  <c r="H37" i="9" s="1"/>
  <c r="D13" i="78"/>
  <c r="D14" i="78" s="1"/>
  <c r="D18" i="78" s="1"/>
  <c r="J40" i="17"/>
  <c r="J41" i="17" s="1"/>
  <c r="J43" i="17" s="1"/>
  <c r="D38" i="75"/>
  <c r="D39" i="75" s="1"/>
  <c r="D41" i="75" s="1"/>
  <c r="AP27" i="11"/>
  <c r="AF27" i="11"/>
  <c r="H41" i="73"/>
  <c r="C71" i="73"/>
  <c r="AR48" i="15" l="1"/>
  <c r="AR51" i="15"/>
  <c r="M13" i="13"/>
  <c r="F37" i="73"/>
  <c r="F41" i="71"/>
  <c r="F43" i="71" s="1"/>
  <c r="B45" i="80"/>
  <c r="C45" i="80" s="1"/>
  <c r="E45" i="80" s="1"/>
  <c r="B23" i="63"/>
  <c r="C23" i="63" s="1"/>
  <c r="F40" i="5"/>
  <c r="F43" i="5" s="1"/>
  <c r="AH20" i="7"/>
  <c r="AI19" i="7"/>
  <c r="B68" i="80"/>
  <c r="C68" i="80" s="1"/>
  <c r="E68" i="80" s="1"/>
  <c r="C20" i="63"/>
  <c r="B20" i="63" s="1"/>
  <c r="O23" i="15"/>
  <c r="O24" i="15" s="1"/>
  <c r="B27" i="80"/>
  <c r="C27" i="80" s="1"/>
  <c r="E27" i="80" s="1"/>
  <c r="B11" i="63"/>
  <c r="C11" i="63" s="1"/>
  <c r="D46" i="6"/>
  <c r="D47" i="6" s="1"/>
  <c r="D68" i="80" s="1"/>
  <c r="B26" i="80"/>
  <c r="B53" i="63"/>
  <c r="C53" i="63" s="1"/>
  <c r="B39" i="80"/>
  <c r="C43" i="63"/>
  <c r="C39" i="80" s="1"/>
  <c r="E39" i="80" s="1"/>
  <c r="E48" i="7"/>
  <c r="E49" i="7" s="1"/>
  <c r="D77" i="80" s="1"/>
  <c r="F41" i="7"/>
  <c r="C76" i="80"/>
  <c r="D39" i="76"/>
  <c r="D41" i="76" s="1"/>
  <c r="F45" i="15"/>
  <c r="D51" i="15"/>
  <c r="D52" i="15" s="1"/>
  <c r="D74" i="80" s="1"/>
  <c r="D78" i="80" s="1"/>
  <c r="B102" i="15"/>
  <c r="AN45" i="15"/>
  <c r="B22" i="80"/>
  <c r="C22" i="80" s="1"/>
  <c r="E22" i="80" s="1"/>
  <c r="B35" i="63"/>
  <c r="C35" i="63" s="1"/>
  <c r="C15" i="63"/>
  <c r="B15" i="63" s="1"/>
  <c r="B81" i="80"/>
  <c r="D46" i="28"/>
  <c r="D47" i="28" s="1"/>
  <c r="D70" i="80" s="1"/>
  <c r="B35" i="80"/>
  <c r="C35" i="80" s="1"/>
  <c r="E35" i="80" s="1"/>
  <c r="B10" i="63"/>
  <c r="C10" i="63" s="1"/>
  <c r="B37" i="80"/>
  <c r="C37" i="80" s="1"/>
  <c r="E37" i="80" s="1"/>
  <c r="B49" i="63"/>
  <c r="C49" i="63" s="1"/>
  <c r="B41" i="80"/>
  <c r="C41" i="80" s="1"/>
  <c r="E41" i="80" s="1"/>
  <c r="B48" i="63"/>
  <c r="C48" i="63" s="1"/>
  <c r="D46" i="68"/>
  <c r="D47" i="68" s="1"/>
  <c r="D67" i="80" s="1"/>
  <c r="D40" i="68"/>
  <c r="D40" i="12"/>
  <c r="D46" i="12"/>
  <c r="D47" i="12" s="1"/>
  <c r="D75" i="80" s="1"/>
  <c r="M51" i="73"/>
  <c r="M53" i="73" s="1"/>
  <c r="I62" i="20"/>
  <c r="D17" i="80"/>
  <c r="F46" i="11"/>
  <c r="D76" i="80" s="1"/>
  <c r="D69" i="80"/>
  <c r="D47" i="2"/>
  <c r="D48" i="2" s="1"/>
  <c r="J40" i="2"/>
  <c r="D39" i="74"/>
  <c r="D41" i="74" s="1"/>
  <c r="D44" i="67"/>
  <c r="D45" i="67" s="1"/>
  <c r="D81" i="80" s="1"/>
  <c r="D85" i="80" s="1"/>
  <c r="AI6" i="7"/>
  <c r="AH7" i="7"/>
  <c r="B70" i="80"/>
  <c r="C70" i="80" s="1"/>
  <c r="C33" i="63"/>
  <c r="B33" i="63" s="1"/>
  <c r="B48" i="80"/>
  <c r="C48" i="80" s="1"/>
  <c r="E48" i="80" s="1"/>
  <c r="B21" i="63"/>
  <c r="C21" i="63" s="1"/>
  <c r="N39" i="91"/>
  <c r="N43" i="91" s="1"/>
  <c r="F39" i="22"/>
  <c r="F41" i="22" s="1"/>
  <c r="C38" i="73"/>
  <c r="C40" i="73" s="1"/>
  <c r="E37" i="73"/>
  <c r="E38" i="73" s="1"/>
  <c r="D46" i="81"/>
  <c r="D47" i="81" s="1"/>
  <c r="D82" i="80" s="1"/>
  <c r="D41" i="81"/>
  <c r="D50" i="80"/>
  <c r="D42" i="72"/>
  <c r="D48" i="72"/>
  <c r="D49" i="72" s="1"/>
  <c r="D83" i="80" s="1"/>
  <c r="B31" i="80"/>
  <c r="C31" i="80" s="1"/>
  <c r="E31" i="80" s="1"/>
  <c r="C8" i="63"/>
  <c r="B51" i="63"/>
  <c r="C51" i="63" s="1"/>
  <c r="B14" i="80"/>
  <c r="C14" i="80" s="1"/>
  <c r="E14" i="80" s="1"/>
  <c r="B46" i="63"/>
  <c r="C46" i="63" s="1"/>
  <c r="B34" i="80"/>
  <c r="C34" i="80" s="1"/>
  <c r="E34" i="80" s="1"/>
  <c r="C77" i="73"/>
  <c r="B9" i="63"/>
  <c r="C57" i="20"/>
  <c r="F51" i="73" s="1"/>
  <c r="B36" i="80"/>
  <c r="C36" i="80" s="1"/>
  <c r="E36" i="80" s="1"/>
  <c r="B25" i="63"/>
  <c r="C25" i="63" s="1"/>
  <c r="D39" i="85"/>
  <c r="D41" i="85" s="1"/>
  <c r="F39" i="87"/>
  <c r="F41" i="87" s="1"/>
  <c r="B15" i="80"/>
  <c r="C15" i="80" s="1"/>
  <c r="E15" i="80" s="1"/>
  <c r="B42" i="63"/>
  <c r="C42" i="63" s="1"/>
  <c r="B43" i="80"/>
  <c r="C43" i="80" s="1"/>
  <c r="E43" i="80" s="1"/>
  <c r="B19" i="63"/>
  <c r="C19" i="63" s="1"/>
  <c r="B69" i="80"/>
  <c r="C69" i="80" s="1"/>
  <c r="B22" i="63"/>
  <c r="B33" i="80"/>
  <c r="C33" i="80" s="1"/>
  <c r="E33" i="80" s="1"/>
  <c r="B14" i="63"/>
  <c r="C14" i="63" s="1"/>
  <c r="B41" i="63"/>
  <c r="C41" i="63" s="1"/>
  <c r="B16" i="80"/>
  <c r="C16" i="80" s="1"/>
  <c r="E16" i="80" s="1"/>
  <c r="D20" i="8"/>
  <c r="D24" i="8" s="1"/>
  <c r="D39" i="79"/>
  <c r="D41" i="79" s="1"/>
  <c r="B28" i="63"/>
  <c r="C28" i="63" s="1"/>
  <c r="B46" i="80"/>
  <c r="C46" i="80" s="1"/>
  <c r="E46" i="80" s="1"/>
  <c r="F41" i="18"/>
  <c r="F43" i="18" s="1"/>
  <c r="B20" i="80"/>
  <c r="B32" i="63"/>
  <c r="C32" i="63" s="1"/>
  <c r="B16" i="63" l="1"/>
  <c r="C16" i="63" s="1"/>
  <c r="B12" i="80"/>
  <c r="B47" i="80"/>
  <c r="C47" i="80" s="1"/>
  <c r="E47" i="80" s="1"/>
  <c r="B31" i="63"/>
  <c r="C31" i="63" s="1"/>
  <c r="B18" i="63"/>
  <c r="C18" i="63" s="1"/>
  <c r="B28" i="80"/>
  <c r="C28" i="80" s="1"/>
  <c r="E28" i="80" s="1"/>
  <c r="B40" i="80"/>
  <c r="C40" i="80" s="1"/>
  <c r="E40" i="80" s="1"/>
  <c r="B17" i="63"/>
  <c r="C17" i="63" s="1"/>
  <c r="B49" i="80"/>
  <c r="C49" i="80" s="1"/>
  <c r="E49" i="80" s="1"/>
  <c r="B45" i="63"/>
  <c r="C45" i="63" s="1"/>
  <c r="C9" i="63"/>
  <c r="C37" i="63" s="1"/>
  <c r="B30" i="80"/>
  <c r="C30" i="80" s="1"/>
  <c r="E30" i="80" s="1"/>
  <c r="C73" i="73"/>
  <c r="B40" i="63"/>
  <c r="B77" i="80"/>
  <c r="C77" i="80" s="1"/>
  <c r="E77" i="80" s="1"/>
  <c r="C47" i="63"/>
  <c r="B47" i="63" s="1"/>
  <c r="B29" i="80"/>
  <c r="C29" i="80" s="1"/>
  <c r="E29" i="80" s="1"/>
  <c r="B13" i="63"/>
  <c r="C13" i="63" s="1"/>
  <c r="B42" i="80"/>
  <c r="C42" i="80" s="1"/>
  <c r="E42" i="80" s="1"/>
  <c r="B30" i="63"/>
  <c r="C30" i="63" s="1"/>
  <c r="C20" i="80"/>
  <c r="B44" i="80"/>
  <c r="C44" i="80" s="1"/>
  <c r="E44" i="80" s="1"/>
  <c r="B44" i="63"/>
  <c r="C44" i="63" s="1"/>
  <c r="B83" i="80"/>
  <c r="C83" i="80" s="1"/>
  <c r="E83" i="80" s="1"/>
  <c r="C29" i="63"/>
  <c r="B29" i="63" s="1"/>
  <c r="C21" i="80"/>
  <c r="C24" i="63"/>
  <c r="B24" i="63" s="1"/>
  <c r="B103" i="15"/>
  <c r="B105" i="15" s="1"/>
  <c r="F105" i="15" s="1"/>
  <c r="F102" i="15"/>
  <c r="F103" i="15" s="1"/>
  <c r="C103" i="15" s="1"/>
  <c r="B82" i="80"/>
  <c r="C82" i="80" s="1"/>
  <c r="E82" i="80" s="1"/>
  <c r="C50" i="63"/>
  <c r="B50" i="63" s="1"/>
  <c r="B67" i="80"/>
  <c r="C12" i="63"/>
  <c r="B12" i="63" s="1"/>
  <c r="B37" i="63" s="1"/>
  <c r="B74" i="80"/>
  <c r="C26" i="63"/>
  <c r="B26" i="63" s="1"/>
  <c r="E69" i="80"/>
  <c r="E70" i="80"/>
  <c r="D87" i="80"/>
  <c r="D71" i="80"/>
  <c r="C81" i="80"/>
  <c r="B36" i="63"/>
  <c r="C36" i="63" s="1"/>
  <c r="B38" i="80"/>
  <c r="C38" i="80" s="1"/>
  <c r="E38" i="80" s="1"/>
  <c r="AH21" i="7"/>
  <c r="AI21" i="7" s="1"/>
  <c r="AI20" i="7"/>
  <c r="B75" i="80"/>
  <c r="C75" i="80" s="1"/>
  <c r="E75" i="80" s="1"/>
  <c r="C34" i="63"/>
  <c r="B34" i="63" s="1"/>
  <c r="C26" i="80"/>
  <c r="B52" i="63"/>
  <c r="C52" i="63" s="1"/>
  <c r="B13" i="80"/>
  <c r="C13" i="80" s="1"/>
  <c r="E13" i="80" s="1"/>
  <c r="N15" i="63"/>
  <c r="F38" i="73"/>
  <c r="E40" i="73"/>
  <c r="AH8" i="7"/>
  <c r="AI7" i="7"/>
  <c r="E76" i="80"/>
  <c r="B84" i="80"/>
  <c r="C84" i="80" s="1"/>
  <c r="E84" i="80" s="1"/>
  <c r="C27" i="63"/>
  <c r="B27" i="63" s="1"/>
  <c r="E81" i="80" l="1"/>
  <c r="E85" i="80" s="1"/>
  <c r="C85" i="80"/>
  <c r="B32" i="80"/>
  <c r="B54" i="63"/>
  <c r="B56" i="63" s="1"/>
  <c r="C40" i="63"/>
  <c r="C54" i="63" s="1"/>
  <c r="C56" i="63" s="1"/>
  <c r="C23" i="80"/>
  <c r="E20" i="80"/>
  <c r="C81" i="73"/>
  <c r="C82" i="73" s="1"/>
  <c r="B21" i="80"/>
  <c r="B23" i="80" s="1"/>
  <c r="D21" i="80"/>
  <c r="E21" i="80"/>
  <c r="AH9" i="7"/>
  <c r="AI8" i="7"/>
  <c r="E26" i="80"/>
  <c r="B85" i="80"/>
  <c r="C74" i="73"/>
  <c r="F40" i="73"/>
  <c r="F49" i="73" s="1"/>
  <c r="C67" i="80"/>
  <c r="B71" i="80"/>
  <c r="C12" i="80"/>
  <c r="B17" i="80"/>
  <c r="B52" i="80"/>
  <c r="B78" i="80"/>
  <c r="B87" i="80" s="1"/>
  <c r="C74" i="80"/>
  <c r="B91" i="80" l="1"/>
  <c r="E23" i="80"/>
  <c r="E12" i="80"/>
  <c r="C52" i="80"/>
  <c r="C17" i="80"/>
  <c r="E67" i="80"/>
  <c r="C71" i="80"/>
  <c r="C87" i="80"/>
  <c r="B90" i="80" s="1"/>
  <c r="AI9" i="7"/>
  <c r="AH10" i="7"/>
  <c r="C32" i="80"/>
  <c r="B50" i="80"/>
  <c r="E74" i="80"/>
  <c r="E78" i="80" s="1"/>
  <c r="C78" i="80"/>
  <c r="C61" i="20"/>
  <c r="C62" i="20" s="1"/>
  <c r="F53" i="73"/>
  <c r="D23" i="80"/>
  <c r="D52" i="80"/>
  <c r="E87" i="80" l="1"/>
  <c r="E71" i="80"/>
  <c r="E32" i="80"/>
  <c r="E50" i="80" s="1"/>
  <c r="C50" i="80"/>
  <c r="E52" i="80"/>
  <c r="E17" i="80"/>
  <c r="AI10" i="7"/>
  <c r="AH11" i="7"/>
  <c r="AH12" i="7" l="1"/>
  <c r="AI11" i="7"/>
  <c r="AH13" i="7" l="1"/>
  <c r="AI12" i="7"/>
  <c r="AH14" i="7" l="1"/>
  <c r="AI13" i="7"/>
  <c r="AI14" i="7" l="1"/>
  <c r="AH15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<sst xmlns="http://schemas.openxmlformats.org/spreadsheetml/2006/main" count="1004" uniqueCount="330">
  <si>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</si>
  <si>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</si>
  <si>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</si>
  <si>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</si>
  <si>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</si>
  <si>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</si>
  <si>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</si>
  <si>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</si>
  <si>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</si>
  <si>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</si>
  <si>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</si>
  <si>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</si>
  <si>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</si>
  <si>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</si>
  <si>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</si>
  <si>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</si>
  <si>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</si>
  <si>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</si>
  <si>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</si>
  <si>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</si>
  <si>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</si>
  <si>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</si>
  <si>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</si>
  <si>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</si>
  <si>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</si>
  <si>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</si>
  <si>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</si>
  <si>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</si>
  <si>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</si>
  <si>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</si>
  <si>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</si>
  <si>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</si>
  <si>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</si>
  <si>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</si>
  <si>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</si>
  <si>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</si>
  <si>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</si>
  <si>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</si>
  <si>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</si>
  <si>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</si>
  <si>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</si>
  <si>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</si>
  <si>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</si>
  <si>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</si>
  <si>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</si>
  <si>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</si>
  <si>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</si>
  <si>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</si>
  <si>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</si>
  <si>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</si>
  <si>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</si>
  <si>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</si>
  <si>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</si>
  <si>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</si>
  <si>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</si>
  <si>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</si>
  <si>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</si>
  <si>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</si>
  <si>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</si>
  <si>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</si>
  <si>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</si>
  <si>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</si>
  <si>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</si>
  <si>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</si>
  <si>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</si>
  <si>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</si>
  <si>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</si>
  <si>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</si>
  <si>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</si>
  <si>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</si>
  <si>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</si>
  <si>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</si>
  <si>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</si>
  <si>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</si>
  <si>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</si>
  <si>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</si>
  <si>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</si>
  <si>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</si>
  <si>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</si>
  <si>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</si>
  <si>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</si>
  <si>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</si>
  <si>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</si>
  <si>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</si>
  <si>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</si>
  <si>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</si>
  <si>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</si>
  <si>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</si>
  <si>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</si>
  <si>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</si>
  <si>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</si>
  <si>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</si>
  <si>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</si>
  <si>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</si>
  <si>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</si>
  <si>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</si>
  <si>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</si>
  <si>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</si>
  <si>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</si>
  <si>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</si>
  <si>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</si>
  <si>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</si>
  <si>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</si>
  <si>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</si>
  <si>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</si>
  <si>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</si>
  <si>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</si>
  <si>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</si>
  <si>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</si>
  <si>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</si>
  <si>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</si>
  <si>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</si>
  <si>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</si>
  <si>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</si>
  <si>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</si>
  <si>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</si>
  <si>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</si>
  <si>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</si>
  <si>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</si>
  <si>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</si>
  <si>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</si>
  <si>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</si>
  <si>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</si>
  <si>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</si>
  <si>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</si>
  <si>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</si>
  <si>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</si>
  <si>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</si>
  <si>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</si>
  <si>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</si>
  <si>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</si>
  <si>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</si>
  <si>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</si>
  <si>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</si>
  <si>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</si>
  <si>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</si>
  <si>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</si>
  <si>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</si>
  <si>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</si>
  <si>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</si>
  <si>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</si>
  <si>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</si>
  <si>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</si>
  <si>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</si>
  <si>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</si>
  <si>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</si>
  <si>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</si>
  <si>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</si>
  <si>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</si>
  <si>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</si>
  <si>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</si>
  <si>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</si>
  <si>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</si>
  <si>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</si>
  <si>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</si>
  <si>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</si>
  <si>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</si>
  <si>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</si>
  <si>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</si>
  <si>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</si>
  <si>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</si>
  <si>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</si>
  <si>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</si>
  <si>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</si>
  <si>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</si>
  <si>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</si>
  <si>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</si>
  <si>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</si>
  <si>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</si>
  <si>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</si>
  <si>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</si>
  <si>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</si>
  <si>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</si>
  <si>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</si>
  <si>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</si>
  <si>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</si>
  <si>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</si>
  <si>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</si>
  <si>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</si>
  <si>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</si>
  <si>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</si>
  <si>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</si>
  <si>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</si>
  <si>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</si>
  <si>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</si>
  <si>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</si>
  <si>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</si>
  <si>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</si>
  <si>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</si>
  <si>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</si>
  <si>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</si>
  <si>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</si>
  <si>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</si>
  <si>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</si>
  <si>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</si>
  <si>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</si>
  <si>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</si>
  <si>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</si>
  <si>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</si>
  <si>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</si>
  <si>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</si>
  <si>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</si>
  <si>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</si>
  <si>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</si>
  <si>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</si>
  <si>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</si>
  <si>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</si>
  <si>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</si>
  <si>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</si>
  <si>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</si>
  <si>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</si>
  <si>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</si>
  <si>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</si>
  <si>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</si>
  <si>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</si>
  <si>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</si>
  <si>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</si>
  <si>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</si>
  <si>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</si>
  <si>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</si>
  <si>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</si>
  <si>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</si>
  <si>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</si>
  <si>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</si>
  <si>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</si>
  <si>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</si>
  <si>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</si>
  <si>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</si>
  <si>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</si>
  <si>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</si>
  <si>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</si>
  <si>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</si>
  <si>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</si>
  <si>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</si>
  <si>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</si>
  <si>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</si>
  <si>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</si>
  <si>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</si>
  <si>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</si>
  <si>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</si>
  <si>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</si>
  <si>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</si>
  <si>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</si>
  <si>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</si>
  <si>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</si>
  <si>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</si>
  <si>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</si>
  <si>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Artesia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</si>
  <si>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</si>
  <si>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</si>
  <si>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</si>
  <si>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</si>
  <si>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</si>
  <si>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</si>
  <si>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</si>
  <si>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</si>
  <si>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</si>
  <si>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</si>
  <si>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</si>
  <si>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</si>
  <si>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</si>
  <si>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</si>
  <si>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</si>
  <si>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</si>
  <si>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</si>
  <si>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</si>
  <si>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</si>
  <si>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</si>
  <si>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</si>
  <si>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</si>
  <si>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</si>
  <si>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</si>
  <si>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</si>
  <si>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</si>
  <si>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</si>
  <si>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</si>
  <si>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</si>
  <si>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</si>
  <si>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</si>
  <si>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</si>
  <si>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</si>
  <si>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</si>
  <si>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</si>
  <si>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</si>
  <si>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</si>
  <si>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</si>
  <si>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</si>
  <si>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</si>
  <si>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</si>
  <si>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</si>
  <si>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</si>
  <si>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</si>
  <si>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</si>
  <si>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</si>
  <si>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</si>
  <si>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</si>
  <si>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</si>
  <si>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</si>
  <si>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</si>
  <si>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</si>
  <si>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</si>
  <si>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</si>
  <si>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</si>
  <si>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</si>
  <si>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</si>
  <si>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</si>
  <si>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</si>
  <si>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</si>
  <si>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</si>
  <si>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</si>
  <si>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</si>
  <si>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</si>
  <si>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Crawford points-sent summary to Mike Benton and Sharon Tischer on 12/31</t>
  </si>
  <si>
    <t>Hobbs, Artesia, Colburn, Feldman - Sharon Tischer</t>
  </si>
  <si>
    <t>Waha - Ken Rust, Pecos Diamond - Patric Taher(acctant)  Sandra Jenkins(marketer)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</si>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</sst>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7" fontId="0" fillId="0" borderId="9" xfId="0" applyNumberFormat="1" applyBorder="1"/>
    <xf numFmtId="0" fontId="0" fillId="0" borderId="9" xfId="0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0" fillId="0" borderId="0" xfId="0" applyNumberFormat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96" fontId="0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0" fontId="22" fillId="0" borderId="0" xfId="0" applyFont="1" applyFill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166" fontId="11" fillId="7" borderId="0" xfId="1" applyNumberFormat="1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3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2.2200000000000002</v>
          </cell>
          <cell r="K39">
            <v>2.15</v>
          </cell>
          <cell r="M39">
            <v>2.2000000000000002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" workbookViewId="0">
      <selection activeCell="D27" sqref="D27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6"/>
    </row>
    <row r="2" spans="1:32" ht="12.95" customHeight="1" x14ac:dyDescent="0.2">
      <c r="A2" s="34" t="s">
        <v>140</v>
      </c>
      <c r="D2" s="7"/>
      <c r="I2" s="388" t="s">
        <v>78</v>
      </c>
      <c r="J2" s="391"/>
      <c r="K2" s="32"/>
    </row>
    <row r="3" spans="1:32" ht="12.95" customHeight="1" x14ac:dyDescent="0.2">
      <c r="D3" s="7"/>
      <c r="I3" s="389" t="s">
        <v>29</v>
      </c>
      <c r="J3" s="392">
        <f>+summary!I3</f>
        <v>2.15</v>
      </c>
      <c r="K3" s="407">
        <f ca="1">NOW()</f>
        <v>41885.689525347225</v>
      </c>
    </row>
    <row r="4" spans="1:32" ht="12.95" customHeight="1" x14ac:dyDescent="0.2">
      <c r="A4" s="34" t="s">
        <v>145</v>
      </c>
      <c r="C4" s="34" t="s">
        <v>5</v>
      </c>
      <c r="D4" s="7"/>
      <c r="I4" s="390" t="s">
        <v>30</v>
      </c>
      <c r="J4" s="392">
        <f>+summary!I4</f>
        <v>2.2000000000000002</v>
      </c>
      <c r="K4" s="32"/>
    </row>
    <row r="5" spans="1:32" ht="12.95" customHeight="1" x14ac:dyDescent="0.2">
      <c r="D5" s="7"/>
      <c r="I5" s="389" t="s">
        <v>117</v>
      </c>
      <c r="J5" s="392">
        <f>+summary!I5</f>
        <v>2.2200000000000002</v>
      </c>
      <c r="K5" s="32"/>
    </row>
    <row r="6" spans="1:32" ht="6.95" customHeight="1" x14ac:dyDescent="0.2"/>
    <row r="7" spans="1:32" ht="12.95" customHeight="1" x14ac:dyDescent="0.2">
      <c r="A7" s="405" t="s">
        <v>163</v>
      </c>
      <c r="B7" s="406"/>
      <c r="AD7" s="32"/>
      <c r="AE7" s="32"/>
      <c r="AF7" s="32"/>
    </row>
    <row r="8" spans="1:32" ht="15.95" customHeight="1" outlineLevel="2" x14ac:dyDescent="0.2">
      <c r="A8" s="32"/>
      <c r="B8" s="446" t="s">
        <v>193</v>
      </c>
      <c r="C8" s="403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71" t="s">
        <v>89</v>
      </c>
      <c r="B9" s="396" t="s">
        <v>194</v>
      </c>
      <c r="C9" s="404" t="s">
        <v>187</v>
      </c>
      <c r="D9" s="432" t="s">
        <v>191</v>
      </c>
      <c r="E9" s="39" t="s">
        <v>189</v>
      </c>
      <c r="F9" s="39" t="s">
        <v>146</v>
      </c>
      <c r="G9" s="395" t="s">
        <v>151</v>
      </c>
      <c r="H9" s="372" t="s">
        <v>101</v>
      </c>
      <c r="I9" s="371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499999999999993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71" t="s">
        <v>155</v>
      </c>
    </row>
    <row r="12" spans="1:32" ht="13.5" customHeight="1" outlineLevel="1" x14ac:dyDescent="0.2">
      <c r="A12" s="514" t="s">
        <v>127</v>
      </c>
      <c r="B12" s="351">
        <f>+Calpine!D41</f>
        <v>193479.37</v>
      </c>
      <c r="C12" s="374">
        <f>+B12/$J$4</f>
        <v>87945.168181818168</v>
      </c>
      <c r="D12" s="14">
        <f>+Calpine!D47</f>
        <v>179738</v>
      </c>
      <c r="E12" s="70">
        <f>+C12-D12</f>
        <v>-91792.831818181832</v>
      </c>
      <c r="F12" s="369">
        <f>+Calpine!A41</f>
        <v>37265</v>
      </c>
      <c r="G12" s="203" t="s">
        <v>153</v>
      </c>
      <c r="H12" s="204" t="s">
        <v>99</v>
      </c>
      <c r="I12" s="357"/>
      <c r="J12" s="70"/>
      <c r="K12" s="32"/>
    </row>
    <row r="13" spans="1:32" ht="13.5" customHeight="1" outlineLevel="2" x14ac:dyDescent="0.2">
      <c r="A13" s="248" t="s">
        <v>139</v>
      </c>
      <c r="B13" s="351">
        <f>+'Citizens-Griffith'!D41</f>
        <v>-16332.680000000008</v>
      </c>
      <c r="C13" s="373">
        <f>+B13/$J$4</f>
        <v>-7423.9454545454573</v>
      </c>
      <c r="D13" s="14">
        <f>+'Citizens-Griffith'!D48</f>
        <v>-2065</v>
      </c>
      <c r="E13" s="70">
        <f>+C13-D13</f>
        <v>-5358.9454545454573</v>
      </c>
      <c r="F13" s="369">
        <f>+'Citizens-Griffith'!A41</f>
        <v>37264</v>
      </c>
      <c r="G13" s="203" t="s">
        <v>328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298</v>
      </c>
      <c r="B14" s="486">
        <f>+SWGasTrans!D41</f>
        <v>-22380.730000000003</v>
      </c>
      <c r="C14" s="373">
        <f>+B14/J4</f>
        <v>-10173.059090909092</v>
      </c>
      <c r="D14" s="14">
        <f>+SWGasTrans!$D$48</f>
        <v>2475</v>
      </c>
      <c r="E14" s="70">
        <f>+C14-D14</f>
        <v>-12648.059090909092</v>
      </c>
      <c r="F14" s="369">
        <f>+'Citizens-Griffith'!A42</f>
        <v>0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51">
        <f>+'NS Steel'!D41</f>
        <v>-332544.40000000002</v>
      </c>
      <c r="C15" s="373">
        <f>+B15/$J$4</f>
        <v>-151156.54545454544</v>
      </c>
      <c r="D15" s="14">
        <f>+'NS Steel'!D50</f>
        <v>-34048</v>
      </c>
      <c r="E15" s="70">
        <f>+C15-D15</f>
        <v>-117108.54545454544</v>
      </c>
      <c r="F15" s="370">
        <f>+'NS Steel'!A41</f>
        <v>37265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14" t="s">
        <v>135</v>
      </c>
      <c r="B16" s="354">
        <f>+Citizens!D18</f>
        <v>-547526.79</v>
      </c>
      <c r="C16" s="375">
        <f>+B16/$J$4</f>
        <v>-248875.81363636363</v>
      </c>
      <c r="D16" s="355">
        <f>+Citizens!D24</f>
        <v>-41293</v>
      </c>
      <c r="E16" s="72">
        <f>+C16-D16</f>
        <v>-207582.81363636363</v>
      </c>
      <c r="F16" s="369">
        <f>+Citizens!A18</f>
        <v>37264</v>
      </c>
      <c r="G16" s="203" t="s">
        <v>328</v>
      </c>
      <c r="H16" s="204" t="s">
        <v>99</v>
      </c>
      <c r="I16" s="424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93">
        <f>SUBTOTAL(9,B12:B16)</f>
        <v>-725305.2300000001</v>
      </c>
      <c r="C17" s="398">
        <f>SUBTOTAL(9,C12:C16)</f>
        <v>-329684.19545454544</v>
      </c>
      <c r="D17" s="399">
        <f>SUBTOTAL(9,D12:D16)</f>
        <v>104807</v>
      </c>
      <c r="E17" s="400">
        <f>SUBTOTAL(9,E12:E16)</f>
        <v>-434491.19545454544</v>
      </c>
      <c r="F17" s="369"/>
      <c r="G17" s="203"/>
      <c r="H17" s="204"/>
      <c r="I17" s="357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402" t="s">
        <v>57</v>
      </c>
      <c r="G19" s="7"/>
    </row>
    <row r="20" spans="1:20" ht="13.5" customHeight="1" outlineLevel="2" x14ac:dyDescent="0.2">
      <c r="A20" s="248" t="s">
        <v>71</v>
      </c>
      <c r="B20" s="487">
        <f>+transcol!$D$43</f>
        <v>31136</v>
      </c>
      <c r="C20" s="373">
        <f>+B20/$J$4</f>
        <v>14152.727272727272</v>
      </c>
      <c r="D20" s="14">
        <f>+transcol!D50</f>
        <v>-41457</v>
      </c>
      <c r="E20" s="70">
        <f>+C20-D20</f>
        <v>55609.727272727272</v>
      </c>
      <c r="F20" s="370">
        <f>+transcol!A43</f>
        <v>37265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14" t="s">
        <v>316</v>
      </c>
      <c r="B21" s="487">
        <f>+C21*J3</f>
        <v>80100.399999999994</v>
      </c>
      <c r="C21" s="373">
        <f>+williams!J40</f>
        <v>37256</v>
      </c>
      <c r="D21" s="14">
        <f>+C21</f>
        <v>37256</v>
      </c>
      <c r="E21" s="70">
        <f>+C21-D21</f>
        <v>0</v>
      </c>
      <c r="F21" s="370">
        <f>+williams!A40</f>
        <v>37265</v>
      </c>
      <c r="G21" s="203" t="s">
        <v>154</v>
      </c>
      <c r="H21" s="32" t="s">
        <v>317</v>
      </c>
      <c r="I21" s="32"/>
      <c r="J21" s="32"/>
      <c r="K21" s="32"/>
      <c r="T21" s="259"/>
    </row>
    <row r="22" spans="1:20" ht="13.5" customHeight="1" outlineLevel="2" x14ac:dyDescent="0.2">
      <c r="A22" s="514" t="s">
        <v>95</v>
      </c>
      <c r="B22" s="505">
        <f>+burlington!D42</f>
        <v>17359.490000000005</v>
      </c>
      <c r="C22" s="377">
        <f>+B22/$J$3</f>
        <v>8074.1813953488399</v>
      </c>
      <c r="D22" s="355">
        <f>+burlington!D49</f>
        <v>6348</v>
      </c>
      <c r="E22" s="72">
        <f>+C22-D22</f>
        <v>1726.1813953488399</v>
      </c>
      <c r="F22" s="369">
        <f>+burlington!A42</f>
        <v>37265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93">
        <f>SUBTOTAL(9,B20:B22)</f>
        <v>128595.89</v>
      </c>
      <c r="C23" s="394">
        <f>SUBTOTAL(9,C20:C22)</f>
        <v>59482.90866807611</v>
      </c>
      <c r="D23" s="399">
        <f>SUBTOTAL(9,D20:D22)</f>
        <v>2147</v>
      </c>
      <c r="E23" s="400">
        <f>SUBTOTAL(9,E20:E22)</f>
        <v>57335.90866807611</v>
      </c>
      <c r="F23" s="369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71" t="s">
        <v>159</v>
      </c>
      <c r="B25" s="428"/>
      <c r="C25" s="429"/>
      <c r="D25" s="430"/>
      <c r="E25" s="430"/>
      <c r="F25" s="430"/>
      <c r="G25" s="431"/>
      <c r="H25" s="430"/>
      <c r="I25" s="430"/>
    </row>
    <row r="26" spans="1:20" ht="15.95" customHeight="1" outlineLevel="2" x14ac:dyDescent="0.2">
      <c r="A26" s="514" t="s">
        <v>87</v>
      </c>
      <c r="B26" s="486">
        <f>+NNG!$D$24</f>
        <v>-1303.3000000000029</v>
      </c>
      <c r="C26" s="373">
        <f>+B26/$J$4</f>
        <v>-592.40909090909213</v>
      </c>
      <c r="D26" s="14">
        <f>+NNG!D34</f>
        <v>-1049</v>
      </c>
      <c r="E26" s="70">
        <f t="shared" ref="E26:E49" si="0">+C26-D26</f>
        <v>456.59090909090787</v>
      </c>
      <c r="F26" s="369">
        <f>+NNG!A24</f>
        <v>37264</v>
      </c>
      <c r="G26" s="204" t="s">
        <v>327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6">
        <f>+Conoco!$F$41</f>
        <v>467350.09</v>
      </c>
      <c r="C27" s="373">
        <f>+B27/$J$4</f>
        <v>212431.8590909091</v>
      </c>
      <c r="D27" s="14">
        <f>+Conoco!D48</f>
        <v>21114</v>
      </c>
      <c r="E27" s="70">
        <f t="shared" si="0"/>
        <v>191317.8590909091</v>
      </c>
      <c r="F27" s="369">
        <f>+Conoco!A41</f>
        <v>37266</v>
      </c>
      <c r="G27" s="32" t="s">
        <v>328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51">
        <f>+'Amoco Abo'!$F$43</f>
        <v>171832.03</v>
      </c>
      <c r="C28" s="373">
        <f>+B28/$J$4</f>
        <v>78105.468181818171</v>
      </c>
      <c r="D28" s="14">
        <f>+'Amoco Abo'!D49</f>
        <v>-358718</v>
      </c>
      <c r="E28" s="70">
        <f t="shared" si="0"/>
        <v>436823.46818181814</v>
      </c>
      <c r="F28" s="370">
        <f>+'Amoco Abo'!A43</f>
        <v>37264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6">
        <f>+KN_Westar!F41</f>
        <v>417969.39</v>
      </c>
      <c r="C29" s="373">
        <f>+B29/$J$4</f>
        <v>189986.08636363636</v>
      </c>
      <c r="D29" s="14">
        <f>+KN_Westar!D48</f>
        <v>5124</v>
      </c>
      <c r="E29" s="70">
        <f t="shared" si="0"/>
        <v>184862.08636363636</v>
      </c>
      <c r="F29" s="370">
        <f>+KN_Westar!A41</f>
        <v>37256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14" t="s">
        <v>257</v>
      </c>
      <c r="B30" s="486">
        <f>+summary!B9</f>
        <v>1218954.8400000001</v>
      </c>
      <c r="C30" s="374">
        <f>+B30/$J$5</f>
        <v>549078.7567567568</v>
      </c>
      <c r="D30" s="14">
        <f>+Duke!$G$40+Duke!$H$40+Duke!$I$53+Duke!$I$54</f>
        <v>362061</v>
      </c>
      <c r="E30" s="70">
        <f t="shared" si="0"/>
        <v>187017.7567567568</v>
      </c>
      <c r="F30" s="370">
        <f>+Duke!A42</f>
        <v>37265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14" t="s">
        <v>250</v>
      </c>
      <c r="B31" s="486">
        <f>+summary!B8</f>
        <v>1576297.82</v>
      </c>
      <c r="C31" s="374">
        <f>+B31/$J$5</f>
        <v>710044.06306306308</v>
      </c>
      <c r="D31" s="14">
        <f>+Duke!$F$40</f>
        <v>398845</v>
      </c>
      <c r="E31" s="70">
        <f t="shared" si="0"/>
        <v>311199.06306306308</v>
      </c>
      <c r="F31" s="370">
        <f>+Duke!A7</f>
        <v>37265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14" t="s">
        <v>249</v>
      </c>
      <c r="B32" s="486">
        <f>+summary!B40</f>
        <v>-2783304.1400000006</v>
      </c>
      <c r="C32" s="374">
        <f>+B32/$J$5</f>
        <v>-1253740.6036036038</v>
      </c>
      <c r="D32" s="14">
        <f>+DEFS!$I$36+DEFS!$J$36+DEFS!$K$45+DEFS!$K$46+DEFS!$K$47+DEFS!$K$48</f>
        <v>-427484</v>
      </c>
      <c r="E32" s="70">
        <f t="shared" si="0"/>
        <v>-826256.60360360378</v>
      </c>
      <c r="F32" s="370">
        <f>+DEFS!A40</f>
        <v>37265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6">
        <f>+mewborne!$J$43</f>
        <v>416421.51999999996</v>
      </c>
      <c r="C33" s="373">
        <f>+B33/$J$4</f>
        <v>189282.50909090906</v>
      </c>
      <c r="D33" s="14">
        <f>+mewborne!D49</f>
        <v>171296</v>
      </c>
      <c r="E33" s="70">
        <f t="shared" si="0"/>
        <v>17986.509090909065</v>
      </c>
      <c r="F33" s="370">
        <f>+mewborne!A43</f>
        <v>37264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6">
        <f>+PGETX!$H$37</f>
        <v>-75991</v>
      </c>
      <c r="C34" s="373">
        <f>+B34/$J$4</f>
        <v>-34541.363636363632</v>
      </c>
      <c r="D34" s="14">
        <f>+PGETX!E46</f>
        <v>-8599</v>
      </c>
      <c r="E34" s="70">
        <f t="shared" si="0"/>
        <v>-25942.363636363632</v>
      </c>
      <c r="F34" s="370">
        <f>+PGETX!E37</f>
        <v>37265</v>
      </c>
      <c r="G34" s="32" t="s">
        <v>329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51">
        <f>+PNM!$D$23</f>
        <v>830030.12</v>
      </c>
      <c r="C35" s="373">
        <f>+B35/$J$4</f>
        <v>377286.41818181815</v>
      </c>
      <c r="D35" s="14">
        <f>+PNM!D30</f>
        <v>336011</v>
      </c>
      <c r="E35" s="70">
        <f t="shared" si="0"/>
        <v>41275.418181818153</v>
      </c>
      <c r="F35" s="370">
        <f>+PNM!A23</f>
        <v>37266</v>
      </c>
      <c r="G35" s="32" t="s">
        <v>327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6">
        <f>+EOG!J41</f>
        <v>64044.01</v>
      </c>
      <c r="C36" s="373">
        <f>+B36/$J$4</f>
        <v>29110.913636363635</v>
      </c>
      <c r="D36" s="14">
        <f>+EOG!D48</f>
        <v>-98489</v>
      </c>
      <c r="E36" s="70">
        <f t="shared" si="0"/>
        <v>127599.91363636364</v>
      </c>
      <c r="F36" s="369">
        <f>+EOG!A41</f>
        <v>37264</v>
      </c>
      <c r="G36" s="32" t="s">
        <v>327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51">
        <f>+Oasis!D40</f>
        <v>-29336.430000000004</v>
      </c>
      <c r="C37" s="373">
        <f>+B37/J5</f>
        <v>-13214.608108108108</v>
      </c>
      <c r="D37" s="14">
        <f>+Oasis!D47</f>
        <v>-16320</v>
      </c>
      <c r="E37" s="70">
        <f>+C37-D37</f>
        <v>3105.3918918918916</v>
      </c>
      <c r="F37" s="369">
        <f>+Oasis!A40</f>
        <v>37265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6">
        <f>+SidR!D41</f>
        <v>8063.8100000000013</v>
      </c>
      <c r="C38" s="373">
        <f>+B38/$J$5</f>
        <v>3632.3468468468473</v>
      </c>
      <c r="D38" s="14">
        <f>+SidR!D48</f>
        <v>4539</v>
      </c>
      <c r="E38" s="70">
        <f t="shared" si="0"/>
        <v>-906.65315315315274</v>
      </c>
      <c r="F38" s="370">
        <f>+SidR!A41</f>
        <v>37265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14" t="s">
        <v>261</v>
      </c>
      <c r="B39" s="351">
        <f>+summary!$B$43</f>
        <v>-203736.06</v>
      </c>
      <c r="C39" s="373">
        <f>+summary!$C$43</f>
        <v>-91772.999999999985</v>
      </c>
      <c r="D39" s="14">
        <f>+MiVida_Rich!D48</f>
        <v>-51454</v>
      </c>
      <c r="E39" s="70">
        <f>+C39-D39</f>
        <v>-40318.999999999985</v>
      </c>
      <c r="F39" s="370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51">
        <f>+Dominion!D41</f>
        <v>178894.58000000002</v>
      </c>
      <c r="C40" s="373">
        <f>+B40/$J$5</f>
        <v>80583.144144144142</v>
      </c>
      <c r="D40" s="14">
        <f>+Dominion!D48</f>
        <v>78493</v>
      </c>
      <c r="E40" s="70">
        <f t="shared" si="0"/>
        <v>2090.144144144142</v>
      </c>
      <c r="F40" s="370">
        <f>+Dominion!A41</f>
        <v>37264</v>
      </c>
      <c r="G40" s="203"/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51">
        <f>+WTGmktg!J43</f>
        <v>-30825.730000000003</v>
      </c>
      <c r="C41" s="373">
        <f>+B41/$J$4</f>
        <v>-14011.695454545456</v>
      </c>
      <c r="D41" s="14">
        <f>+WTGmktg!D50</f>
        <v>-1291</v>
      </c>
      <c r="E41" s="70">
        <f t="shared" si="0"/>
        <v>-12720.695454545456</v>
      </c>
      <c r="F41" s="370">
        <f>+WTGmktg!A43</f>
        <v>37264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303</v>
      </c>
      <c r="B42" s="351">
        <f>+'WTG inc'!N43</f>
        <v>35743.090000000004</v>
      </c>
      <c r="C42" s="373">
        <f>+B42/J4</f>
        <v>16246.859090909091</v>
      </c>
      <c r="D42" s="14">
        <f>+'WTG inc'!D50</f>
        <v>13524</v>
      </c>
      <c r="E42" s="70">
        <f>+C42-D42</f>
        <v>2722.8590909090908</v>
      </c>
      <c r="F42" s="370">
        <f>+'WTG inc'!A43</f>
        <v>37264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51">
        <f>+Devon!D41</f>
        <v>167683.87</v>
      </c>
      <c r="C43" s="373">
        <f>+B43/$J$5</f>
        <v>75533.274774774764</v>
      </c>
      <c r="D43" s="14">
        <f>+Devon!D48</f>
        <v>36850</v>
      </c>
      <c r="E43" s="70">
        <f t="shared" si="0"/>
        <v>38683.274774774764</v>
      </c>
      <c r="F43" s="370">
        <f>+Devon!A41</f>
        <v>37264</v>
      </c>
      <c r="G43" s="203" t="s">
        <v>328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51">
        <f>+crosstex!F41</f>
        <v>-122588.84</v>
      </c>
      <c r="C44" s="373">
        <f>+B44/$J$4</f>
        <v>-55722.2</v>
      </c>
      <c r="D44" s="14">
        <f>+crosstex!D48</f>
        <v>-38500</v>
      </c>
      <c r="E44" s="70">
        <f t="shared" si="0"/>
        <v>-17222.199999999997</v>
      </c>
      <c r="F44" s="370">
        <f>+crosstex!A41</f>
        <v>37264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51">
        <f>+Amarillo!P41</f>
        <v>94330.4</v>
      </c>
      <c r="C45" s="373">
        <f>+B45/$J$4</f>
        <v>42877.454545454537</v>
      </c>
      <c r="D45" s="14">
        <f>+Amarillo!D48</f>
        <v>39225</v>
      </c>
      <c r="E45" s="70">
        <f t="shared" si="0"/>
        <v>3652.4545454545369</v>
      </c>
      <c r="F45" s="370">
        <f>+Amarillo!A41</f>
        <v>37262</v>
      </c>
      <c r="G45" s="203" t="s">
        <v>328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322</v>
      </c>
      <c r="B46" s="351">
        <f>+Stratland!$D$41</f>
        <v>43180.07</v>
      </c>
      <c r="C46" s="374">
        <f>+B46/$J$4</f>
        <v>19627.304545454543</v>
      </c>
      <c r="D46" s="14">
        <f>+Stratland!D48</f>
        <v>14850</v>
      </c>
      <c r="E46" s="70">
        <f>+C46-D46</f>
        <v>4777.3045454545427</v>
      </c>
      <c r="F46" s="369">
        <f>+Stratland!A41</f>
        <v>37263</v>
      </c>
      <c r="G46" s="203"/>
      <c r="H46" s="32" t="s">
        <v>102</v>
      </c>
      <c r="I46" s="32"/>
      <c r="J46" s="32"/>
      <c r="K46" s="32"/>
    </row>
    <row r="47" spans="1:11" ht="13.5" customHeight="1" x14ac:dyDescent="0.2">
      <c r="A47" s="248" t="s">
        <v>109</v>
      </c>
      <c r="B47" s="351">
        <f>+Continental!F43</f>
        <v>34262</v>
      </c>
      <c r="C47" s="374">
        <f>+B47/$J$4</f>
        <v>15573.636363636362</v>
      </c>
      <c r="D47" s="14">
        <f>+Continental!D50</f>
        <v>748</v>
      </c>
      <c r="E47" s="70">
        <f t="shared" si="0"/>
        <v>14825.636363636362</v>
      </c>
      <c r="F47" s="370">
        <f>+Continental!A43</f>
        <v>37264</v>
      </c>
      <c r="G47" s="203" t="s">
        <v>154</v>
      </c>
      <c r="H47" s="32" t="s">
        <v>115</v>
      </c>
      <c r="I47" s="32"/>
      <c r="J47" s="32"/>
      <c r="K47" s="32"/>
    </row>
    <row r="48" spans="1:11" ht="13.5" customHeight="1" x14ac:dyDescent="0.2">
      <c r="A48" s="248" t="s">
        <v>129</v>
      </c>
      <c r="B48" s="351">
        <f>+EPFS!D41</f>
        <v>109009.01</v>
      </c>
      <c r="C48" s="374">
        <f>+B48/$J$5</f>
        <v>49103.157657657648</v>
      </c>
      <c r="D48" s="14">
        <f>+EPFS!D47</f>
        <v>65395</v>
      </c>
      <c r="E48" s="70">
        <f t="shared" si="0"/>
        <v>-16291.842342342352</v>
      </c>
      <c r="F48" s="369">
        <f>+EPFS!A41</f>
        <v>37265</v>
      </c>
      <c r="G48" s="203" t="s">
        <v>154</v>
      </c>
      <c r="H48" s="32" t="s">
        <v>102</v>
      </c>
      <c r="I48" s="32"/>
      <c r="J48" s="32"/>
      <c r="K48" s="32"/>
    </row>
    <row r="49" spans="1:19" ht="12.95" customHeight="1" x14ac:dyDescent="0.2">
      <c r="A49" s="514" t="s">
        <v>79</v>
      </c>
      <c r="B49" s="505">
        <f>+Agave!$D$24</f>
        <v>-95791.98000000001</v>
      </c>
      <c r="C49" s="375">
        <f>+B49/$J$4</f>
        <v>-43541.80909090909</v>
      </c>
      <c r="D49" s="355">
        <f>+Agave!D31</f>
        <v>-29736</v>
      </c>
      <c r="E49" s="72">
        <f t="shared" si="0"/>
        <v>-13805.80909090909</v>
      </c>
      <c r="F49" s="369">
        <f>+Agave!A24</f>
        <v>37265</v>
      </c>
      <c r="G49" s="203" t="s">
        <v>328</v>
      </c>
      <c r="H49" s="204" t="s">
        <v>102</v>
      </c>
      <c r="I49" s="32"/>
      <c r="J49" s="32"/>
      <c r="K49" s="32"/>
    </row>
    <row r="50" spans="1:19" ht="17.100000000000001" customHeight="1" x14ac:dyDescent="0.2">
      <c r="A50" s="153" t="s">
        <v>161</v>
      </c>
      <c r="B50" s="393">
        <f>SUBTOTAL(9,B26:B49)</f>
        <v>2491189.169999999</v>
      </c>
      <c r="C50" s="398">
        <f>SUBTOTAL(9,C26:C49)</f>
        <v>1131365.5633497133</v>
      </c>
      <c r="D50" s="399">
        <f>SUBTOTAL(9,D26:D49)</f>
        <v>516435</v>
      </c>
      <c r="E50" s="400">
        <f>SUBTOTAL(9,E26:E49)</f>
        <v>614930.56334971334</v>
      </c>
      <c r="F50" s="369"/>
      <c r="G50" s="358"/>
      <c r="H50" s="32"/>
      <c r="I50" s="204"/>
      <c r="J50" s="32"/>
      <c r="K50" s="32"/>
      <c r="L50" s="32"/>
    </row>
    <row r="51" spans="1:19" ht="12" customHeight="1" x14ac:dyDescent="0.2">
      <c r="A51" s="204"/>
      <c r="H51" s="32"/>
      <c r="I51" s="204"/>
      <c r="J51" s="32"/>
      <c r="K51" s="32"/>
      <c r="L51" s="32"/>
    </row>
    <row r="52" spans="1:19" ht="17.100000000000001" customHeight="1" x14ac:dyDescent="0.2">
      <c r="A52" s="153" t="s">
        <v>162</v>
      </c>
      <c r="B52" s="393">
        <f>SUBTOTAL(9,B12:B49)</f>
        <v>1894479.8299999998</v>
      </c>
      <c r="C52" s="398">
        <f>SUBTOTAL(9,C12:C49)</f>
        <v>861164.27656324382</v>
      </c>
      <c r="D52" s="399">
        <f>SUBTOTAL(9,D12:D49)</f>
        <v>623389</v>
      </c>
      <c r="E52" s="400">
        <f>SUBTOTAL(9,E12:E49)</f>
        <v>237775.27656324388</v>
      </c>
      <c r="F52" s="369"/>
      <c r="G52" s="204"/>
      <c r="H52" s="32"/>
      <c r="I52" s="204"/>
      <c r="J52" s="32"/>
      <c r="K52" s="32"/>
      <c r="L52" s="32"/>
    </row>
    <row r="53" spans="1:19" ht="12.95" customHeight="1" x14ac:dyDescent="0.2">
      <c r="A53" s="204"/>
      <c r="B53" s="351"/>
      <c r="C53" s="373"/>
      <c r="D53" s="373"/>
      <c r="E53" s="373"/>
      <c r="F53" s="358"/>
      <c r="G53" s="32"/>
      <c r="I53" s="32"/>
      <c r="J53" s="32"/>
      <c r="K53" s="32"/>
      <c r="L53" s="32"/>
    </row>
    <row r="54" spans="1:19" ht="14.1" customHeight="1" x14ac:dyDescent="0.2"/>
    <row r="55" spans="1:19" ht="12.95" customHeight="1" x14ac:dyDescent="0.2"/>
    <row r="56" spans="1:19" ht="13.5" customHeight="1" x14ac:dyDescent="0.2"/>
    <row r="57" spans="1:19" ht="13.5" customHeight="1" outlineLevel="2" x14ac:dyDescent="0.2">
      <c r="A57" s="34" t="s">
        <v>140</v>
      </c>
      <c r="D57" s="7"/>
      <c r="I57" s="388" t="s">
        <v>78</v>
      </c>
      <c r="J57" s="391"/>
      <c r="K57" s="32"/>
    </row>
    <row r="58" spans="1:19" ht="13.5" customHeight="1" outlineLevel="2" x14ac:dyDescent="0.2">
      <c r="D58" s="7"/>
      <c r="I58" s="389" t="s">
        <v>29</v>
      </c>
      <c r="J58" s="392">
        <f>+J3</f>
        <v>2.15</v>
      </c>
      <c r="K58" s="407">
        <f ca="1">NOW()</f>
        <v>41885.689525347225</v>
      </c>
    </row>
    <row r="59" spans="1:19" ht="13.5" customHeight="1" outlineLevel="2" x14ac:dyDescent="0.2">
      <c r="A59" s="34" t="s">
        <v>145</v>
      </c>
      <c r="C59" s="34" t="s">
        <v>5</v>
      </c>
      <c r="D59" s="7"/>
      <c r="I59" s="390" t="s">
        <v>30</v>
      </c>
      <c r="J59" s="392">
        <f>+J4</f>
        <v>2.2000000000000002</v>
      </c>
      <c r="K59" s="32"/>
    </row>
    <row r="60" spans="1:19" ht="13.5" customHeight="1" outlineLevel="1" x14ac:dyDescent="0.2">
      <c r="D60" s="7"/>
      <c r="I60" s="389" t="s">
        <v>117</v>
      </c>
      <c r="J60" s="392">
        <f>+J5</f>
        <v>2.2200000000000002</v>
      </c>
      <c r="K60" s="32"/>
    </row>
    <row r="61" spans="1:19" ht="13.5" customHeight="1" outlineLevel="2" x14ac:dyDescent="0.2"/>
    <row r="62" spans="1:19" ht="13.5" customHeight="1" outlineLevel="2" x14ac:dyDescent="0.2">
      <c r="A62" s="405" t="s">
        <v>164</v>
      </c>
      <c r="B62" s="406"/>
      <c r="E62" s="12" t="s">
        <v>197</v>
      </c>
    </row>
    <row r="63" spans="1:19" ht="13.5" customHeight="1" outlineLevel="2" x14ac:dyDescent="0.2">
      <c r="A63" s="32"/>
      <c r="B63" s="408" t="s">
        <v>188</v>
      </c>
      <c r="C63" s="408" t="s">
        <v>195</v>
      </c>
      <c r="D63" s="408" t="s">
        <v>192</v>
      </c>
      <c r="E63" s="12" t="s">
        <v>198</v>
      </c>
      <c r="F63" s="2" t="s">
        <v>148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A64" s="371" t="s">
        <v>89</v>
      </c>
      <c r="B64" s="404" t="s">
        <v>0</v>
      </c>
      <c r="C64" s="383" t="s">
        <v>166</v>
      </c>
      <c r="D64" s="39" t="s">
        <v>196</v>
      </c>
      <c r="E64" s="39" t="s">
        <v>199</v>
      </c>
      <c r="F64" s="39" t="s">
        <v>146</v>
      </c>
      <c r="G64" s="395" t="s">
        <v>151</v>
      </c>
      <c r="H64" s="372" t="s">
        <v>101</v>
      </c>
      <c r="I64" s="371" t="s">
        <v>98</v>
      </c>
      <c r="J64" s="32"/>
      <c r="K64" s="32"/>
      <c r="L64" s="32"/>
      <c r="N64" s="32"/>
      <c r="O64" s="32"/>
      <c r="P64" s="32"/>
      <c r="Q64" s="32"/>
      <c r="R64" s="32"/>
      <c r="S64" s="32"/>
    </row>
    <row r="65" spans="1:11" ht="13.5" customHeight="1" outlineLevel="2" x14ac:dyDescent="0.2">
      <c r="B65" s="286"/>
      <c r="C65" s="247"/>
    </row>
    <row r="66" spans="1:11" ht="13.5" customHeight="1" outlineLevel="1" x14ac:dyDescent="0.2">
      <c r="A66" s="371" t="s">
        <v>155</v>
      </c>
      <c r="B66" s="286"/>
      <c r="C66" s="247"/>
      <c r="G66" s="203"/>
    </row>
    <row r="67" spans="1:11" ht="13.5" customHeight="1" outlineLevel="2" x14ac:dyDescent="0.2">
      <c r="A67" s="248" t="s">
        <v>94</v>
      </c>
      <c r="B67" s="517">
        <f>+Mojave!D40</f>
        <v>191294</v>
      </c>
      <c r="C67" s="351">
        <f>+B67*$J$4</f>
        <v>420846.80000000005</v>
      </c>
      <c r="D67" s="47">
        <f>+Mojave!D47</f>
        <v>209649.2</v>
      </c>
      <c r="E67" s="47">
        <f>+C67-D67</f>
        <v>211197.60000000003</v>
      </c>
      <c r="F67" s="370">
        <f>+Mojave!A40</f>
        <v>37263</v>
      </c>
      <c r="G67" s="203" t="s">
        <v>154</v>
      </c>
      <c r="H67" s="32" t="s">
        <v>100</v>
      </c>
      <c r="I67" s="32" t="s">
        <v>169</v>
      </c>
      <c r="J67" s="32"/>
      <c r="K67" s="32"/>
    </row>
    <row r="68" spans="1:11" ht="15" customHeight="1" outlineLevel="2" x14ac:dyDescent="0.2">
      <c r="A68" s="248" t="s">
        <v>32</v>
      </c>
      <c r="B68" s="374">
        <f>+SoCal!F40</f>
        <v>74015</v>
      </c>
      <c r="C68" s="351">
        <f>+B68*$J$4</f>
        <v>162833</v>
      </c>
      <c r="D68" s="47">
        <f>+SoCal!D47</f>
        <v>265026</v>
      </c>
      <c r="E68" s="47">
        <f>+C68-D68</f>
        <v>-102193</v>
      </c>
      <c r="F68" s="370">
        <f>+SoCal!A40</f>
        <v>37266</v>
      </c>
      <c r="G68" s="203" t="s">
        <v>153</v>
      </c>
      <c r="H68" s="32" t="s">
        <v>102</v>
      </c>
      <c r="I68" s="32"/>
      <c r="J68" s="32"/>
      <c r="K68" s="32"/>
    </row>
    <row r="69" spans="1:11" ht="15" customHeight="1" outlineLevel="2" x14ac:dyDescent="0.2">
      <c r="A69" s="248" t="s">
        <v>178</v>
      </c>
      <c r="B69" s="373">
        <f>+'El Paso'!C39</f>
        <v>64269</v>
      </c>
      <c r="C69" s="351">
        <f>+B69*$J$4</f>
        <v>141391.80000000002</v>
      </c>
      <c r="D69" s="47">
        <f>+'El Paso'!C46</f>
        <v>-1582961.01</v>
      </c>
      <c r="E69" s="47">
        <f>+C69-D69</f>
        <v>1724352.81</v>
      </c>
      <c r="F69" s="370">
        <f>+'El Paso'!A39</f>
        <v>37265</v>
      </c>
      <c r="G69" s="425" t="s">
        <v>154</v>
      </c>
      <c r="H69" s="32" t="s">
        <v>100</v>
      </c>
      <c r="I69" s="32" t="s">
        <v>170</v>
      </c>
      <c r="J69" s="32"/>
      <c r="K69" s="32"/>
    </row>
    <row r="70" spans="1:11" ht="15" customHeight="1" outlineLevel="1" x14ac:dyDescent="0.2">
      <c r="A70" s="248" t="s">
        <v>114</v>
      </c>
      <c r="B70" s="375">
        <f>+'PG&amp;E'!D40</f>
        <v>9801</v>
      </c>
      <c r="C70" s="354">
        <f>+B70*$J$4</f>
        <v>21562.2</v>
      </c>
      <c r="D70" s="354">
        <f>+'PG&amp;E'!D47</f>
        <v>-188937.15000000002</v>
      </c>
      <c r="E70" s="354">
        <f>+C70-D70</f>
        <v>210499.35000000003</v>
      </c>
      <c r="F70" s="370">
        <f>+'PG&amp;E'!A40</f>
        <v>37266</v>
      </c>
      <c r="G70" s="203" t="s">
        <v>154</v>
      </c>
      <c r="H70" s="32" t="s">
        <v>102</v>
      </c>
      <c r="I70" s="32"/>
      <c r="J70" s="32"/>
      <c r="K70" s="32"/>
    </row>
    <row r="71" spans="1:11" ht="15" customHeight="1" x14ac:dyDescent="0.2">
      <c r="A71" s="2" t="s">
        <v>156</v>
      </c>
      <c r="B71" s="398">
        <f>SUBTOTAL(9,B67:B70)</f>
        <v>339379</v>
      </c>
      <c r="C71" s="393">
        <f>SUBTOTAL(9,C67:C70)</f>
        <v>746633.8</v>
      </c>
      <c r="D71" s="393">
        <f>SUBTOTAL(9,D67:D70)</f>
        <v>-1297222.96</v>
      </c>
      <c r="E71" s="393">
        <f>SUBTOTAL(9,E67:E70)</f>
        <v>2043856.7600000002</v>
      </c>
      <c r="F71" s="370"/>
      <c r="G71" s="203"/>
      <c r="H71" s="32"/>
      <c r="I71" s="32"/>
      <c r="J71" s="32"/>
      <c r="K71" s="32"/>
    </row>
    <row r="72" spans="1:11" ht="12.95" customHeight="1" x14ac:dyDescent="0.2">
      <c r="B72" s="286"/>
      <c r="C72" s="247"/>
      <c r="G72" s="203"/>
    </row>
    <row r="73" spans="1:11" ht="15" customHeight="1" x14ac:dyDescent="0.2">
      <c r="A73" s="371" t="s">
        <v>57</v>
      </c>
      <c r="B73" s="286"/>
      <c r="C73" s="247"/>
      <c r="G73" s="203"/>
    </row>
    <row r="74" spans="1:11" x14ac:dyDescent="0.2">
      <c r="A74" s="248" t="s">
        <v>23</v>
      </c>
      <c r="B74" s="373">
        <f>+'Red C'!F45</f>
        <v>23496</v>
      </c>
      <c r="C74" s="352">
        <f>+B74*J58</f>
        <v>50516.4</v>
      </c>
      <c r="D74" s="200">
        <f>+'Red C'!D52</f>
        <v>420105.5</v>
      </c>
      <c r="E74" s="47">
        <f>+C74-D74</f>
        <v>-369589.1</v>
      </c>
      <c r="F74" s="369">
        <f>+'Red C'!A45</f>
        <v>37266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315</v>
      </c>
      <c r="B75" s="373">
        <f>+Amoco!D40</f>
        <v>9945</v>
      </c>
      <c r="C75" s="351">
        <f>+B75*$J$3</f>
        <v>21381.75</v>
      </c>
      <c r="D75" s="47">
        <f>+Amoco!D47</f>
        <v>358915.25</v>
      </c>
      <c r="E75" s="47">
        <f>+C75-D75</f>
        <v>-337533.5</v>
      </c>
      <c r="F75" s="370">
        <f>+Amoco!A40</f>
        <v>37265</v>
      </c>
      <c r="G75" s="203" t="s">
        <v>153</v>
      </c>
      <c r="H75" s="32" t="s">
        <v>115</v>
      </c>
      <c r="I75" s="32"/>
      <c r="J75" s="32"/>
      <c r="K75" s="32"/>
    </row>
    <row r="76" spans="1:11" x14ac:dyDescent="0.2">
      <c r="A76" s="248" t="s">
        <v>179</v>
      </c>
      <c r="B76" s="373">
        <f>+'El Paso'!E39</f>
        <v>-18035</v>
      </c>
      <c r="C76" s="351">
        <f>+B76*$J$3</f>
        <v>-38775.25</v>
      </c>
      <c r="D76" s="47">
        <f>+'El Paso'!F46</f>
        <v>-657254.01</v>
      </c>
      <c r="E76" s="47">
        <f>+C76-D76</f>
        <v>618478.76</v>
      </c>
      <c r="F76" s="370">
        <f>+'El Paso'!A39</f>
        <v>37265</v>
      </c>
      <c r="G76" s="425" t="s">
        <v>154</v>
      </c>
      <c r="H76" s="32" t="s">
        <v>100</v>
      </c>
      <c r="I76" s="32"/>
      <c r="J76" s="32"/>
      <c r="K76" s="32"/>
    </row>
    <row r="77" spans="1:11" x14ac:dyDescent="0.2">
      <c r="A77" s="248" t="s">
        <v>1</v>
      </c>
      <c r="B77" s="375">
        <f>+NW!$F$41</f>
        <v>-29085</v>
      </c>
      <c r="C77" s="354">
        <f>+B77*$J$3</f>
        <v>-62532.75</v>
      </c>
      <c r="D77" s="354">
        <f>+NW!E49</f>
        <v>-522004.4</v>
      </c>
      <c r="E77" s="354">
        <f>+C77-D77</f>
        <v>459471.65</v>
      </c>
      <c r="F77" s="369">
        <f>+NW!B41</f>
        <v>37265</v>
      </c>
      <c r="G77" s="203" t="s">
        <v>153</v>
      </c>
      <c r="H77" s="32" t="s">
        <v>115</v>
      </c>
      <c r="I77" s="32"/>
      <c r="J77" s="32"/>
      <c r="K77" s="32"/>
    </row>
    <row r="78" spans="1:11" x14ac:dyDescent="0.2">
      <c r="A78" s="32" t="s">
        <v>157</v>
      </c>
      <c r="B78" s="398">
        <f>SUBTOTAL(9,B74:B77)</f>
        <v>-13679</v>
      </c>
      <c r="C78" s="393">
        <f>SUBTOTAL(9,C74:C77)</f>
        <v>-29409.850000000006</v>
      </c>
      <c r="D78" s="393">
        <f>SUBTOTAL(9,D74:D77)</f>
        <v>-400237.66000000003</v>
      </c>
      <c r="E78" s="393">
        <f>SUBTOTAL(9,E74:E77)</f>
        <v>370827.81000000006</v>
      </c>
      <c r="F78" s="369"/>
      <c r="G78" s="203"/>
      <c r="H78" s="32"/>
      <c r="I78" s="32"/>
      <c r="J78" s="32"/>
      <c r="K78" s="32"/>
    </row>
    <row r="79" spans="1:11" x14ac:dyDescent="0.2">
      <c r="B79" s="286"/>
      <c r="C79" s="247"/>
      <c r="G79" s="203"/>
    </row>
    <row r="80" spans="1:11" x14ac:dyDescent="0.2">
      <c r="A80" s="371" t="s">
        <v>159</v>
      </c>
      <c r="B80" s="286"/>
      <c r="C80" s="247"/>
      <c r="G80" s="203"/>
    </row>
    <row r="81" spans="1:12" x14ac:dyDescent="0.2">
      <c r="A81" s="248" t="s">
        <v>88</v>
      </c>
      <c r="B81" s="373">
        <f>+NGPL!F38</f>
        <v>131609</v>
      </c>
      <c r="C81" s="486">
        <f>+B81*$J$5</f>
        <v>292171.98000000004</v>
      </c>
      <c r="D81" s="47">
        <f>+NGPL!D45</f>
        <v>330473.8</v>
      </c>
      <c r="E81" s="47">
        <f>+C81-D81</f>
        <v>-38301.819999999949</v>
      </c>
      <c r="F81" s="370">
        <f>+NGPL!A38</f>
        <v>37264</v>
      </c>
      <c r="G81" s="203" t="s">
        <v>153</v>
      </c>
      <c r="H81" s="32" t="s">
        <v>115</v>
      </c>
      <c r="I81" s="32"/>
      <c r="J81" s="32"/>
      <c r="K81" s="32"/>
    </row>
    <row r="82" spans="1:12" x14ac:dyDescent="0.2">
      <c r="A82" s="248" t="s">
        <v>142</v>
      </c>
      <c r="B82" s="373">
        <f>+PEPL!D41</f>
        <v>-11012</v>
      </c>
      <c r="C82" s="487">
        <f>+B82*$J$4</f>
        <v>-24226.400000000001</v>
      </c>
      <c r="D82" s="47">
        <f>+PEPL!D47</f>
        <v>157165.20000000001</v>
      </c>
      <c r="E82" s="47">
        <f>+C82-D82</f>
        <v>-181391.6</v>
      </c>
      <c r="F82" s="370">
        <f>+PEPL!A41</f>
        <v>37264</v>
      </c>
      <c r="G82" s="32" t="s">
        <v>328</v>
      </c>
      <c r="H82" s="32" t="s">
        <v>100</v>
      </c>
      <c r="I82" s="32" t="s">
        <v>141</v>
      </c>
      <c r="J82" s="32"/>
      <c r="K82" s="32"/>
    </row>
    <row r="83" spans="1:12" ht="13.5" customHeight="1" outlineLevel="2" x14ac:dyDescent="0.2">
      <c r="A83" s="248" t="s">
        <v>110</v>
      </c>
      <c r="B83" s="206">
        <f>+CIG!D42</f>
        <v>16328</v>
      </c>
      <c r="C83" s="487">
        <f>+B83*$J$4</f>
        <v>35921.600000000006</v>
      </c>
      <c r="D83" s="200">
        <f>+CIG!D49</f>
        <v>383278</v>
      </c>
      <c r="E83" s="70">
        <f>+C83-D83</f>
        <v>-347356.4</v>
      </c>
      <c r="F83" s="370">
        <f>+CIG!A42</f>
        <v>37263</v>
      </c>
      <c r="G83" s="203" t="s">
        <v>154</v>
      </c>
      <c r="H83" s="32" t="s">
        <v>113</v>
      </c>
      <c r="I83" s="32" t="s">
        <v>180</v>
      </c>
      <c r="J83" s="32"/>
      <c r="K83" s="32"/>
    </row>
    <row r="84" spans="1:12" x14ac:dyDescent="0.2">
      <c r="A84" s="248" t="s">
        <v>31</v>
      </c>
      <c r="B84" s="377">
        <f>+Lonestar!F43</f>
        <v>21600.74</v>
      </c>
      <c r="C84" s="505">
        <f>+B84*J60</f>
        <v>47953.642800000009</v>
      </c>
      <c r="D84" s="354">
        <f>+Lonestar!D50</f>
        <v>25310.240000000002</v>
      </c>
      <c r="E84" s="354">
        <f>+C84-D84</f>
        <v>22643.402800000007</v>
      </c>
      <c r="F84" s="369">
        <f>+Lonestar!A43</f>
        <v>37265</v>
      </c>
      <c r="G84" s="32" t="s">
        <v>328</v>
      </c>
      <c r="H84" s="32" t="s">
        <v>102</v>
      </c>
      <c r="I84" s="32"/>
      <c r="J84" s="32"/>
      <c r="K84" s="32"/>
    </row>
    <row r="85" spans="1:12" x14ac:dyDescent="0.2">
      <c r="A85" s="2" t="s">
        <v>160</v>
      </c>
      <c r="B85" s="394">
        <f>SUBTOTAL(9,B81:B84)</f>
        <v>158525.74</v>
      </c>
      <c r="C85" s="393">
        <f>SUBTOTAL(9,C81:C84)</f>
        <v>351820.82280000008</v>
      </c>
      <c r="D85" s="393">
        <f>SUBTOTAL(9,D81:D84)</f>
        <v>896227.24</v>
      </c>
      <c r="E85" s="393">
        <f>SUBTOTAL(9,E81:E84)</f>
        <v>-544406.41719999991</v>
      </c>
      <c r="F85" s="369"/>
      <c r="H85" s="32"/>
      <c r="I85" s="32"/>
      <c r="J85" s="32"/>
      <c r="K85" s="32"/>
    </row>
    <row r="86" spans="1:12" x14ac:dyDescent="0.2">
      <c r="B86" s="286"/>
      <c r="C86" s="247"/>
    </row>
    <row r="87" spans="1:12" x14ac:dyDescent="0.2">
      <c r="A87" s="2" t="s">
        <v>165</v>
      </c>
      <c r="B87" s="394">
        <f>SUBTOTAL(9,B67:B84)</f>
        <v>484225.74</v>
      </c>
      <c r="C87" s="393">
        <f>SUBTOTAL(9,C67:C84)</f>
        <v>1069044.7728000002</v>
      </c>
      <c r="D87" s="393">
        <f>SUBTOTAL(9,D67:D84)</f>
        <v>-801233.38000000012</v>
      </c>
      <c r="E87" s="393">
        <f>SUBTOTAL(9,E67:E84)</f>
        <v>1870278.1528000005</v>
      </c>
      <c r="F87" s="369"/>
      <c r="H87" s="32"/>
      <c r="I87" s="32"/>
      <c r="J87" s="32"/>
      <c r="K87" s="32"/>
    </row>
    <row r="88" spans="1:12" x14ac:dyDescent="0.2">
      <c r="A88" s="32"/>
      <c r="B88" s="351"/>
      <c r="C88" s="374"/>
      <c r="D88" s="351"/>
      <c r="E88" s="351"/>
      <c r="F88" s="369"/>
      <c r="H88" s="32"/>
      <c r="I88" s="32"/>
      <c r="J88" s="32"/>
      <c r="K88" s="32"/>
    </row>
    <row r="89" spans="1:12" x14ac:dyDescent="0.2">
      <c r="A89" s="32"/>
      <c r="B89" s="354"/>
      <c r="C89" s="373"/>
      <c r="D89" s="293"/>
      <c r="E89" s="293"/>
      <c r="F89" s="369"/>
      <c r="G89" s="32"/>
      <c r="I89" s="32"/>
      <c r="J89" s="32"/>
      <c r="K89" s="32"/>
      <c r="L89" s="32"/>
    </row>
    <row r="90" spans="1:12" ht="13.5" thickBot="1" x14ac:dyDescent="0.25">
      <c r="A90" s="2" t="s">
        <v>167</v>
      </c>
      <c r="B90" s="401">
        <f>+C87+B52</f>
        <v>2963524.6028</v>
      </c>
      <c r="C90" s="206"/>
      <c r="D90" s="351"/>
      <c r="E90" s="351"/>
      <c r="F90" s="358"/>
      <c r="H90" s="32"/>
      <c r="I90" s="32"/>
      <c r="J90" s="32"/>
      <c r="K90" s="32"/>
    </row>
    <row r="91" spans="1:12" ht="13.5" thickTop="1" x14ac:dyDescent="0.2">
      <c r="A91" s="2" t="s">
        <v>168</v>
      </c>
      <c r="B91" s="14">
        <f>+B87+C52</f>
        <v>1345390.0165632437</v>
      </c>
      <c r="C91" s="376"/>
      <c r="D91" s="427"/>
      <c r="E91" s="293"/>
      <c r="F91" s="358"/>
      <c r="G91" s="32"/>
      <c r="H91" s="32"/>
      <c r="I91" s="32"/>
      <c r="J91" s="32"/>
    </row>
    <row r="92" spans="1:12" x14ac:dyDescent="0.2">
      <c r="A92" s="32"/>
      <c r="B92" s="47"/>
      <c r="C92" s="378"/>
      <c r="D92" s="293"/>
      <c r="E92" s="293"/>
      <c r="F92" s="204"/>
      <c r="G92" s="32"/>
      <c r="H92" s="32"/>
      <c r="I92" s="32"/>
      <c r="J92" s="32"/>
    </row>
    <row r="93" spans="1:12" x14ac:dyDescent="0.2">
      <c r="A93" s="32"/>
      <c r="B93" s="47"/>
      <c r="C93" s="69"/>
      <c r="E93" s="32"/>
      <c r="F93" s="32"/>
      <c r="G93" s="32"/>
      <c r="H93" s="32"/>
      <c r="I93" s="32"/>
    </row>
    <row r="94" spans="1:12" x14ac:dyDescent="0.2">
      <c r="A94" s="32"/>
      <c r="B94" s="47"/>
      <c r="C94" s="69"/>
      <c r="D94" s="32"/>
      <c r="E94" s="32"/>
      <c r="F94" s="32"/>
      <c r="G94" s="32"/>
      <c r="H94" s="32"/>
    </row>
    <row r="95" spans="1:12" x14ac:dyDescent="0.2">
      <c r="A95" s="32"/>
      <c r="B95" s="200"/>
      <c r="C95" s="294"/>
      <c r="D95" s="16"/>
      <c r="E95" s="32"/>
      <c r="F95" s="32"/>
      <c r="G95" s="32"/>
      <c r="H95" s="32"/>
    </row>
    <row r="101" spans="1:8" x14ac:dyDescent="0.2">
      <c r="A101" s="32"/>
      <c r="B101" s="200"/>
      <c r="C101" s="69"/>
      <c r="D101" s="70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200"/>
      <c r="C104" s="14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32"/>
      <c r="E106" s="32"/>
      <c r="F106" s="32"/>
      <c r="G106" s="32"/>
      <c r="H106" s="32"/>
    </row>
    <row r="107" spans="1:8" x14ac:dyDescent="0.2">
      <c r="A107" s="32"/>
      <c r="B107" s="200"/>
      <c r="C107" s="367"/>
      <c r="D107" s="32"/>
      <c r="E107" s="32"/>
      <c r="F107" s="32"/>
      <c r="G107" s="32"/>
      <c r="H107" s="32"/>
    </row>
    <row r="108" spans="1:8" x14ac:dyDescent="0.2">
      <c r="A108" s="32"/>
      <c r="B108" s="47"/>
      <c r="C108" s="69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>
        <v>300</v>
      </c>
      <c r="B127" s="47"/>
      <c r="D127" s="32"/>
      <c r="E127" s="32"/>
      <c r="F127" s="32"/>
      <c r="G127" s="32"/>
      <c r="H127" s="32"/>
    </row>
    <row r="128" spans="1:8" x14ac:dyDescent="0.2">
      <c r="A128" s="32">
        <v>35</v>
      </c>
      <c r="B128" s="47"/>
      <c r="D128" s="32"/>
      <c r="E128" s="32"/>
      <c r="F128" s="32"/>
      <c r="G128" s="32"/>
      <c r="H128" s="32"/>
    </row>
    <row r="129" spans="1:8" x14ac:dyDescent="0.2">
      <c r="A129" s="32">
        <f>+A128*A127</f>
        <v>10500</v>
      </c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5" workbookViewId="0">
      <selection activeCell="C34" sqref="C34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7" t="s">
        <v>10</v>
      </c>
      <c r="B5" s="434" t="s">
        <v>19</v>
      </c>
      <c r="C5" s="434" t="s">
        <v>20</v>
      </c>
      <c r="D5" s="434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5">
        <v>1</v>
      </c>
      <c r="B6" s="416">
        <v>152595</v>
      </c>
      <c r="C6" s="416">
        <v>150415</v>
      </c>
      <c r="D6" s="310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5">
        <v>2</v>
      </c>
      <c r="B7" s="442">
        <v>151711</v>
      </c>
      <c r="C7" s="416">
        <v>150642</v>
      </c>
      <c r="D7" s="310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5">
        <v>3</v>
      </c>
      <c r="B8" s="442">
        <v>130476</v>
      </c>
      <c r="C8" s="416">
        <v>128588</v>
      </c>
      <c r="D8" s="310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5">
        <v>4</v>
      </c>
      <c r="B9" s="442">
        <v>157869</v>
      </c>
      <c r="C9" s="416">
        <v>157685</v>
      </c>
      <c r="D9" s="310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5">
        <v>5</v>
      </c>
      <c r="B10" s="442">
        <v>153621</v>
      </c>
      <c r="C10" s="416">
        <v>153806</v>
      </c>
      <c r="D10" s="310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5">
        <v>6</v>
      </c>
      <c r="B11" s="442">
        <v>157371</v>
      </c>
      <c r="C11" s="416">
        <v>156381</v>
      </c>
      <c r="D11" s="310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5">
        <v>7</v>
      </c>
      <c r="B12" s="442">
        <v>161938</v>
      </c>
      <c r="C12" s="416">
        <v>164999</v>
      </c>
      <c r="D12" s="310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5">
        <v>8</v>
      </c>
      <c r="B13" s="563">
        <v>162302</v>
      </c>
      <c r="C13" s="416">
        <v>164696</v>
      </c>
      <c r="D13" s="310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5">
        <v>9</v>
      </c>
      <c r="B14" s="416">
        <v>107614</v>
      </c>
      <c r="C14" s="416">
        <v>148440</v>
      </c>
      <c r="D14" s="310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5">
        <v>10</v>
      </c>
      <c r="B15" s="416"/>
      <c r="C15" s="416"/>
      <c r="D15" s="310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5">
        <v>11</v>
      </c>
      <c r="B16" s="416"/>
      <c r="C16" s="416"/>
      <c r="D16" s="310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5">
        <v>12</v>
      </c>
      <c r="B17" s="416"/>
      <c r="C17" s="416"/>
      <c r="D17" s="310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5">
        <v>13</v>
      </c>
      <c r="B18" s="416"/>
      <c r="C18" s="416"/>
      <c r="D18" s="310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5">
        <v>14</v>
      </c>
      <c r="B19" s="416"/>
      <c r="C19" s="416"/>
      <c r="D19" s="310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5">
        <v>15</v>
      </c>
      <c r="B20" s="416"/>
      <c r="C20" s="416"/>
      <c r="D20" s="310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5">
        <v>16</v>
      </c>
      <c r="B21" s="416"/>
      <c r="C21" s="416"/>
      <c r="D21" s="310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5">
        <v>17</v>
      </c>
      <c r="B22" s="442"/>
      <c r="C22" s="416"/>
      <c r="D22" s="310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5">
        <v>18</v>
      </c>
      <c r="B23" s="442"/>
      <c r="C23" s="416"/>
      <c r="D23" s="310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5">
        <v>19</v>
      </c>
      <c r="B24" s="442"/>
      <c r="C24" s="442"/>
      <c r="D24" s="49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5">
        <v>20</v>
      </c>
      <c r="B25" s="442"/>
      <c r="C25" s="442"/>
      <c r="D25" s="49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5">
        <v>21</v>
      </c>
      <c r="B26" s="442"/>
      <c r="C26" s="442"/>
      <c r="D26" s="49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5">
        <v>22</v>
      </c>
      <c r="B27" s="442"/>
      <c r="C27" s="442"/>
      <c r="D27" s="49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5">
        <v>23</v>
      </c>
      <c r="B28" s="442"/>
      <c r="C28" s="442"/>
      <c r="D28" s="49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5">
        <v>24</v>
      </c>
      <c r="B29" s="442"/>
      <c r="C29" s="442"/>
      <c r="D29" s="49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5">
        <v>25</v>
      </c>
      <c r="B30" s="442"/>
      <c r="C30" s="442"/>
      <c r="D30" s="49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5">
        <v>26</v>
      </c>
      <c r="B31" s="416"/>
      <c r="C31" s="416"/>
      <c r="D31" s="310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5">
        <v>27</v>
      </c>
      <c r="B32" s="416"/>
      <c r="C32" s="416"/>
      <c r="D32" s="310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5">
        <v>28</v>
      </c>
      <c r="B33" s="416"/>
      <c r="C33" s="416"/>
      <c r="D33" s="310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5">
        <v>29</v>
      </c>
      <c r="B34" s="416"/>
      <c r="C34" s="416"/>
      <c r="D34" s="310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5">
        <v>30</v>
      </c>
      <c r="B35" s="416"/>
      <c r="C35" s="416"/>
      <c r="D35" s="310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5">
        <v>31</v>
      </c>
      <c r="B36" s="416"/>
      <c r="C36" s="416"/>
      <c r="D36" s="310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5"/>
      <c r="B37" s="416">
        <f>SUM(B6:B36)</f>
        <v>1335497</v>
      </c>
      <c r="C37" s="416">
        <f>SUM(C6:C36)</f>
        <v>1375652</v>
      </c>
      <c r="D37" s="416">
        <f>SUM(D6:D36)</f>
        <v>40155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6"/>
      <c r="B38" s="285"/>
      <c r="C38" s="437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40"/>
      <c r="D39" s="497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37265</v>
      </c>
      <c r="B40" s="285"/>
      <c r="C40" s="441"/>
      <c r="D40" s="310">
        <f>+D39+D37</f>
        <v>9945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8">
        <v>272582</v>
      </c>
      <c r="H45">
        <v>12</v>
      </c>
    </row>
    <row r="46" spans="1:16" x14ac:dyDescent="0.2">
      <c r="A46" s="49">
        <f>+A40</f>
        <v>37265</v>
      </c>
      <c r="B46" s="32"/>
      <c r="C46" s="32"/>
      <c r="D46" s="380">
        <f>+D37*'by type_area'!J3</f>
        <v>86333.25</v>
      </c>
      <c r="H46">
        <v>500</v>
      </c>
    </row>
    <row r="47" spans="1:16" x14ac:dyDescent="0.2">
      <c r="A47" s="32"/>
      <c r="B47" s="32"/>
      <c r="C47" s="32"/>
      <c r="D47" s="200">
        <f>+D46+D45</f>
        <v>358915.25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C36" sqref="C36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/>
      <c r="C14" s="24"/>
      <c r="D14" s="24">
        <f t="shared" si="0"/>
        <v>0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3"/>
      <c r="W34" s="293"/>
      <c r="X34" s="293"/>
      <c r="Y34" s="293"/>
      <c r="Z34" s="149"/>
      <c r="AA34" s="150"/>
      <c r="AB34" s="150"/>
      <c r="AC34" s="150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293"/>
      <c r="AO34" s="293"/>
      <c r="AP34" s="293"/>
      <c r="AQ34" s="293"/>
      <c r="AR34" s="293"/>
      <c r="AS34" s="293"/>
      <c r="AT34" s="293"/>
      <c r="AU34" s="293"/>
      <c r="AV34" s="293"/>
      <c r="AW34" s="293"/>
      <c r="AX34" s="293"/>
      <c r="AY34" s="293"/>
      <c r="AZ34" s="293"/>
      <c r="BA34" s="293"/>
      <c r="BB34" s="293"/>
      <c r="BC34" s="293"/>
      <c r="BD34" s="293"/>
      <c r="BE34" s="293"/>
      <c r="BF34" s="293"/>
      <c r="BG34" s="293"/>
      <c r="BH34" s="293"/>
      <c r="BI34" s="293"/>
      <c r="BJ34" s="293"/>
      <c r="BK34" s="293"/>
      <c r="BL34" s="293"/>
      <c r="BM34" s="293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3"/>
      <c r="W35" s="293"/>
      <c r="X35" s="293"/>
      <c r="Y35" s="293"/>
      <c r="Z35" s="149"/>
      <c r="AA35" s="150"/>
      <c r="AB35" s="150"/>
      <c r="AC35" s="150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3"/>
      <c r="AV35" s="293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3"/>
    </row>
    <row r="36" spans="1:65" ht="14.1" customHeight="1" x14ac:dyDescent="0.2">
      <c r="A36" s="12"/>
      <c r="B36" s="24">
        <f>SUM(B5:B35)</f>
        <v>-589569</v>
      </c>
      <c r="C36" s="24">
        <f>SUM(C5:C35)</f>
        <v>-587810</v>
      </c>
      <c r="D36" s="24">
        <f t="shared" si="0"/>
        <v>1759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3"/>
      <c r="W36" s="293"/>
      <c r="X36" s="293"/>
      <c r="Y36" s="293"/>
      <c r="Z36" s="149"/>
      <c r="AA36" s="150"/>
      <c r="AB36" s="150"/>
      <c r="AC36" s="150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3"/>
      <c r="AV36" s="293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3"/>
    </row>
    <row r="37" spans="1:65" ht="14.1" customHeight="1" x14ac:dyDescent="0.2">
      <c r="A37" s="26"/>
      <c r="B37"/>
      <c r="C37" s="14"/>
      <c r="D37" s="329">
        <f>+summary!I5</f>
        <v>2.2200000000000002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3"/>
      <c r="W37" s="293"/>
      <c r="X37" s="293"/>
      <c r="Y37" s="293"/>
      <c r="Z37" s="204"/>
      <c r="AA37" s="206"/>
      <c r="AB37" s="206"/>
      <c r="AC37" s="206"/>
      <c r="AD37" s="293"/>
      <c r="AE37" s="293"/>
      <c r="AF37" s="293"/>
      <c r="AG37" s="293"/>
      <c r="AH37" s="293"/>
      <c r="AI37" s="293"/>
      <c r="AJ37" s="293"/>
      <c r="AK37" s="293"/>
      <c r="AL37" s="293"/>
      <c r="AM37" s="293"/>
      <c r="AN37" s="293"/>
      <c r="AO37" s="293"/>
      <c r="AP37" s="293"/>
      <c r="AQ37" s="293"/>
      <c r="AR37" s="293"/>
      <c r="AS37" s="293"/>
      <c r="AT37" s="293"/>
      <c r="AU37" s="293"/>
      <c r="AV37" s="293"/>
      <c r="AW37" s="293"/>
      <c r="AX37" s="293"/>
      <c r="AY37" s="293"/>
      <c r="AZ37" s="293"/>
      <c r="BA37" s="293"/>
      <c r="BB37" s="293"/>
      <c r="BC37" s="293"/>
      <c r="BD37" s="293"/>
      <c r="BE37" s="293"/>
      <c r="BF37" s="293"/>
      <c r="BG37" s="293"/>
      <c r="BH37" s="293"/>
      <c r="BI37" s="293"/>
      <c r="BJ37" s="293"/>
      <c r="BK37" s="293"/>
      <c r="BL37" s="293"/>
      <c r="BM37" s="293"/>
    </row>
    <row r="38" spans="1:65" x14ac:dyDescent="0.2">
      <c r="B38"/>
      <c r="C38"/>
      <c r="D38" s="138">
        <f>+D37*D36</f>
        <v>3904.9800000000005</v>
      </c>
      <c r="G38" s="24"/>
      <c r="H38" s="24"/>
      <c r="I38" s="150"/>
      <c r="J38" s="293"/>
      <c r="K38" s="150"/>
      <c r="L38" s="150"/>
      <c r="M38" s="150"/>
      <c r="N38" s="293"/>
      <c r="O38" s="150"/>
      <c r="P38" s="150"/>
      <c r="Q38" s="150"/>
      <c r="R38" s="293"/>
      <c r="S38" s="150"/>
      <c r="T38" s="150"/>
      <c r="U38" s="150"/>
      <c r="V38" s="293"/>
      <c r="W38" s="293"/>
      <c r="X38" s="293"/>
      <c r="Y38" s="293"/>
      <c r="Z38" s="293"/>
      <c r="AA38" s="150"/>
      <c r="AB38" s="150"/>
      <c r="AC38" s="150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93"/>
      <c r="AO38" s="293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93"/>
      <c r="BB38" s="293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</row>
    <row r="39" spans="1:65" x14ac:dyDescent="0.2">
      <c r="A39" s="57">
        <v>37256</v>
      </c>
      <c r="B39"/>
      <c r="C39" s="15"/>
      <c r="D39" s="537">
        <v>-33241.410000000003</v>
      </c>
      <c r="G39" s="24"/>
      <c r="H39" s="24"/>
      <c r="I39" s="150"/>
      <c r="J39" s="293"/>
      <c r="K39" s="150"/>
      <c r="L39" s="150"/>
      <c r="M39" s="150"/>
      <c r="N39" s="293"/>
      <c r="O39" s="150"/>
      <c r="P39" s="150"/>
      <c r="Q39" s="150"/>
      <c r="R39" s="293"/>
      <c r="S39" s="150"/>
      <c r="T39" s="150"/>
      <c r="U39" s="150"/>
      <c r="V39" s="293"/>
      <c r="W39" s="293"/>
      <c r="X39" s="293"/>
      <c r="Y39" s="293"/>
      <c r="Z39" s="293"/>
      <c r="AA39" s="150"/>
      <c r="AB39" s="150"/>
      <c r="AC39" s="150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93"/>
      <c r="AO39" s="293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93"/>
      <c r="BB39" s="293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</row>
    <row r="40" spans="1:65" x14ac:dyDescent="0.2">
      <c r="A40" s="57">
        <v>37265</v>
      </c>
      <c r="B40"/>
      <c r="C40" s="48"/>
      <c r="D40" s="138">
        <f>+D39+D38</f>
        <v>-29336.430000000004</v>
      </c>
      <c r="G40" s="24"/>
      <c r="H40" s="24"/>
      <c r="I40" s="150"/>
      <c r="J40" s="293"/>
      <c r="K40" s="150"/>
      <c r="L40" s="150"/>
      <c r="M40" s="150"/>
      <c r="N40" s="293"/>
      <c r="O40" s="150"/>
      <c r="P40" s="150"/>
      <c r="Q40" s="169"/>
      <c r="R40" s="293"/>
      <c r="S40" s="150"/>
      <c r="T40" s="150"/>
      <c r="U40" s="169"/>
      <c r="V40" s="293"/>
      <c r="W40" s="293"/>
      <c r="X40" s="293"/>
      <c r="Y40" s="293"/>
      <c r="Z40" s="293"/>
      <c r="AA40" s="150"/>
      <c r="AB40" s="150"/>
      <c r="AC40" s="169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93"/>
      <c r="AO40" s="293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93"/>
      <c r="BB40" s="293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</row>
    <row r="41" spans="1:65" x14ac:dyDescent="0.2">
      <c r="B41"/>
      <c r="C41"/>
      <c r="D41" s="24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3"/>
      <c r="BL41" s="293"/>
      <c r="BM41" s="293"/>
    </row>
    <row r="42" spans="1:65" x14ac:dyDescent="0.2">
      <c r="B42"/>
      <c r="C42"/>
      <c r="D42"/>
      <c r="I42" s="293"/>
      <c r="J42" s="293"/>
      <c r="K42" s="293"/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3"/>
    </row>
    <row r="43" spans="1:65" x14ac:dyDescent="0.2">
      <c r="B43"/>
      <c r="C43"/>
      <c r="D43"/>
      <c r="I43" s="293"/>
      <c r="J43" s="293"/>
      <c r="K43" s="293"/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293"/>
      <c r="AO43" s="293"/>
      <c r="AP43" s="293"/>
      <c r="AQ43" s="293"/>
      <c r="AR43" s="293"/>
      <c r="AS43" s="293"/>
      <c r="AT43" s="293"/>
      <c r="AU43" s="293"/>
      <c r="AV43" s="293"/>
      <c r="AW43" s="293"/>
      <c r="AX43" s="293"/>
      <c r="AY43" s="293"/>
      <c r="AZ43" s="293"/>
      <c r="BA43" s="293"/>
      <c r="BB43" s="293"/>
      <c r="BC43" s="293"/>
      <c r="BD43" s="293"/>
      <c r="BE43" s="293"/>
      <c r="BF43" s="293"/>
      <c r="BG43" s="293"/>
      <c r="BH43" s="293"/>
      <c r="BI43" s="293"/>
      <c r="BJ43" s="293"/>
      <c r="BK43" s="293"/>
      <c r="BL43" s="293"/>
      <c r="BM43" s="293"/>
    </row>
    <row r="44" spans="1:65" x14ac:dyDescent="0.2">
      <c r="A44" s="32" t="s">
        <v>149</v>
      </c>
      <c r="B44" s="32"/>
      <c r="C44" s="32"/>
      <c r="D44" s="32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  <c r="AT44" s="293"/>
      <c r="AU44" s="293"/>
      <c r="AV44" s="293"/>
      <c r="AW44" s="293"/>
      <c r="AX44" s="293"/>
      <c r="AY44" s="293"/>
      <c r="AZ44" s="293"/>
      <c r="BA44" s="293"/>
      <c r="BB44" s="293"/>
      <c r="BC44" s="293"/>
      <c r="BD44" s="293"/>
      <c r="BE44" s="293"/>
      <c r="BF44" s="293"/>
      <c r="BG44" s="293"/>
      <c r="BH44" s="293"/>
      <c r="BI44" s="293"/>
      <c r="BJ44" s="293"/>
      <c r="BK44" s="293"/>
      <c r="BL44" s="293"/>
      <c r="BM44" s="293"/>
    </row>
    <row r="45" spans="1:65" x14ac:dyDescent="0.2">
      <c r="A45" s="49">
        <f>+A39</f>
        <v>37256</v>
      </c>
      <c r="B45" s="32"/>
      <c r="C45" s="32"/>
      <c r="D45" s="532">
        <v>-18079</v>
      </c>
    </row>
    <row r="46" spans="1:65" x14ac:dyDescent="0.2">
      <c r="A46" s="49">
        <f>+A40</f>
        <v>37265</v>
      </c>
      <c r="B46" s="32"/>
      <c r="C46" s="32"/>
      <c r="D46" s="355">
        <f>+D36</f>
        <v>1759</v>
      </c>
    </row>
    <row r="47" spans="1:65" x14ac:dyDescent="0.2">
      <c r="A47" s="32"/>
      <c r="B47" s="32"/>
      <c r="C47" s="32"/>
      <c r="D47" s="14">
        <f>+D46+D45</f>
        <v>-16320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253330</v>
      </c>
      <c r="C5" s="90">
        <v>251442</v>
      </c>
      <c r="D5" s="90">
        <f>+C5-B5</f>
        <v>-1888</v>
      </c>
      <c r="E5" s="275"/>
      <c r="F5" s="273"/>
    </row>
    <row r="6" spans="1:13" x14ac:dyDescent="0.2">
      <c r="A6" s="87">
        <v>78311</v>
      </c>
      <c r="B6" s="90">
        <v>83265</v>
      </c>
      <c r="C6" s="90">
        <f>76750-12400</f>
        <v>64350</v>
      </c>
      <c r="D6" s="90">
        <f t="shared" ref="D6:D17" si="0">+C6-B6</f>
        <v>-18915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235131</v>
      </c>
      <c r="C7" s="90">
        <v>263697</v>
      </c>
      <c r="D7" s="90">
        <f t="shared" si="0"/>
        <v>28566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290913</v>
      </c>
      <c r="C8" s="90">
        <v>223071</v>
      </c>
      <c r="D8" s="90">
        <f t="shared" si="0"/>
        <v>-67842</v>
      </c>
      <c r="E8" s="461"/>
      <c r="F8" s="273"/>
    </row>
    <row r="9" spans="1:13" x14ac:dyDescent="0.2">
      <c r="A9" s="87">
        <v>500293</v>
      </c>
      <c r="B9" s="90">
        <v>152049</v>
      </c>
      <c r="C9" s="90">
        <v>155219</v>
      </c>
      <c r="D9" s="90">
        <f t="shared" si="0"/>
        <v>3170</v>
      </c>
      <c r="E9" s="275"/>
      <c r="F9" s="273"/>
    </row>
    <row r="10" spans="1:13" x14ac:dyDescent="0.2">
      <c r="A10" s="87">
        <v>500302</v>
      </c>
      <c r="B10" s="90"/>
      <c r="C10" s="90">
        <v>2484</v>
      </c>
      <c r="D10" s="90">
        <f t="shared" si="0"/>
        <v>2484</v>
      </c>
      <c r="E10" s="275"/>
      <c r="F10" s="273"/>
    </row>
    <row r="11" spans="1:13" x14ac:dyDescent="0.2">
      <c r="A11" s="87">
        <v>500303</v>
      </c>
      <c r="B11" s="90"/>
      <c r="C11" s="90">
        <v>83697</v>
      </c>
      <c r="D11" s="90">
        <f t="shared" si="0"/>
        <v>83697</v>
      </c>
      <c r="E11" s="275"/>
      <c r="F11" s="273"/>
    </row>
    <row r="12" spans="1:13" x14ac:dyDescent="0.2">
      <c r="A12" s="91">
        <v>500305</v>
      </c>
      <c r="B12" s="90">
        <f>405485+50067</f>
        <v>455552</v>
      </c>
      <c r="C12" s="90">
        <v>433200</v>
      </c>
      <c r="D12" s="90">
        <f t="shared" si="0"/>
        <v>-22352</v>
      </c>
      <c r="E12" s="276"/>
      <c r="F12" s="273"/>
    </row>
    <row r="13" spans="1:13" x14ac:dyDescent="0.2">
      <c r="A13" s="87">
        <v>500307</v>
      </c>
      <c r="B13" s="90">
        <f>26835+1271</f>
        <v>28106</v>
      </c>
      <c r="C13" s="90">
        <v>14896</v>
      </c>
      <c r="D13" s="90">
        <f t="shared" si="0"/>
        <v>-13210</v>
      </c>
      <c r="E13" s="275"/>
      <c r="F13" s="273"/>
    </row>
    <row r="14" spans="1:13" x14ac:dyDescent="0.2">
      <c r="A14" s="87">
        <v>500313</v>
      </c>
      <c r="B14" s="90"/>
      <c r="C14" s="90">
        <v>707</v>
      </c>
      <c r="D14" s="90">
        <f t="shared" si="0"/>
        <v>707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f>59681+7761</f>
        <v>67442</v>
      </c>
      <c r="C16" s="90"/>
      <c r="D16" s="90">
        <f t="shared" si="0"/>
        <v>-67442</v>
      </c>
      <c r="E16" s="275"/>
      <c r="F16" s="273"/>
    </row>
    <row r="17" spans="1:6" x14ac:dyDescent="0.2">
      <c r="A17" s="87">
        <v>500657</v>
      </c>
      <c r="B17" s="88">
        <f>45875+5530</f>
        <v>51405</v>
      </c>
      <c r="C17" s="88">
        <v>62988</v>
      </c>
      <c r="D17" s="94">
        <f t="shared" si="0"/>
        <v>11583</v>
      </c>
      <c r="E17" s="275"/>
      <c r="F17" s="273"/>
    </row>
    <row r="18" spans="1:6" x14ac:dyDescent="0.2">
      <c r="A18" s="87"/>
      <c r="B18" s="88"/>
      <c r="C18" s="88"/>
      <c r="D18" s="88">
        <f>SUM(D5:D17)</f>
        <v>-61442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+summary!I5</f>
        <v>2.2200000000000002</v>
      </c>
      <c r="E19" s="277"/>
      <c r="F19" s="273"/>
    </row>
    <row r="20" spans="1:6" x14ac:dyDescent="0.2">
      <c r="A20" s="87"/>
      <c r="B20" s="88"/>
      <c r="C20" s="88"/>
      <c r="D20" s="96">
        <f>+D19*D18</f>
        <v>-136401.24000000002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8">
        <v>40609.26</v>
      </c>
      <c r="E22" s="207"/>
      <c r="F22" s="66"/>
    </row>
    <row r="23" spans="1:6" x14ac:dyDescent="0.2">
      <c r="A23" s="87"/>
      <c r="B23" s="88"/>
      <c r="C23" s="88"/>
      <c r="D23" s="311"/>
      <c r="E23" s="207"/>
      <c r="F23" s="66"/>
    </row>
    <row r="24" spans="1:6" ht="13.5" thickBot="1" x14ac:dyDescent="0.25">
      <c r="A24" s="99">
        <v>37265</v>
      </c>
      <c r="B24" s="88"/>
      <c r="C24" s="88"/>
      <c r="D24" s="321">
        <f>+D22+D20</f>
        <v>-95791.98000000001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8"/>
    </row>
    <row r="29" spans="1:6" x14ac:dyDescent="0.2">
      <c r="A29" s="49">
        <f>+A22</f>
        <v>37256</v>
      </c>
      <c r="B29" s="32"/>
      <c r="C29" s="32"/>
      <c r="D29" s="532">
        <v>31706</v>
      </c>
    </row>
    <row r="30" spans="1:6" x14ac:dyDescent="0.2">
      <c r="A30" s="49">
        <f>+A24</f>
        <v>37265</v>
      </c>
      <c r="B30" s="32"/>
      <c r="C30" s="32"/>
      <c r="D30" s="355">
        <f>+D18</f>
        <v>-61442</v>
      </c>
    </row>
    <row r="31" spans="1:6" x14ac:dyDescent="0.2">
      <c r="A31" s="32"/>
      <c r="B31" s="32"/>
      <c r="C31" s="32"/>
      <c r="D31" s="14">
        <f>+D30+D29</f>
        <v>-29736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E43" sqref="E43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11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11" t="s">
        <v>39</v>
      </c>
      <c r="I3" s="4" t="s">
        <v>19</v>
      </c>
      <c r="J3" s="4" t="s">
        <v>20</v>
      </c>
      <c r="K3" s="409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11"/>
      <c r="I4" s="14"/>
      <c r="J4" s="14"/>
      <c r="K4" s="14">
        <f t="shared" ref="K4:K9" si="0">+J4-I4</f>
        <v>0</v>
      </c>
      <c r="L4" s="364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11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64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11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64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11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64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11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64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11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64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11"/>
      <c r="I10" s="14"/>
      <c r="J10" s="14"/>
      <c r="K10" s="14"/>
      <c r="L10" s="364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11"/>
      <c r="I11" s="14"/>
      <c r="J11" s="14"/>
      <c r="K11" s="15"/>
      <c r="L11" s="364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11"/>
      <c r="I12" s="24"/>
      <c r="J12" s="24"/>
      <c r="K12" s="110"/>
      <c r="L12" s="413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32378</v>
      </c>
      <c r="E13" s="11">
        <v>34000</v>
      </c>
      <c r="F13" s="25">
        <f t="shared" si="2"/>
        <v>1467</v>
      </c>
      <c r="G13" s="25"/>
      <c r="I13" s="24"/>
      <c r="J13" s="24"/>
      <c r="K13" s="24">
        <f>SUM(K4:K12)</f>
        <v>135930</v>
      </c>
      <c r="L13" s="413"/>
      <c r="M13" s="110">
        <f>SUM(M4:M12)</f>
        <v>489002.35000000003</v>
      </c>
    </row>
    <row r="14" spans="1:14" x14ac:dyDescent="0.2">
      <c r="A14" s="41">
        <v>11</v>
      </c>
      <c r="B14" s="11"/>
      <c r="C14" s="11"/>
      <c r="D14" s="11"/>
      <c r="E14" s="11"/>
      <c r="F14" s="25">
        <f t="shared" si="2"/>
        <v>0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331840</v>
      </c>
      <c r="C35" s="11">
        <f>SUM(C4:C34)</f>
        <v>341061</v>
      </c>
      <c r="D35" s="11">
        <f>SUM(D4:D34)</f>
        <v>325646</v>
      </c>
      <c r="E35" s="11">
        <f>SUM(E4:E34)</f>
        <v>319572</v>
      </c>
      <c r="F35" s="11">
        <f>+E35-D35+C35-B35</f>
        <v>3147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500">
        <f>+summary!I4</f>
        <v>2.2000000000000002</v>
      </c>
    </row>
    <row r="38" spans="1:7" x14ac:dyDescent="0.2">
      <c r="C38" s="48"/>
      <c r="D38" s="47"/>
      <c r="E38" s="48"/>
      <c r="F38" s="46">
        <f>+F37*F35</f>
        <v>6923.4000000000005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7"/>
      <c r="D40" s="111"/>
      <c r="E40" s="467"/>
      <c r="F40" s="543">
        <v>460426.69</v>
      </c>
      <c r="G40" s="25"/>
    </row>
    <row r="41" spans="1:7" x14ac:dyDescent="0.2">
      <c r="A41" s="57">
        <v>37266</v>
      </c>
      <c r="C41" s="106"/>
      <c r="D41" s="106"/>
      <c r="E41" s="106"/>
      <c r="F41" s="106">
        <f>+F38+F40</f>
        <v>467350.09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44">
        <v>17967</v>
      </c>
      <c r="E46" s="11"/>
      <c r="F46" s="11"/>
      <c r="G46" s="25"/>
    </row>
    <row r="47" spans="1:7" x14ac:dyDescent="0.2">
      <c r="A47" s="49">
        <f>+A41</f>
        <v>37266</v>
      </c>
      <c r="D47" s="355">
        <f>+F35</f>
        <v>3147</v>
      </c>
      <c r="E47" s="11"/>
      <c r="F47" s="11"/>
      <c r="G47" s="25"/>
    </row>
    <row r="48" spans="1:7" x14ac:dyDescent="0.2">
      <c r="D48" s="14">
        <f>+D47+D46</f>
        <v>21114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36" sqref="B3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179049</v>
      </c>
      <c r="D6" s="11"/>
      <c r="E6" s="11">
        <v>-643</v>
      </c>
      <c r="F6" s="11">
        <f t="shared" ref="F6:F35" si="2">+C6+E6-B6-D6</f>
        <v>-643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562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2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1644415</v>
      </c>
      <c r="C36" s="11">
        <f>SUM(C5:C35)</f>
        <v>1641773</v>
      </c>
      <c r="D36" s="11">
        <f>SUM(D5:D35)</f>
        <v>0</v>
      </c>
      <c r="E36" s="11">
        <f>SUM(E5:E35)</f>
        <v>-4054</v>
      </c>
      <c r="F36" s="11">
        <f>SUM(F5:F35)</f>
        <v>-6696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12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37265</v>
      </c>
      <c r="F41" s="336">
        <f>+F39+F36</f>
        <v>-29085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93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37265</v>
      </c>
      <c r="C48" s="32"/>
      <c r="D48" s="32"/>
      <c r="E48" s="380">
        <f>+F36*'by type_area'!J3</f>
        <v>-14396.4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-522004.4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0" workbookViewId="0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89762</v>
      </c>
      <c r="C16" s="11">
        <v>89032</v>
      </c>
      <c r="D16" s="11">
        <f t="shared" si="0"/>
        <v>-730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909722</v>
      </c>
      <c r="C39" s="11">
        <f>SUM(C8:C38)</f>
        <v>918047</v>
      </c>
      <c r="D39" s="11">
        <f>SUM(D8:D38)</f>
        <v>8325</v>
      </c>
      <c r="E39" s="10"/>
      <c r="F39" s="11"/>
      <c r="G39" s="11"/>
      <c r="H39" s="11"/>
    </row>
    <row r="40" spans="1:8" x14ac:dyDescent="0.2">
      <c r="A40" s="26"/>
      <c r="D40" s="75">
        <f>+summary!I4</f>
        <v>2.2000000000000002</v>
      </c>
      <c r="E40" s="26"/>
      <c r="H40" s="75"/>
    </row>
    <row r="41" spans="1:8" x14ac:dyDescent="0.2">
      <c r="D41" s="195">
        <f>+D40*D39</f>
        <v>18315</v>
      </c>
      <c r="F41" s="247"/>
      <c r="H41" s="195"/>
    </row>
    <row r="42" spans="1:8" x14ac:dyDescent="0.2">
      <c r="A42" s="57">
        <v>37256</v>
      </c>
      <c r="D42" s="561">
        <v>12821</v>
      </c>
      <c r="E42" s="57"/>
      <c r="H42" s="195"/>
    </row>
    <row r="43" spans="1:8" x14ac:dyDescent="0.2">
      <c r="A43" s="57">
        <v>37265</v>
      </c>
      <c r="D43" s="196">
        <f>+D42+D41</f>
        <v>31136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32">
        <v>-49782</v>
      </c>
    </row>
    <row r="49" spans="1:4" x14ac:dyDescent="0.2">
      <c r="A49" s="49">
        <f>+A43</f>
        <v>37265</v>
      </c>
      <c r="B49" s="32"/>
      <c r="C49" s="32"/>
      <c r="D49" s="355">
        <f>+D39</f>
        <v>8325</v>
      </c>
    </row>
    <row r="50" spans="1:4" x14ac:dyDescent="0.2">
      <c r="A50" s="32"/>
      <c r="B50" s="32"/>
      <c r="C50" s="32"/>
      <c r="D50" s="14">
        <f>+D49+D48</f>
        <v>-41457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topLeftCell="A45" workbookViewId="0">
      <selection activeCell="B45" sqref="B45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54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252</v>
      </c>
      <c r="J6" s="15"/>
    </row>
    <row r="7" spans="1:14" x14ac:dyDescent="0.2">
      <c r="A7" s="57">
        <v>37265</v>
      </c>
      <c r="I7" s="3" t="s">
        <v>259</v>
      </c>
      <c r="J7" s="15"/>
    </row>
    <row r="8" spans="1:14" x14ac:dyDescent="0.2">
      <c r="A8" s="248">
        <v>50895</v>
      </c>
      <c r="B8" s="343">
        <f>2070-813-626</f>
        <v>631</v>
      </c>
      <c r="J8" s="15"/>
    </row>
    <row r="9" spans="1:14" x14ac:dyDescent="0.2">
      <c r="A9" s="248">
        <v>60874</v>
      </c>
      <c r="B9" s="343">
        <v>1187</v>
      </c>
      <c r="J9" s="15"/>
    </row>
    <row r="10" spans="1:14" x14ac:dyDescent="0.2">
      <c r="A10" s="248">
        <v>78169</v>
      </c>
      <c r="B10" s="343">
        <f>134100-106852-13161</f>
        <v>14087</v>
      </c>
      <c r="I10" s="87" t="s">
        <v>253</v>
      </c>
      <c r="J10" s="489" t="s">
        <v>27</v>
      </c>
      <c r="K10" s="87" t="s">
        <v>254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9">
        <f>+C40</f>
        <v>842376.79</v>
      </c>
      <c r="K11" s="87" t="s">
        <v>255</v>
      </c>
      <c r="L11" s="87"/>
      <c r="M11" s="87"/>
      <c r="N11" s="87"/>
    </row>
    <row r="12" spans="1:14" ht="20.100000000000001" customHeight="1" x14ac:dyDescent="0.2">
      <c r="A12" s="248">
        <v>500248</v>
      </c>
      <c r="B12" s="345"/>
      <c r="I12" s="87">
        <v>24693</v>
      </c>
      <c r="J12" s="451">
        <v>275313.71999999997</v>
      </c>
      <c r="K12" s="87" t="s">
        <v>256</v>
      </c>
      <c r="L12" s="87"/>
      <c r="M12" s="87"/>
      <c r="N12" s="87"/>
    </row>
    <row r="13" spans="1:14" ht="20.100000000000001" customHeight="1" x14ac:dyDescent="0.2">
      <c r="A13" s="248">
        <v>500251</v>
      </c>
      <c r="B13" s="319">
        <f>3600-4305-581</f>
        <v>-1286</v>
      </c>
      <c r="I13" s="87">
        <v>21665</v>
      </c>
      <c r="J13" s="451">
        <v>73449.16</v>
      </c>
      <c r="K13" s="87" t="s">
        <v>258</v>
      </c>
      <c r="L13" s="87"/>
      <c r="M13" s="87"/>
      <c r="N13" s="87"/>
    </row>
    <row r="14" spans="1:14" ht="20.100000000000001" customHeight="1" x14ac:dyDescent="0.2">
      <c r="A14" s="248">
        <v>500254</v>
      </c>
      <c r="B14" s="319">
        <f>1620-10</f>
        <v>1610</v>
      </c>
      <c r="I14" s="87">
        <v>22664</v>
      </c>
      <c r="J14" s="454">
        <v>23612.35</v>
      </c>
      <c r="K14" s="87" t="s">
        <v>260</v>
      </c>
      <c r="L14" s="87"/>
      <c r="M14" s="87"/>
      <c r="N14" s="87"/>
    </row>
    <row r="15" spans="1:14" ht="20.100000000000001" customHeight="1" x14ac:dyDescent="0.2">
      <c r="A15" s="32">
        <v>500255</v>
      </c>
      <c r="B15" s="319">
        <f>3600-311-232</f>
        <v>3057</v>
      </c>
      <c r="I15" s="87"/>
      <c r="J15" s="451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9">
        <v>-102</v>
      </c>
      <c r="I16" s="87"/>
      <c r="J16" s="451"/>
      <c r="K16" s="87"/>
      <c r="L16" s="87"/>
      <c r="M16" s="87"/>
      <c r="N16" s="87"/>
    </row>
    <row r="17" spans="1:14" x14ac:dyDescent="0.2">
      <c r="A17" s="280">
        <v>500267</v>
      </c>
      <c r="B17" s="344">
        <f>506890-449314-56477</f>
        <v>1099</v>
      </c>
      <c r="I17" s="87"/>
      <c r="J17" s="451"/>
      <c r="K17" s="87"/>
      <c r="L17" s="87"/>
      <c r="M17" s="87"/>
      <c r="N17" s="87"/>
    </row>
    <row r="18" spans="1:14" x14ac:dyDescent="0.2">
      <c r="B18" s="14">
        <f>SUM(B8:B17)</f>
        <v>20283</v>
      </c>
      <c r="I18" s="87"/>
      <c r="J18" s="451"/>
      <c r="K18" s="87"/>
      <c r="L18" s="87"/>
      <c r="M18" s="87"/>
      <c r="N18" s="87"/>
    </row>
    <row r="19" spans="1:14" x14ac:dyDescent="0.2">
      <c r="B19" s="15">
        <f>+summary!I5</f>
        <v>2.2200000000000002</v>
      </c>
      <c r="C19" s="199">
        <f>+B19*B18</f>
        <v>45028.26</v>
      </c>
      <c r="G19" s="32"/>
      <c r="H19" s="385"/>
      <c r="I19" s="330"/>
      <c r="J19" s="451"/>
      <c r="K19" s="87"/>
      <c r="L19" s="87"/>
      <c r="M19" s="87"/>
      <c r="N19" s="87"/>
    </row>
    <row r="20" spans="1:14" x14ac:dyDescent="0.2">
      <c r="C20" s="324">
        <f>+C19+C5</f>
        <v>1576297.82</v>
      </c>
      <c r="E20" s="15"/>
      <c r="G20" s="32"/>
      <c r="H20" s="385"/>
      <c r="I20" s="330"/>
      <c r="J20" s="451"/>
      <c r="K20" s="87"/>
      <c r="L20" s="87"/>
      <c r="M20" s="87"/>
      <c r="N20" s="87"/>
    </row>
    <row r="21" spans="1:14" x14ac:dyDescent="0.2">
      <c r="E21" s="15"/>
      <c r="G21" s="32"/>
      <c r="H21" s="385"/>
      <c r="I21" s="330"/>
      <c r="J21" s="451"/>
      <c r="K21" s="87"/>
      <c r="L21" s="87"/>
      <c r="M21" s="87"/>
      <c r="N21" s="87"/>
    </row>
    <row r="22" spans="1:14" x14ac:dyDescent="0.2">
      <c r="A22" s="32" t="s">
        <v>86</v>
      </c>
      <c r="G22" s="32"/>
      <c r="H22" s="385"/>
      <c r="I22" s="330"/>
      <c r="J22" s="451"/>
      <c r="K22" s="87"/>
      <c r="L22" s="87"/>
      <c r="M22" s="87"/>
      <c r="N22" s="87"/>
    </row>
    <row r="23" spans="1:14" x14ac:dyDescent="0.2">
      <c r="A23" s="2" t="s">
        <v>73</v>
      </c>
      <c r="G23" s="32"/>
      <c r="H23" s="385"/>
      <c r="I23" s="330"/>
      <c r="J23" s="451"/>
      <c r="K23" s="87"/>
      <c r="L23" s="87"/>
      <c r="M23" s="87"/>
      <c r="N23" s="87"/>
    </row>
    <row r="24" spans="1:14" x14ac:dyDescent="0.2">
      <c r="G24" s="32"/>
      <c r="H24" s="385"/>
      <c r="I24" s="330"/>
      <c r="J24" s="451"/>
      <c r="K24" s="87"/>
      <c r="L24" s="87"/>
      <c r="M24" s="87"/>
      <c r="N24" s="87"/>
    </row>
    <row r="25" spans="1:14" x14ac:dyDescent="0.2">
      <c r="G25" s="32"/>
      <c r="H25" s="385"/>
      <c r="I25" s="330"/>
      <c r="J25" s="451"/>
      <c r="K25" s="87"/>
      <c r="L25" s="87"/>
      <c r="M25" s="87"/>
      <c r="N25" s="87"/>
    </row>
    <row r="26" spans="1:14" x14ac:dyDescent="0.2">
      <c r="A26" s="198">
        <v>37256</v>
      </c>
      <c r="C26" s="554">
        <v>275313.71999999997</v>
      </c>
      <c r="G26" s="32"/>
      <c r="H26" s="15"/>
      <c r="I26" s="330"/>
      <c r="J26" s="451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51"/>
      <c r="K27" s="87"/>
      <c r="L27" s="87"/>
      <c r="M27" s="87"/>
      <c r="N27" s="87"/>
    </row>
    <row r="28" spans="1:14" x14ac:dyDescent="0.2">
      <c r="A28" s="57">
        <v>37262</v>
      </c>
      <c r="G28" s="32"/>
      <c r="H28" s="15"/>
      <c r="I28" s="87"/>
      <c r="J28" s="451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51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51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51"/>
      <c r="K31" s="87"/>
      <c r="L31" s="87"/>
      <c r="M31" s="87"/>
      <c r="N31" s="87"/>
    </row>
    <row r="32" spans="1:14" x14ac:dyDescent="0.2">
      <c r="B32" s="15">
        <f>+summary!I4</f>
        <v>2.2000000000000002</v>
      </c>
      <c r="C32" s="199">
        <f>+B32*B31</f>
        <v>0</v>
      </c>
    </row>
    <row r="33" spans="1:9" x14ac:dyDescent="0.2">
      <c r="C33" s="324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7">
        <v>24268</v>
      </c>
      <c r="G37" s="357">
        <v>24693</v>
      </c>
      <c r="H37" s="357">
        <v>24361</v>
      </c>
    </row>
    <row r="38" spans="1:9" x14ac:dyDescent="0.2">
      <c r="A38" s="32" t="s">
        <v>74</v>
      </c>
      <c r="E38" s="49">
        <f>+A5</f>
        <v>37256</v>
      </c>
      <c r="F38" s="532">
        <v>378562</v>
      </c>
      <c r="G38" s="546">
        <v>117857</v>
      </c>
      <c r="H38" s="532">
        <v>186976</v>
      </c>
      <c r="I38" s="14"/>
    </row>
    <row r="39" spans="1:9" x14ac:dyDescent="0.2">
      <c r="E39" s="49">
        <f>+A7</f>
        <v>37265</v>
      </c>
      <c r="F39" s="355">
        <f>+B18</f>
        <v>20283</v>
      </c>
      <c r="G39" s="355">
        <f>+B31</f>
        <v>0</v>
      </c>
      <c r="H39" s="355">
        <f>+B46</f>
        <v>1895</v>
      </c>
      <c r="I39" s="14"/>
    </row>
    <row r="40" spans="1:9" x14ac:dyDescent="0.2">
      <c r="A40" s="49">
        <v>37256</v>
      </c>
      <c r="C40" s="554">
        <v>842376.79</v>
      </c>
      <c r="F40" s="14">
        <f>+F39+F38</f>
        <v>398845</v>
      </c>
      <c r="G40" s="14">
        <f>+G39+G38</f>
        <v>117857</v>
      </c>
      <c r="H40" s="14">
        <f>+H39+H38</f>
        <v>188871</v>
      </c>
      <c r="I40" s="14">
        <f>+H40+G40+F40</f>
        <v>705573</v>
      </c>
    </row>
    <row r="41" spans="1:9" x14ac:dyDescent="0.2">
      <c r="G41" s="32"/>
      <c r="H41" s="15"/>
      <c r="I41" s="32"/>
    </row>
    <row r="42" spans="1:9" x14ac:dyDescent="0.2">
      <c r="A42" s="245">
        <v>37265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f>1090+85</f>
        <v>1175</v>
      </c>
      <c r="G44" s="32"/>
      <c r="H44" s="386"/>
      <c r="I44" s="14"/>
    </row>
    <row r="45" spans="1:9" x14ac:dyDescent="0.2">
      <c r="A45" s="32">
        <v>500392</v>
      </c>
      <c r="B45" s="250">
        <f>669+51</f>
        <v>720</v>
      </c>
      <c r="G45" s="32"/>
      <c r="H45" s="386"/>
      <c r="I45" s="14"/>
    </row>
    <row r="46" spans="1:9" x14ac:dyDescent="0.2">
      <c r="B46" s="14">
        <f>SUM(B43:B45)</f>
        <v>1895</v>
      </c>
      <c r="G46" s="32"/>
      <c r="H46" s="386"/>
      <c r="I46" s="14"/>
    </row>
    <row r="47" spans="1:9" x14ac:dyDescent="0.2">
      <c r="B47" s="199">
        <f>+summary!I5</f>
        <v>2.2200000000000002</v>
      </c>
      <c r="C47" s="199">
        <f>+B47*B46</f>
        <v>4206.9000000000005</v>
      </c>
      <c r="H47" s="386"/>
      <c r="I47" s="14"/>
    </row>
    <row r="48" spans="1:9" x14ac:dyDescent="0.2">
      <c r="C48" s="324">
        <f>+C47+C40</f>
        <v>846583.69000000006</v>
      </c>
      <c r="E48" s="204"/>
      <c r="H48" s="386"/>
      <c r="I48" s="14"/>
    </row>
    <row r="49" spans="1:9" x14ac:dyDescent="0.2">
      <c r="E49" s="213"/>
      <c r="H49" s="386"/>
      <c r="I49" s="14"/>
    </row>
    <row r="50" spans="1:9" x14ac:dyDescent="0.2">
      <c r="E50" s="204"/>
      <c r="H50" s="386"/>
      <c r="I50" s="14"/>
    </row>
    <row r="51" spans="1:9" x14ac:dyDescent="0.2">
      <c r="C51" s="313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55">
        <v>73445.08</v>
      </c>
      <c r="D53" s="32" t="s">
        <v>119</v>
      </c>
      <c r="E53" s="50"/>
      <c r="H53" s="386">
        <v>21665</v>
      </c>
      <c r="I53" s="546">
        <v>36401</v>
      </c>
    </row>
    <row r="54" spans="1:9" x14ac:dyDescent="0.2">
      <c r="A54" s="32">
        <v>22664</v>
      </c>
      <c r="B54" s="15" t="s">
        <v>137</v>
      </c>
      <c r="C54" s="556">
        <v>23612.35</v>
      </c>
      <c r="D54" s="32" t="s">
        <v>120</v>
      </c>
      <c r="H54" s="386">
        <v>22664</v>
      </c>
      <c r="I54" s="557">
        <v>18932</v>
      </c>
    </row>
    <row r="55" spans="1:9" x14ac:dyDescent="0.2">
      <c r="H55" s="387"/>
      <c r="I55" s="16"/>
    </row>
    <row r="56" spans="1:9" x14ac:dyDescent="0.2">
      <c r="C56" s="426"/>
    </row>
    <row r="57" spans="1:9" x14ac:dyDescent="0.2">
      <c r="C57" s="318">
        <f>+C54+C53+C48+C33+C20</f>
        <v>2795252.66</v>
      </c>
      <c r="I57" s="14">
        <f>SUM(I40:I54)</f>
        <v>760906</v>
      </c>
    </row>
    <row r="61" spans="1:9" x14ac:dyDescent="0.2">
      <c r="C61" s="15">
        <f>+DEFS!F49</f>
        <v>-2783304.1400000006</v>
      </c>
    </row>
    <row r="62" spans="1:9" x14ac:dyDescent="0.2">
      <c r="C62" s="15">
        <f>+C61+C57</f>
        <v>11948.519999999553</v>
      </c>
      <c r="I62" s="31">
        <f>+I57+DEFS!K49</f>
        <v>333422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E10" sqref="E10:E12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5">
        <v>23995</v>
      </c>
      <c r="C1" s="231"/>
      <c r="D1" s="314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24624</v>
      </c>
      <c r="E12" s="11">
        <v>24000</v>
      </c>
      <c r="F12" s="11">
        <f t="shared" si="0"/>
        <v>-624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7">
        <v>23995</v>
      </c>
      <c r="J33" s="357">
        <v>22051</v>
      </c>
      <c r="K33" s="357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32">
        <v>-183022</v>
      </c>
      <c r="J34" s="532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220143</v>
      </c>
      <c r="E35" s="11">
        <f>SUM(E4:E34)</f>
        <v>216000</v>
      </c>
      <c r="F35" s="11">
        <f>SUM(F4:F34)</f>
        <v>-4143</v>
      </c>
      <c r="G35" s="11"/>
      <c r="H35" s="49">
        <f>+A40</f>
        <v>37265</v>
      </c>
      <c r="I35" s="355">
        <f>+C36</f>
        <v>0</v>
      </c>
      <c r="J35" s="355">
        <f>+E36</f>
        <v>-4143</v>
      </c>
      <c r="K35" s="206"/>
      <c r="L35" s="14"/>
    </row>
    <row r="36" spans="1:13" x14ac:dyDescent="0.2">
      <c r="C36" s="25">
        <f>+C35-B35</f>
        <v>0</v>
      </c>
      <c r="E36" s="25">
        <f>+E35-D35</f>
        <v>-4143</v>
      </c>
      <c r="F36" s="25">
        <f>+E36+C36</f>
        <v>-4143</v>
      </c>
      <c r="H36" s="32"/>
      <c r="I36" s="14">
        <f>+I35+I34</f>
        <v>-183022</v>
      </c>
      <c r="J36" s="14">
        <f>+J35+J34</f>
        <v>-132740</v>
      </c>
      <c r="K36" s="14">
        <f>+J36+I36</f>
        <v>-315762</v>
      </c>
      <c r="L36" s="14"/>
    </row>
    <row r="37" spans="1:13" x14ac:dyDescent="0.2">
      <c r="C37" s="316">
        <f>+summary!I5</f>
        <v>2.2200000000000002</v>
      </c>
      <c r="E37" s="104">
        <f>+C37</f>
        <v>2.2200000000000002</v>
      </c>
      <c r="F37" s="138">
        <f>+F36*E37</f>
        <v>-9197.4600000000009</v>
      </c>
    </row>
    <row r="38" spans="1:13" x14ac:dyDescent="0.2">
      <c r="C38" s="138">
        <f>+C37*C36</f>
        <v>0</v>
      </c>
      <c r="E38" s="136">
        <f>+E37*E36</f>
        <v>-9197.4600000000009</v>
      </c>
      <c r="F38" s="138">
        <f>+E38+C38</f>
        <v>-9197.4600000000009</v>
      </c>
    </row>
    <row r="39" spans="1:13" x14ac:dyDescent="0.2">
      <c r="A39" s="57">
        <v>37256</v>
      </c>
      <c r="B39" s="2" t="s">
        <v>45</v>
      </c>
      <c r="C39" s="553">
        <v>-1033420.01</v>
      </c>
      <c r="D39" s="323"/>
      <c r="E39" s="542">
        <v>-571850.34</v>
      </c>
      <c r="F39" s="322">
        <f>+E39+C39</f>
        <v>-1605270.35</v>
      </c>
    </row>
    <row r="40" spans="1:13" x14ac:dyDescent="0.2">
      <c r="A40" s="57">
        <v>37265</v>
      </c>
      <c r="B40" s="2" t="s">
        <v>45</v>
      </c>
      <c r="C40" s="317">
        <f>+C39+C38</f>
        <v>-1033420.01</v>
      </c>
      <c r="D40" s="252"/>
      <c r="E40" s="317">
        <f>+E39+E38</f>
        <v>-581047.79999999993</v>
      </c>
      <c r="F40" s="317">
        <f>+E40+C40</f>
        <v>-1614467.81</v>
      </c>
      <c r="H40" s="131"/>
    </row>
    <row r="41" spans="1:13" x14ac:dyDescent="0.2">
      <c r="C41" s="332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63">
        <v>0</v>
      </c>
      <c r="G44" s="249" t="s">
        <v>47</v>
      </c>
      <c r="J44" s="12">
        <v>22864</v>
      </c>
      <c r="K44" s="449"/>
    </row>
    <row r="45" spans="1:13" x14ac:dyDescent="0.2">
      <c r="C45" s="246"/>
      <c r="D45" s="246"/>
      <c r="E45" s="12">
        <v>20379</v>
      </c>
      <c r="F45" s="554">
        <v>-51695.87</v>
      </c>
      <c r="G45" s="249" t="s">
        <v>122</v>
      </c>
      <c r="J45" s="12">
        <v>20379</v>
      </c>
      <c r="K45" s="546">
        <v>2979</v>
      </c>
      <c r="M45" s="14"/>
    </row>
    <row r="46" spans="1:13" x14ac:dyDescent="0.2">
      <c r="C46" s="246"/>
      <c r="D46" s="246"/>
      <c r="E46" s="12">
        <v>26357</v>
      </c>
      <c r="F46" s="551">
        <f>44144.84-58339.66</f>
        <v>-14194.820000000007</v>
      </c>
      <c r="G46" s="249" t="s">
        <v>123</v>
      </c>
      <c r="J46" s="12">
        <v>26357</v>
      </c>
      <c r="K46" s="546">
        <f>26521-24566</f>
        <v>1955</v>
      </c>
    </row>
    <row r="47" spans="1:13" x14ac:dyDescent="0.2">
      <c r="C47" s="246"/>
      <c r="D47" s="246"/>
      <c r="E47" s="12">
        <v>21544</v>
      </c>
      <c r="F47" s="554">
        <v>61340.160000000003</v>
      </c>
      <c r="G47" s="249" t="s">
        <v>124</v>
      </c>
      <c r="J47" s="12">
        <v>21544</v>
      </c>
      <c r="K47" s="546">
        <v>36108</v>
      </c>
    </row>
    <row r="48" spans="1:13" x14ac:dyDescent="0.2">
      <c r="C48" s="246"/>
      <c r="D48" s="246"/>
      <c r="E48" s="12">
        <v>24532</v>
      </c>
      <c r="F48" s="552">
        <v>-1164285.8</v>
      </c>
      <c r="G48" s="249" t="s">
        <v>121</v>
      </c>
      <c r="J48" s="12">
        <v>24532</v>
      </c>
      <c r="K48" s="532">
        <v>-152764</v>
      </c>
    </row>
    <row r="49" spans="3:13" x14ac:dyDescent="0.2">
      <c r="C49" s="246"/>
      <c r="D49" s="246"/>
      <c r="F49" s="333">
        <f>SUM(F40:F48)</f>
        <v>-2783304.1400000006</v>
      </c>
      <c r="G49" s="246"/>
      <c r="K49" s="14">
        <f>SUM(K36:K48)</f>
        <v>-427484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2795252.66</v>
      </c>
      <c r="M51" s="14">
        <f>+Duke!I57</f>
        <v>760906</v>
      </c>
    </row>
    <row r="53" spans="3:13" x14ac:dyDescent="0.2">
      <c r="F53" s="104">
        <f>+F51+F49</f>
        <v>11948.519999999553</v>
      </c>
      <c r="M53" s="16">
        <f>+M51+K49</f>
        <v>333422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8"/>
    </row>
    <row r="63" spans="3:13" x14ac:dyDescent="0.2">
      <c r="F63" s="348"/>
    </row>
    <row r="64" spans="3:13" x14ac:dyDescent="0.2">
      <c r="F64" s="348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-132740</v>
      </c>
      <c r="C74" s="247">
        <f>+E40</f>
        <v>-581047.79999999993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188871</v>
      </c>
      <c r="C77" s="259">
        <f>+Duke!C48</f>
        <v>846583.69000000006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398845</v>
      </c>
      <c r="C79" s="259">
        <f>+Duke!C20</f>
        <v>1576297.82</v>
      </c>
    </row>
    <row r="81" spans="2:3" x14ac:dyDescent="0.2">
      <c r="B81" s="31">
        <f>SUM(B68:B80)</f>
        <v>333422</v>
      </c>
      <c r="C81" s="259">
        <f>SUM(C68:C80)</f>
        <v>11948.520000000019</v>
      </c>
    </row>
    <row r="82" spans="2:3" x14ac:dyDescent="0.2">
      <c r="C82">
        <f>+C81/B81</f>
        <v>3.5836027616654026E-2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G39" sqref="G39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70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71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5553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-285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5431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5364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105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6131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-348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29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29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29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42935</v>
      </c>
      <c r="C39" s="11">
        <f t="shared" si="1"/>
        <v>45928</v>
      </c>
      <c r="D39" s="11">
        <f t="shared" si="1"/>
        <v>4054</v>
      </c>
      <c r="E39" s="11">
        <f t="shared" si="1"/>
        <v>9000</v>
      </c>
      <c r="F39" s="129">
        <f t="shared" si="1"/>
        <v>7703</v>
      </c>
      <c r="G39" s="11">
        <f t="shared" si="1"/>
        <v>6976</v>
      </c>
      <c r="H39" s="11">
        <f t="shared" si="1"/>
        <v>11868</v>
      </c>
      <c r="I39" s="11">
        <f t="shared" si="1"/>
        <v>8984</v>
      </c>
      <c r="J39" s="25">
        <f t="shared" si="1"/>
        <v>4328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+summary!I4</f>
        <v>2.2000000000000002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9521.6</v>
      </c>
      <c r="L41"/>
      <c r="R41" s="138"/>
      <c r="X41" s="138"/>
    </row>
    <row r="42" spans="1:24" x14ac:dyDescent="0.2">
      <c r="A42" s="57">
        <v>37256</v>
      </c>
      <c r="C42" s="15"/>
      <c r="J42" s="537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37264</v>
      </c>
      <c r="C43" s="48"/>
      <c r="J43" s="138">
        <f>+J42+J41</f>
        <v>416421.51999999996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32">
        <v>166968</v>
      </c>
      <c r="L47"/>
    </row>
    <row r="48" spans="1:24" x14ac:dyDescent="0.2">
      <c r="A48" s="49">
        <f>+A43</f>
        <v>37264</v>
      </c>
      <c r="B48" s="32"/>
      <c r="C48" s="32"/>
      <c r="D48" s="355">
        <f>+J39</f>
        <v>4328</v>
      </c>
      <c r="L48"/>
    </row>
    <row r="49" spans="1:12" x14ac:dyDescent="0.2">
      <c r="A49" s="32"/>
      <c r="B49" s="32"/>
      <c r="C49" s="32"/>
      <c r="D49" s="14">
        <f>+D48+D47</f>
        <v>171296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9" workbookViewId="0">
      <selection activeCell="B16" sqref="B16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7" t="s">
        <v>10</v>
      </c>
      <c r="B7" s="434" t="s">
        <v>19</v>
      </c>
      <c r="C7" s="434" t="s">
        <v>20</v>
      </c>
      <c r="D7" s="434" t="s">
        <v>19</v>
      </c>
      <c r="E7" s="434" t="s">
        <v>20</v>
      </c>
      <c r="F7" s="434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5">
        <v>1</v>
      </c>
      <c r="B8" s="416">
        <v>13305</v>
      </c>
      <c r="C8" s="416">
        <v>1998</v>
      </c>
      <c r="D8" s="416">
        <v>-4206</v>
      </c>
      <c r="E8" s="416"/>
      <c r="F8" s="310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5">
        <v>2</v>
      </c>
      <c r="B9" s="416">
        <v>1426</v>
      </c>
      <c r="C9" s="416">
        <v>1998</v>
      </c>
      <c r="D9" s="416">
        <v>-1924</v>
      </c>
      <c r="E9" s="416"/>
      <c r="F9" s="310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5">
        <v>3</v>
      </c>
      <c r="B10" s="416">
        <v>2</v>
      </c>
      <c r="C10" s="416">
        <v>1333</v>
      </c>
      <c r="D10" s="416"/>
      <c r="E10" s="416"/>
      <c r="F10" s="310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5">
        <v>4</v>
      </c>
      <c r="B11" s="416">
        <v>585</v>
      </c>
      <c r="C11" s="416"/>
      <c r="D11" s="416">
        <v>-861</v>
      </c>
      <c r="E11" s="416"/>
      <c r="F11" s="310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5">
        <v>5</v>
      </c>
      <c r="B12" s="416"/>
      <c r="C12" s="416"/>
      <c r="D12" s="416"/>
      <c r="E12" s="416"/>
      <c r="F12" s="310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5">
        <v>6</v>
      </c>
      <c r="B13" s="416"/>
      <c r="C13" s="416"/>
      <c r="D13" s="416"/>
      <c r="E13" s="416"/>
      <c r="F13" s="310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5">
        <v>7</v>
      </c>
      <c r="B14" s="416"/>
      <c r="C14" s="416"/>
      <c r="D14" s="416"/>
      <c r="E14" s="416"/>
      <c r="F14" s="310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5">
        <v>8</v>
      </c>
      <c r="B15" s="416">
        <v>801</v>
      </c>
      <c r="C15" s="416"/>
      <c r="D15" s="416"/>
      <c r="E15" s="416"/>
      <c r="F15" s="310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5">
        <v>9</v>
      </c>
      <c r="B16" s="416"/>
      <c r="C16" s="416"/>
      <c r="D16" s="416"/>
      <c r="E16" s="416"/>
      <c r="F16" s="310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5">
        <v>10</v>
      </c>
      <c r="B17" s="416"/>
      <c r="C17" s="416"/>
      <c r="D17" s="416"/>
      <c r="E17" s="416"/>
      <c r="F17" s="310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5">
        <v>11</v>
      </c>
      <c r="B18" s="416"/>
      <c r="C18" s="416"/>
      <c r="D18" s="416"/>
      <c r="E18" s="416"/>
      <c r="F18" s="310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5">
        <v>12</v>
      </c>
      <c r="B19" s="416"/>
      <c r="C19" s="416"/>
      <c r="D19" s="416"/>
      <c r="E19" s="416"/>
      <c r="F19" s="310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5">
        <v>13</v>
      </c>
      <c r="B20" s="416"/>
      <c r="C20" s="416"/>
      <c r="D20" s="416"/>
      <c r="E20" s="416"/>
      <c r="F20" s="310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5">
        <v>14</v>
      </c>
      <c r="B21" s="416"/>
      <c r="C21" s="416"/>
      <c r="D21" s="416"/>
      <c r="E21" s="416"/>
      <c r="F21" s="310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5">
        <v>15</v>
      </c>
      <c r="B22" s="416"/>
      <c r="C22" s="416"/>
      <c r="D22" s="416"/>
      <c r="E22" s="416"/>
      <c r="F22" s="310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5">
        <v>16</v>
      </c>
      <c r="B23" s="416"/>
      <c r="C23" s="416"/>
      <c r="D23" s="416"/>
      <c r="E23" s="416"/>
      <c r="F23" s="310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5">
        <v>17</v>
      </c>
      <c r="B24" s="416"/>
      <c r="C24" s="416"/>
      <c r="D24" s="416"/>
      <c r="E24" s="416"/>
      <c r="F24" s="310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5">
        <v>18</v>
      </c>
      <c r="B25" s="416"/>
      <c r="C25" s="416"/>
      <c r="D25" s="416"/>
      <c r="E25" s="416"/>
      <c r="F25" s="310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5">
        <v>19</v>
      </c>
      <c r="B26" s="416"/>
      <c r="C26" s="416"/>
      <c r="D26" s="416"/>
      <c r="E26" s="416"/>
      <c r="F26" s="310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5">
        <v>20</v>
      </c>
      <c r="B27" s="442"/>
      <c r="C27" s="416"/>
      <c r="D27" s="416"/>
      <c r="E27" s="416"/>
      <c r="F27" s="310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5">
        <v>21</v>
      </c>
      <c r="B28" s="416"/>
      <c r="C28" s="416"/>
      <c r="D28" s="416"/>
      <c r="E28" s="416"/>
      <c r="F28" s="310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5">
        <v>22</v>
      </c>
      <c r="B29" s="416"/>
      <c r="C29" s="416"/>
      <c r="D29" s="416"/>
      <c r="E29" s="416"/>
      <c r="F29" s="310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5">
        <v>23</v>
      </c>
      <c r="B30" s="416"/>
      <c r="C30" s="416"/>
      <c r="D30" s="416"/>
      <c r="E30" s="416"/>
      <c r="F30" s="310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5">
        <v>24</v>
      </c>
      <c r="B31" s="416"/>
      <c r="C31" s="416"/>
      <c r="D31" s="416"/>
      <c r="E31" s="416"/>
      <c r="F31" s="310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5">
        <v>25</v>
      </c>
      <c r="B32" s="416"/>
      <c r="C32" s="416"/>
      <c r="D32" s="416"/>
      <c r="E32" s="416"/>
      <c r="F32" s="310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5">
        <v>26</v>
      </c>
      <c r="B33" s="416"/>
      <c r="C33" s="416"/>
      <c r="D33" s="416"/>
      <c r="E33" s="416"/>
      <c r="F33" s="310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5">
        <v>27</v>
      </c>
      <c r="B34" s="416"/>
      <c r="C34" s="416"/>
      <c r="D34" s="416"/>
      <c r="E34" s="416"/>
      <c r="F34" s="310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5">
        <v>28</v>
      </c>
      <c r="B35" s="416"/>
      <c r="C35" s="416"/>
      <c r="D35" s="416"/>
      <c r="E35" s="416"/>
      <c r="F35" s="310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5">
        <v>29</v>
      </c>
      <c r="B36" s="416"/>
      <c r="C36" s="416"/>
      <c r="D36" s="416"/>
      <c r="E36" s="416"/>
      <c r="F36" s="310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5">
        <v>30</v>
      </c>
      <c r="B37" s="416"/>
      <c r="C37" s="416"/>
      <c r="D37" s="416"/>
      <c r="E37" s="416"/>
      <c r="F37" s="310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5">
        <v>31</v>
      </c>
      <c r="B38" s="416"/>
      <c r="C38" s="416"/>
      <c r="D38" s="416"/>
      <c r="E38" s="416"/>
      <c r="F38" s="310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5"/>
      <c r="B39" s="416">
        <f>SUM(B8:B38)</f>
        <v>16119</v>
      </c>
      <c r="C39" s="416">
        <f>SUM(C8:C38)</f>
        <v>5329</v>
      </c>
      <c r="D39" s="416">
        <f>SUM(D8:D38)</f>
        <v>-6991</v>
      </c>
      <c r="E39" s="416">
        <f>SUM(E8:E38)</f>
        <v>0</v>
      </c>
      <c r="F39" s="416">
        <f>SUM(F8:F38)</f>
        <v>-3799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6"/>
      <c r="B40" s="285"/>
      <c r="C40" s="437"/>
      <c r="D40" s="437"/>
      <c r="E40" s="437"/>
      <c r="F40" s="438">
        <f>+summary!I4</f>
        <v>2.2000000000000002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9">
        <f>+F40*F39</f>
        <v>-8357.8000000000011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40"/>
      <c r="D42" s="440"/>
      <c r="E42" s="440"/>
      <c r="F42" s="534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37264</v>
      </c>
      <c r="B43" s="285"/>
      <c r="C43" s="441"/>
      <c r="D43" s="441"/>
      <c r="E43" s="441"/>
      <c r="F43" s="422">
        <f>+F42+F41</f>
        <v>171832.03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32">
        <v>-354919</v>
      </c>
      <c r="E47" s="11"/>
    </row>
    <row r="48" spans="1:26" x14ac:dyDescent="0.2">
      <c r="A48" s="49">
        <f>+A43</f>
        <v>37264</v>
      </c>
      <c r="B48" s="32"/>
      <c r="C48" s="32"/>
      <c r="D48" s="355">
        <f>+F39</f>
        <v>-3799</v>
      </c>
      <c r="E48" s="11"/>
    </row>
    <row r="49" spans="1:5" x14ac:dyDescent="0.2">
      <c r="A49" s="32"/>
      <c r="B49" s="32"/>
      <c r="C49" s="32"/>
      <c r="D49" s="14">
        <f>+D48+D47</f>
        <v>-358718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6"/>
  <sheetViews>
    <sheetView tabSelected="1" workbookViewId="0">
      <selection activeCell="E17" sqref="E17"/>
    </sheetView>
  </sheetViews>
  <sheetFormatPr defaultRowHeight="12.75" x14ac:dyDescent="0.2"/>
  <cols>
    <col min="1" max="1" width="25.85546875" style="285" customWidth="1"/>
    <col min="2" max="2" width="11.140625" style="247" bestFit="1" customWidth="1"/>
    <col min="3" max="3" width="9.7109375" style="286" customWidth="1"/>
    <col min="4" max="4" width="5.140625" style="7" customWidth="1"/>
    <col min="5" max="5" width="11.140625" bestFit="1" customWidth="1"/>
    <col min="6" max="7" width="12.85546875" bestFit="1" customWidth="1"/>
    <col min="9" max="9" width="9.28515625" bestFit="1" customWidth="1"/>
    <col min="10" max="10" width="11.28515625" bestFit="1" customWidth="1"/>
    <col min="11" max="11" width="8.42578125" customWidth="1"/>
    <col min="12" max="12" width="5.140625" customWidth="1"/>
    <col min="14" max="14" width="9.85546875" style="476" bestFit="1" customWidth="1"/>
    <col min="15" max="15" width="9" style="64" bestFit="1" customWidth="1"/>
  </cols>
  <sheetData>
    <row r="2" spans="1:33" ht="20.100000000000001" customHeight="1" x14ac:dyDescent="0.25">
      <c r="A2" s="346" t="s">
        <v>140</v>
      </c>
      <c r="H2" s="368" t="s">
        <v>78</v>
      </c>
      <c r="I2" s="350"/>
    </row>
    <row r="3" spans="1:33" ht="15" customHeight="1" x14ac:dyDescent="0.2">
      <c r="H3" s="289" t="s">
        <v>29</v>
      </c>
      <c r="I3" s="349">
        <f>+'[3]1001'!$K$39</f>
        <v>2.15</v>
      </c>
      <c r="J3" s="379">
        <f ca="1">NOW()</f>
        <v>41885.689525347225</v>
      </c>
    </row>
    <row r="4" spans="1:33" ht="15" customHeight="1" x14ac:dyDescent="0.2">
      <c r="A4" s="34" t="s">
        <v>145</v>
      </c>
      <c r="C4" s="34" t="s">
        <v>5</v>
      </c>
      <c r="H4" s="290" t="s">
        <v>30</v>
      </c>
      <c r="I4" s="291">
        <f>+'[3]1001'!$M$39</f>
        <v>2.2000000000000002</v>
      </c>
    </row>
    <row r="5" spans="1:33" ht="15" customHeight="1" x14ac:dyDescent="0.2">
      <c r="B5" s="348"/>
      <c r="H5" s="289" t="s">
        <v>117</v>
      </c>
      <c r="I5" s="349">
        <f>+'[3]1001'!$E$39</f>
        <v>2.2200000000000002</v>
      </c>
    </row>
    <row r="6" spans="1:33" ht="12" customHeight="1" x14ac:dyDescent="0.2">
      <c r="C6" s="445"/>
    </row>
    <row r="7" spans="1:33" ht="15" customHeight="1" x14ac:dyDescent="0.2">
      <c r="A7" s="338" t="s">
        <v>89</v>
      </c>
      <c r="B7" s="339" t="s">
        <v>16</v>
      </c>
      <c r="C7" s="340" t="s">
        <v>0</v>
      </c>
      <c r="D7" s="5" t="s">
        <v>146</v>
      </c>
      <c r="E7" s="338" t="s">
        <v>90</v>
      </c>
      <c r="F7" s="341" t="s">
        <v>326</v>
      </c>
      <c r="G7" s="341" t="s">
        <v>101</v>
      </c>
      <c r="H7" s="338" t="s">
        <v>98</v>
      </c>
    </row>
    <row r="8" spans="1:33" ht="15" customHeight="1" x14ac:dyDescent="0.2">
      <c r="A8" s="514" t="s">
        <v>250</v>
      </c>
      <c r="B8" s="486">
        <f>+Duke!$C$20</f>
        <v>1576297.82</v>
      </c>
      <c r="C8" s="206">
        <f>+B8/$I$5</f>
        <v>710044.06306306308</v>
      </c>
      <c r="D8" s="369">
        <f>+Duke!A7</f>
        <v>37265</v>
      </c>
      <c r="E8" s="204" t="s">
        <v>85</v>
      </c>
      <c r="F8" s="204" t="s">
        <v>153</v>
      </c>
      <c r="G8" s="204" t="s">
        <v>100</v>
      </c>
      <c r="H8" s="204" t="s">
        <v>312</v>
      </c>
      <c r="I8" s="70"/>
      <c r="J8" s="47"/>
      <c r="K8" s="32"/>
      <c r="L8" s="32"/>
      <c r="M8" s="32"/>
      <c r="N8" s="385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514" t="s">
        <v>257</v>
      </c>
      <c r="B9" s="486">
        <f>+Duke!$C$54+Duke!$C$53+Duke!$C$48+Duke!$C$33</f>
        <v>1218954.8400000001</v>
      </c>
      <c r="C9" s="206">
        <f>+B9/$I$5</f>
        <v>549078.7567567568</v>
      </c>
      <c r="D9" s="369">
        <f>+DEFS!A40</f>
        <v>37265</v>
      </c>
      <c r="E9" s="204" t="s">
        <v>85</v>
      </c>
      <c r="F9" s="204" t="s">
        <v>153</v>
      </c>
      <c r="G9" s="204" t="s">
        <v>100</v>
      </c>
      <c r="H9" s="204" t="s">
        <v>314</v>
      </c>
      <c r="I9" s="32"/>
      <c r="J9" s="47"/>
      <c r="K9" s="32"/>
      <c r="L9" s="32"/>
      <c r="M9" s="32"/>
      <c r="N9" s="385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248" t="s">
        <v>82</v>
      </c>
      <c r="B10" s="486">
        <f>+PNM!$D$23</f>
        <v>830030.12</v>
      </c>
      <c r="C10" s="275">
        <f>+B10/$I$4</f>
        <v>377286.41818181815</v>
      </c>
      <c r="D10" s="370">
        <f>+PNM!A23</f>
        <v>37266</v>
      </c>
      <c r="E10" s="32" t="s">
        <v>85</v>
      </c>
      <c r="F10" s="32" t="s">
        <v>327</v>
      </c>
      <c r="G10" s="32" t="s">
        <v>115</v>
      </c>
      <c r="H10" s="32"/>
      <c r="I10" s="32"/>
      <c r="J10" s="32"/>
      <c r="K10" s="32"/>
      <c r="L10" s="32"/>
      <c r="M10" s="32"/>
      <c r="N10" s="385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248" t="s">
        <v>80</v>
      </c>
      <c r="B11" s="351">
        <f>+Conoco!$F$41</f>
        <v>467350.09</v>
      </c>
      <c r="C11" s="275">
        <f>+B11/$I$4</f>
        <v>212431.8590909091</v>
      </c>
      <c r="D11" s="369">
        <f>+Conoco!A41</f>
        <v>37266</v>
      </c>
      <c r="E11" s="32" t="s">
        <v>85</v>
      </c>
      <c r="F11" s="32" t="s">
        <v>328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5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248" t="s">
        <v>94</v>
      </c>
      <c r="B12" s="486">
        <f>+C12*$I$4</f>
        <v>420846.80000000005</v>
      </c>
      <c r="C12" s="275">
        <f>+Mojave!D40</f>
        <v>191294</v>
      </c>
      <c r="D12" s="370">
        <f>+Mojave!A40</f>
        <v>37263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5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248" t="s">
        <v>107</v>
      </c>
      <c r="B13" s="351">
        <f>+KN_Westar!F41</f>
        <v>417969.39</v>
      </c>
      <c r="C13" s="275">
        <f>+B13/$I$4</f>
        <v>189986.08636363636</v>
      </c>
      <c r="D13" s="370">
        <f>+KN_Westar!A41</f>
        <v>37256</v>
      </c>
      <c r="E13" s="32" t="s">
        <v>85</v>
      </c>
      <c r="F13" s="32" t="s">
        <v>154</v>
      </c>
      <c r="G13" s="32" t="s">
        <v>100</v>
      </c>
      <c r="H13" s="32"/>
      <c r="I13" s="32"/>
      <c r="J13" s="32"/>
      <c r="K13" s="32"/>
      <c r="L13" s="32"/>
      <c r="M13" s="32"/>
      <c r="N13" s="385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248" t="s">
        <v>2</v>
      </c>
      <c r="B14" s="351">
        <f>+mewborne!$J$43</f>
        <v>416421.51999999996</v>
      </c>
      <c r="C14" s="275">
        <f>+B14/$I$4</f>
        <v>189282.50909090906</v>
      </c>
      <c r="D14" s="370">
        <f>+mewborne!A43</f>
        <v>37264</v>
      </c>
      <c r="E14" s="32" t="s">
        <v>85</v>
      </c>
      <c r="F14" s="32" t="s">
        <v>327</v>
      </c>
      <c r="G14" s="32" t="s">
        <v>99</v>
      </c>
      <c r="H14" s="32"/>
      <c r="I14" s="32"/>
      <c r="J14" s="32"/>
      <c r="K14" s="32"/>
      <c r="L14" s="32"/>
      <c r="M14" s="32"/>
      <c r="N14" s="385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48" t="s">
        <v>88</v>
      </c>
      <c r="B15" s="351">
        <f>+C15*$I$5</f>
        <v>292171.98000000004</v>
      </c>
      <c r="C15" s="275">
        <f>+NGPL!F38</f>
        <v>131609</v>
      </c>
      <c r="D15" s="370">
        <f>+NGPL!A38</f>
        <v>37264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5">
        <f>+B8+B9+B40</f>
        <v>11948.519999999553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514" t="s">
        <v>127</v>
      </c>
      <c r="B16" s="486">
        <f>+Calpine!D41</f>
        <v>193479.37</v>
      </c>
      <c r="C16" s="206">
        <f>+B16/$I$4</f>
        <v>87945.168181818168</v>
      </c>
      <c r="D16" s="369">
        <f>+Calpine!A41</f>
        <v>37265</v>
      </c>
      <c r="E16" s="204" t="s">
        <v>85</v>
      </c>
      <c r="F16" s="204" t="s">
        <v>153</v>
      </c>
      <c r="G16" s="204" t="s">
        <v>99</v>
      </c>
      <c r="H16" s="204"/>
      <c r="I16" s="32"/>
      <c r="J16" s="32"/>
      <c r="K16" s="32"/>
      <c r="L16" s="32"/>
      <c r="M16" s="32"/>
      <c r="N16" s="385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48" t="s">
        <v>207</v>
      </c>
      <c r="B17" s="486">
        <f>+Dominion!D41</f>
        <v>178894.58000000002</v>
      </c>
      <c r="C17" s="275">
        <f>+B17/$I$5</f>
        <v>80583.144144144142</v>
      </c>
      <c r="D17" s="370">
        <f>+Dominion!A41</f>
        <v>37264</v>
      </c>
      <c r="E17" s="32" t="s">
        <v>85</v>
      </c>
      <c r="F17" s="32"/>
      <c r="G17" s="32" t="s">
        <v>99</v>
      </c>
      <c r="H17" s="32"/>
      <c r="I17" s="32"/>
      <c r="J17" s="32"/>
      <c r="K17" s="32"/>
      <c r="L17" s="32"/>
      <c r="M17" s="32"/>
      <c r="N17" s="385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248" t="s">
        <v>3</v>
      </c>
      <c r="B18" s="486">
        <f>+'Amoco Abo'!$F$43</f>
        <v>171832.03</v>
      </c>
      <c r="C18" s="275">
        <f>+B18/$I$4</f>
        <v>78105.468181818171</v>
      </c>
      <c r="D18" s="370">
        <f>+'Amoco Abo'!A43</f>
        <v>37264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5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248" t="s">
        <v>210</v>
      </c>
      <c r="B19" s="486">
        <f>+Devon!D41</f>
        <v>167683.87</v>
      </c>
      <c r="C19" s="275">
        <f>+B19/$I$5</f>
        <v>75533.274774774764</v>
      </c>
      <c r="D19" s="370">
        <f>+Devon!A41</f>
        <v>37264</v>
      </c>
      <c r="E19" s="32" t="s">
        <v>85</v>
      </c>
      <c r="F19" s="32" t="s">
        <v>328</v>
      </c>
      <c r="G19" s="32" t="s">
        <v>99</v>
      </c>
      <c r="H19" s="32"/>
      <c r="I19" s="32"/>
      <c r="J19" s="32"/>
      <c r="K19" s="32"/>
      <c r="L19" s="32"/>
      <c r="M19" s="32"/>
      <c r="N19" s="385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514" t="s">
        <v>32</v>
      </c>
      <c r="B20" s="486">
        <f>+C20*$I$4</f>
        <v>162833</v>
      </c>
      <c r="C20" s="206">
        <f>+SoCal!F40</f>
        <v>74015</v>
      </c>
      <c r="D20" s="369">
        <f>+SoCal!A40</f>
        <v>37266</v>
      </c>
      <c r="E20" s="204" t="s">
        <v>84</v>
      </c>
      <c r="F20" s="204" t="s">
        <v>153</v>
      </c>
      <c r="G20" s="204" t="s">
        <v>102</v>
      </c>
      <c r="H20" s="32"/>
      <c r="I20" s="32"/>
      <c r="J20" s="32"/>
      <c r="K20" s="32"/>
      <c r="L20" s="32"/>
      <c r="M20" s="32"/>
      <c r="N20" s="385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248" t="s">
        <v>129</v>
      </c>
      <c r="B21" s="486">
        <f>+EPFS!D41</f>
        <v>109009.01</v>
      </c>
      <c r="C21" s="206">
        <f>+B21/$I$5</f>
        <v>49103.157657657648</v>
      </c>
      <c r="D21" s="369">
        <f>+EPFS!A41</f>
        <v>37265</v>
      </c>
      <c r="E21" s="32" t="s">
        <v>85</v>
      </c>
      <c r="F21" s="32" t="s">
        <v>154</v>
      </c>
      <c r="G21" s="32" t="s">
        <v>102</v>
      </c>
      <c r="H21" s="32"/>
      <c r="I21" s="32"/>
      <c r="J21" s="32"/>
      <c r="K21" s="32"/>
      <c r="L21" s="32"/>
      <c r="M21" s="32" t="s">
        <v>244</v>
      </c>
      <c r="N21" s="385">
        <v>23995</v>
      </c>
      <c r="O21" s="70">
        <v>-1023166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514" t="s">
        <v>33</v>
      </c>
      <c r="B22" s="486">
        <f>+'El Paso'!C39*summary!I4+'El Paso'!E39*summary!I3</f>
        <v>102616.55000000002</v>
      </c>
      <c r="C22" s="275">
        <f>+'El Paso'!H39</f>
        <v>46234</v>
      </c>
      <c r="D22" s="369">
        <f>+'El Paso'!A39</f>
        <v>37265</v>
      </c>
      <c r="E22" s="204" t="s">
        <v>84</v>
      </c>
      <c r="F22" s="204" t="s">
        <v>154</v>
      </c>
      <c r="G22" s="204" t="s">
        <v>100</v>
      </c>
      <c r="H22" s="204"/>
      <c r="I22" s="32"/>
      <c r="J22" s="32"/>
      <c r="K22" s="32"/>
      <c r="L22" s="32"/>
      <c r="M22" s="32" t="s">
        <v>244</v>
      </c>
      <c r="N22" s="385">
        <v>22051</v>
      </c>
      <c r="O22" s="70">
        <v>-527215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48" t="s">
        <v>218</v>
      </c>
      <c r="B23" s="486">
        <f>+Amarillo!P41</f>
        <v>94330.4</v>
      </c>
      <c r="C23" s="275">
        <f>+B23/$I$4</f>
        <v>42877.454545454537</v>
      </c>
      <c r="D23" s="370">
        <f>+Amarillo!A41</f>
        <v>37262</v>
      </c>
      <c r="E23" s="32" t="s">
        <v>85</v>
      </c>
      <c r="F23" s="32" t="s">
        <v>328</v>
      </c>
      <c r="G23" s="32" t="s">
        <v>113</v>
      </c>
      <c r="H23" s="32"/>
      <c r="I23" s="32"/>
      <c r="J23" s="32"/>
      <c r="K23" s="32"/>
      <c r="L23" s="32"/>
      <c r="M23" s="32" t="s">
        <v>244</v>
      </c>
      <c r="N23" s="385">
        <v>22864</v>
      </c>
      <c r="O23" s="70">
        <v>-58339.66</v>
      </c>
      <c r="P23" s="32" t="s">
        <v>248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514" t="s">
        <v>28</v>
      </c>
      <c r="B24" s="351">
        <f>+C24*$I$3</f>
        <v>80100.399999999994</v>
      </c>
      <c r="C24" s="275">
        <f>+williams!J40</f>
        <v>37256</v>
      </c>
      <c r="D24" s="369">
        <f>+williams!A40</f>
        <v>37265</v>
      </c>
      <c r="E24" s="204" t="s">
        <v>85</v>
      </c>
      <c r="F24" s="204" t="s">
        <v>154</v>
      </c>
      <c r="G24" s="204" t="s">
        <v>317</v>
      </c>
      <c r="H24" s="2"/>
      <c r="I24" s="15"/>
      <c r="J24" s="32"/>
      <c r="K24" s="32"/>
      <c r="L24" s="32"/>
      <c r="M24" s="32" t="s">
        <v>244</v>
      </c>
      <c r="N24" s="385">
        <v>20379</v>
      </c>
      <c r="O24" s="70">
        <v>-51695.87</v>
      </c>
      <c r="P24" s="32" t="s">
        <v>248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32" t="s">
        <v>103</v>
      </c>
      <c r="B25" s="351">
        <f>+EOG!$J$41</f>
        <v>64044.01</v>
      </c>
      <c r="C25" s="275">
        <f>+B25/$I$4</f>
        <v>29110.913636363635</v>
      </c>
      <c r="D25" s="369">
        <f>+EOG!A41</f>
        <v>37264</v>
      </c>
      <c r="E25" s="32" t="s">
        <v>85</v>
      </c>
      <c r="F25" s="32" t="s">
        <v>327</v>
      </c>
      <c r="G25" s="32" t="s">
        <v>102</v>
      </c>
      <c r="H25" s="32"/>
      <c r="I25" s="204"/>
      <c r="J25" s="32"/>
      <c r="K25" s="32"/>
      <c r="L25" s="32"/>
      <c r="M25" s="32" t="s">
        <v>244</v>
      </c>
      <c r="N25" s="385">
        <v>26357</v>
      </c>
      <c r="O25" s="70">
        <v>44144.84</v>
      </c>
      <c r="P25" s="32" t="s">
        <v>248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248" t="s">
        <v>23</v>
      </c>
      <c r="B26" s="351">
        <f>+C26*$I$3</f>
        <v>50516.4</v>
      </c>
      <c r="C26" s="353">
        <f>+'Red C'!$F$45</f>
        <v>23496</v>
      </c>
      <c r="D26" s="369">
        <f>+'Red C'!A45</f>
        <v>37266</v>
      </c>
      <c r="E26" s="204" t="s">
        <v>84</v>
      </c>
      <c r="F26" s="32" t="s">
        <v>153</v>
      </c>
      <c r="G26" s="32" t="s">
        <v>115</v>
      </c>
      <c r="H26" s="32"/>
      <c r="I26" s="32"/>
      <c r="J26" s="32"/>
      <c r="K26" s="32"/>
      <c r="L26" s="32"/>
      <c r="M26" s="32" t="s">
        <v>244</v>
      </c>
      <c r="N26" s="385">
        <v>21544</v>
      </c>
      <c r="O26" s="70">
        <v>61340.160000000003</v>
      </c>
      <c r="P26" s="32" t="s">
        <v>248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293" customFormat="1" ht="12.95" customHeight="1" x14ac:dyDescent="0.2">
      <c r="A27" s="248" t="s">
        <v>31</v>
      </c>
      <c r="B27" s="351">
        <f>+C27*$I$5</f>
        <v>47953.642800000009</v>
      </c>
      <c r="C27" s="275">
        <f>+Lonestar!F43</f>
        <v>21600.74</v>
      </c>
      <c r="D27" s="369">
        <f>+Lonestar!A43</f>
        <v>37265</v>
      </c>
      <c r="E27" s="32" t="s">
        <v>84</v>
      </c>
      <c r="F27" s="32" t="s">
        <v>328</v>
      </c>
      <c r="G27" s="32" t="s">
        <v>102</v>
      </c>
      <c r="H27" s="32" t="s">
        <v>310</v>
      </c>
      <c r="I27" s="32"/>
      <c r="J27" s="204"/>
      <c r="K27" s="204"/>
      <c r="L27" s="204"/>
      <c r="M27" s="32" t="s">
        <v>244</v>
      </c>
      <c r="N27" s="477">
        <v>24532</v>
      </c>
      <c r="O27" s="273">
        <v>-956477</v>
      </c>
      <c r="P27" s="273">
        <f>SUM(O21:O27)</f>
        <v>-2511408.5300000003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293" customFormat="1" ht="13.5" customHeight="1" x14ac:dyDescent="0.2">
      <c r="A28" s="32" t="s">
        <v>324</v>
      </c>
      <c r="B28" s="351">
        <f>+Stratland!$D$41</f>
        <v>43180.07</v>
      </c>
      <c r="C28" s="275">
        <f>+B28/$I$4</f>
        <v>19627.304545454543</v>
      </c>
      <c r="D28" s="369">
        <f>+EOG!A47</f>
        <v>37264</v>
      </c>
      <c r="E28" s="32" t="s">
        <v>85</v>
      </c>
      <c r="F28" s="32"/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7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293" customFormat="1" ht="13.5" customHeight="1" x14ac:dyDescent="0.2">
      <c r="A29" s="248" t="s">
        <v>110</v>
      </c>
      <c r="B29" s="351">
        <f>+C29*$I$4</f>
        <v>35921.600000000006</v>
      </c>
      <c r="C29" s="275">
        <f>+CIG!D42</f>
        <v>16328</v>
      </c>
      <c r="D29" s="370">
        <f>+CIG!A42</f>
        <v>37263</v>
      </c>
      <c r="E29" s="204" t="s">
        <v>84</v>
      </c>
      <c r="F29" s="32" t="s">
        <v>154</v>
      </c>
      <c r="G29" s="32" t="s">
        <v>113</v>
      </c>
      <c r="H29" s="32"/>
      <c r="I29" s="204"/>
      <c r="J29" s="204"/>
      <c r="K29" s="204"/>
      <c r="L29" s="204"/>
      <c r="M29" s="204"/>
      <c r="N29" s="477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293" customFormat="1" ht="13.5" customHeight="1" x14ac:dyDescent="0.2">
      <c r="A30" s="248" t="s">
        <v>303</v>
      </c>
      <c r="B30" s="486">
        <f>+'WTG inc'!N43</f>
        <v>35743.090000000004</v>
      </c>
      <c r="C30" s="275">
        <f>+B30/$I$4</f>
        <v>16246.859090909091</v>
      </c>
      <c r="D30" s="370">
        <f>+'WTG inc'!A43</f>
        <v>37264</v>
      </c>
      <c r="E30" s="32" t="s">
        <v>85</v>
      </c>
      <c r="F30" s="32" t="s">
        <v>153</v>
      </c>
      <c r="G30" s="32" t="s">
        <v>115</v>
      </c>
      <c r="H30" s="204"/>
      <c r="I30" s="204"/>
      <c r="J30" s="204"/>
      <c r="K30" s="204"/>
      <c r="L30" s="204"/>
      <c r="M30" s="204"/>
      <c r="N30" s="477"/>
      <c r="O30" s="273"/>
      <c r="P30" s="273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514" t="s">
        <v>109</v>
      </c>
      <c r="B31" s="486">
        <f>+Continental!F43</f>
        <v>34262</v>
      </c>
      <c r="C31" s="206">
        <f>+B31/$I$4</f>
        <v>15573.636363636362</v>
      </c>
      <c r="D31" s="369">
        <f>+Continental!A43</f>
        <v>37264</v>
      </c>
      <c r="E31" s="204" t="s">
        <v>85</v>
      </c>
      <c r="F31" s="204" t="s">
        <v>154</v>
      </c>
      <c r="G31" s="204" t="s">
        <v>115</v>
      </c>
      <c r="H31" s="204"/>
      <c r="I31" s="204"/>
      <c r="J31" s="32"/>
      <c r="K31" s="32"/>
      <c r="L31" s="32"/>
      <c r="M31" s="32" t="s">
        <v>244</v>
      </c>
      <c r="N31" s="385">
        <v>26357</v>
      </c>
      <c r="O31" s="70">
        <v>44144.84</v>
      </c>
      <c r="P31" s="32" t="s">
        <v>248</v>
      </c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5" customHeight="1" x14ac:dyDescent="0.2">
      <c r="A32" s="514" t="s">
        <v>71</v>
      </c>
      <c r="B32" s="352">
        <f>+transcol!$D$43</f>
        <v>31136</v>
      </c>
      <c r="C32" s="353">
        <f>+B32/$I$4</f>
        <v>14152.727272727272</v>
      </c>
      <c r="D32" s="369">
        <f>+transcol!A43</f>
        <v>37265</v>
      </c>
      <c r="E32" s="204" t="s">
        <v>85</v>
      </c>
      <c r="F32" s="204" t="s">
        <v>153</v>
      </c>
      <c r="G32" s="204" t="s">
        <v>115</v>
      </c>
      <c r="H32" s="32"/>
      <c r="I32" s="32"/>
      <c r="J32" s="32"/>
      <c r="K32" s="32"/>
      <c r="L32" s="32"/>
      <c r="M32" s="32"/>
      <c r="N32" s="385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293" customFormat="1" ht="12.95" customHeight="1" x14ac:dyDescent="0.2">
      <c r="A33" s="248" t="s">
        <v>114</v>
      </c>
      <c r="B33" s="486">
        <f>+C33*$I$4</f>
        <v>21562.2</v>
      </c>
      <c r="C33" s="206">
        <f>+'PG&amp;E'!D40</f>
        <v>9801</v>
      </c>
      <c r="D33" s="370">
        <f>+'PG&amp;E'!A40</f>
        <v>37266</v>
      </c>
      <c r="E33" s="32" t="s">
        <v>84</v>
      </c>
      <c r="F33" s="32" t="s">
        <v>154</v>
      </c>
      <c r="G33" s="32" t="s">
        <v>102</v>
      </c>
      <c r="H33" s="32"/>
      <c r="I33" s="204"/>
      <c r="J33" s="204"/>
      <c r="K33" s="204"/>
      <c r="L33" s="204"/>
      <c r="M33" s="204"/>
      <c r="N33" s="477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3.5" customHeight="1" x14ac:dyDescent="0.2">
      <c r="A34" s="248" t="s">
        <v>315</v>
      </c>
      <c r="B34" s="486">
        <f>+C34*$I$3</f>
        <v>21381.75</v>
      </c>
      <c r="C34" s="275">
        <f>+Amoco!D40</f>
        <v>9945</v>
      </c>
      <c r="D34" s="370">
        <f>+Amoco!A40</f>
        <v>37265</v>
      </c>
      <c r="E34" s="32" t="s">
        <v>84</v>
      </c>
      <c r="F34" s="32" t="s">
        <v>153</v>
      </c>
      <c r="G34" s="32" t="s">
        <v>115</v>
      </c>
      <c r="H34" s="32"/>
      <c r="I34" s="32"/>
      <c r="J34" s="32"/>
      <c r="K34" s="32"/>
      <c r="L34" s="32"/>
      <c r="M34" s="32"/>
      <c r="N34" s="385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514" t="s">
        <v>95</v>
      </c>
      <c r="B35" s="351">
        <f>+burlington!D42</f>
        <v>17359.490000000005</v>
      </c>
      <c r="C35" s="275">
        <f>+B35/$I$3</f>
        <v>8074.1813953488399</v>
      </c>
      <c r="D35" s="369">
        <f>+burlington!A42</f>
        <v>37265</v>
      </c>
      <c r="E35" s="204" t="s">
        <v>85</v>
      </c>
      <c r="F35" s="32" t="s">
        <v>154</v>
      </c>
      <c r="G35" s="32" t="s">
        <v>113</v>
      </c>
      <c r="H35" s="32"/>
      <c r="I35" s="32"/>
      <c r="J35" s="32"/>
      <c r="K35" s="32"/>
      <c r="L35" s="32"/>
      <c r="M35" s="32"/>
      <c r="N35" s="385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293" customFormat="1" ht="13.5" customHeight="1" x14ac:dyDescent="0.2">
      <c r="A36" s="248" t="s">
        <v>131</v>
      </c>
      <c r="B36" s="354">
        <f>+SidR!D41</f>
        <v>8063.8100000000013</v>
      </c>
      <c r="C36" s="71">
        <f>+B36/$I$5</f>
        <v>3632.3468468468473</v>
      </c>
      <c r="D36" s="370">
        <f>+SidR!A41</f>
        <v>37265</v>
      </c>
      <c r="E36" s="32" t="s">
        <v>85</v>
      </c>
      <c r="F36" s="32" t="s">
        <v>152</v>
      </c>
      <c r="G36" s="32" t="s">
        <v>102</v>
      </c>
      <c r="H36" s="32"/>
      <c r="I36" s="204"/>
      <c r="J36" s="204"/>
      <c r="K36" s="204"/>
      <c r="L36" s="204"/>
      <c r="M36" s="204"/>
      <c r="N36" s="477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8" customHeight="1" x14ac:dyDescent="0.2">
      <c r="A37" s="32" t="s">
        <v>96</v>
      </c>
      <c r="B37" s="47">
        <f>SUM(B8:B36)</f>
        <v>7311945.8328</v>
      </c>
      <c r="C37" s="69">
        <f>SUM(C8:C36)</f>
        <v>3310254.0691840467</v>
      </c>
      <c r="D37" s="203"/>
      <c r="E37" s="32"/>
      <c r="F37" s="32"/>
      <c r="G37" s="32"/>
      <c r="H37" s="32"/>
      <c r="I37" s="32"/>
      <c r="J37" s="32"/>
      <c r="K37" s="32"/>
      <c r="L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2"/>
      <c r="B38" s="47"/>
      <c r="C38" s="69"/>
      <c r="D38" s="203"/>
      <c r="E38" s="32"/>
      <c r="F38" s="356"/>
      <c r="G38" s="356"/>
      <c r="H38" s="32"/>
      <c r="I38" s="32"/>
      <c r="J38" s="32"/>
      <c r="K38" s="32"/>
      <c r="L38" s="32"/>
      <c r="M38" s="32"/>
      <c r="N38" s="385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38" t="s">
        <v>89</v>
      </c>
      <c r="B39" s="339" t="s">
        <v>16</v>
      </c>
      <c r="C39" s="340" t="s">
        <v>0</v>
      </c>
      <c r="D39" s="347" t="s">
        <v>146</v>
      </c>
      <c r="E39" s="338" t="s">
        <v>90</v>
      </c>
      <c r="F39" s="341" t="s">
        <v>101</v>
      </c>
      <c r="G39" s="341" t="s">
        <v>101</v>
      </c>
      <c r="H39" s="338" t="s">
        <v>98</v>
      </c>
      <c r="I39" s="32"/>
      <c r="J39" s="32"/>
      <c r="K39" s="32"/>
      <c r="L39" s="32"/>
      <c r="M39" s="32"/>
      <c r="N39" s="385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514" t="s">
        <v>249</v>
      </c>
      <c r="B40" s="487">
        <f>+DEFS!$C$40+DEFS!$E$40+DEFS!$F$44+DEFS!$F$45+DEFS!$F$46+DEFS!$F$47+DEFS!$F$48</f>
        <v>-2783304.1400000006</v>
      </c>
      <c r="C40" s="353">
        <f>+B40/$I$5</f>
        <v>-1253740.6036036038</v>
      </c>
      <c r="D40" s="369">
        <f>+DEFS!A40</f>
        <v>37265</v>
      </c>
      <c r="E40" s="204" t="s">
        <v>85</v>
      </c>
      <c r="F40" s="32" t="s">
        <v>153</v>
      </c>
      <c r="G40" s="32" t="s">
        <v>100</v>
      </c>
      <c r="H40" s="32" t="s">
        <v>313</v>
      </c>
      <c r="I40" s="32"/>
      <c r="J40" s="32"/>
      <c r="K40" s="32"/>
      <c r="L40" s="32"/>
      <c r="M40" s="32"/>
      <c r="N40" s="385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514" t="s">
        <v>135</v>
      </c>
      <c r="B41" s="486">
        <f>+Citizens!D18</f>
        <v>-547526.79</v>
      </c>
      <c r="C41" s="206">
        <f>+B41/$I$4</f>
        <v>-248875.81363636363</v>
      </c>
      <c r="D41" s="369">
        <f>+Citizens!A18</f>
        <v>37264</v>
      </c>
      <c r="E41" s="204" t="s">
        <v>85</v>
      </c>
      <c r="F41" s="204" t="s">
        <v>328</v>
      </c>
      <c r="G41" s="204" t="s">
        <v>99</v>
      </c>
      <c r="H41" s="357"/>
      <c r="I41" s="32"/>
      <c r="J41" s="32"/>
      <c r="K41" s="32"/>
      <c r="L41" s="32"/>
      <c r="M41" s="32"/>
      <c r="N41" s="385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48" t="s">
        <v>133</v>
      </c>
      <c r="B42" s="486">
        <f>+'NS Steel'!D41</f>
        <v>-332544.40000000002</v>
      </c>
      <c r="C42" s="206">
        <f>+B42/$I$4</f>
        <v>-151156.54545454544</v>
      </c>
      <c r="D42" s="370">
        <f>+'NS Steel'!A41</f>
        <v>37265</v>
      </c>
      <c r="E42" s="32" t="s">
        <v>85</v>
      </c>
      <c r="F42" s="32" t="s">
        <v>154</v>
      </c>
      <c r="G42" s="32" t="s">
        <v>100</v>
      </c>
      <c r="H42" s="357"/>
      <c r="I42" s="32"/>
      <c r="J42" s="32"/>
      <c r="K42" s="32"/>
      <c r="L42" s="32"/>
      <c r="M42" s="32"/>
      <c r="N42" s="385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514" t="s">
        <v>261</v>
      </c>
      <c r="B43" s="486">
        <f>+MiVida_Rich!D41</f>
        <v>-203736.06</v>
      </c>
      <c r="C43" s="206">
        <f>+B43/$I$5</f>
        <v>-91772.999999999985</v>
      </c>
      <c r="D43" s="369">
        <f>+MiVida_Rich!A41</f>
        <v>37256</v>
      </c>
      <c r="E43" s="204" t="s">
        <v>85</v>
      </c>
      <c r="F43" s="204" t="s">
        <v>152</v>
      </c>
      <c r="G43" s="204" t="s">
        <v>102</v>
      </c>
      <c r="H43" s="357"/>
      <c r="I43" s="32"/>
      <c r="J43" s="32"/>
      <c r="K43" s="32"/>
      <c r="L43" s="32"/>
      <c r="M43" s="32"/>
      <c r="N43" s="385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248" t="s">
        <v>216</v>
      </c>
      <c r="B44" s="486">
        <f>+crosstex!F41</f>
        <v>-122588.84</v>
      </c>
      <c r="C44" s="206">
        <f>+B44/$I$4</f>
        <v>-55722.2</v>
      </c>
      <c r="D44" s="370">
        <f>+crosstex!A41</f>
        <v>37264</v>
      </c>
      <c r="E44" s="32" t="s">
        <v>85</v>
      </c>
      <c r="F44" s="32" t="s">
        <v>152</v>
      </c>
      <c r="G44" s="32" t="s">
        <v>100</v>
      </c>
      <c r="H44" s="357"/>
      <c r="I44" s="32"/>
      <c r="J44" s="32"/>
      <c r="K44" s="32"/>
      <c r="L44" s="32"/>
      <c r="M44" s="32"/>
      <c r="N44" s="385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246" customFormat="1" ht="13.5" customHeight="1" x14ac:dyDescent="0.2">
      <c r="A45" s="515" t="s">
        <v>79</v>
      </c>
      <c r="B45" s="518">
        <f>+Agave!$D$24</f>
        <v>-95791.98000000001</v>
      </c>
      <c r="C45" s="469">
        <f>+B45/$I$4</f>
        <v>-43541.80909090909</v>
      </c>
      <c r="D45" s="468">
        <f>+Agave!A24</f>
        <v>37265</v>
      </c>
      <c r="E45" s="448" t="s">
        <v>85</v>
      </c>
      <c r="F45" s="448" t="s">
        <v>328</v>
      </c>
      <c r="G45" s="448" t="s">
        <v>102</v>
      </c>
      <c r="H45" s="448"/>
      <c r="I45" s="249"/>
      <c r="J45" s="249"/>
      <c r="K45" s="249"/>
      <c r="L45" s="249"/>
      <c r="M45" s="32"/>
      <c r="N45" s="477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293" customFormat="1" ht="13.5" customHeight="1" x14ac:dyDescent="0.2">
      <c r="A46" s="248" t="s">
        <v>147</v>
      </c>
      <c r="B46" s="351">
        <f>+PGETX!$H$37</f>
        <v>-75991</v>
      </c>
      <c r="C46" s="275">
        <f>+B46/$I$4</f>
        <v>-34541.363636363632</v>
      </c>
      <c r="D46" s="370">
        <f>+PGETX!E37</f>
        <v>37265</v>
      </c>
      <c r="E46" s="32" t="s">
        <v>85</v>
      </c>
      <c r="F46" s="32" t="s">
        <v>329</v>
      </c>
      <c r="G46" s="32" t="s">
        <v>102</v>
      </c>
      <c r="H46" s="32"/>
      <c r="I46" s="204"/>
      <c r="J46" s="204"/>
      <c r="K46" s="204">
        <f>135710*1.98</f>
        <v>268705.8</v>
      </c>
      <c r="L46" s="204"/>
      <c r="M46" s="204"/>
      <c r="N46" s="477"/>
      <c r="O46" s="273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  <c r="AB46" s="204"/>
      <c r="AC46" s="204"/>
      <c r="AD46" s="204"/>
      <c r="AE46" s="204"/>
      <c r="AF46" s="204"/>
      <c r="AG46" s="204"/>
    </row>
    <row r="47" spans="1:33" ht="13.5" customHeight="1" x14ac:dyDescent="0.2">
      <c r="A47" s="248" t="s">
        <v>1</v>
      </c>
      <c r="B47" s="486">
        <f>+C47*$I$3</f>
        <v>-62532.75</v>
      </c>
      <c r="C47" s="206">
        <f>+NW!$F$41</f>
        <v>-29085</v>
      </c>
      <c r="D47" s="369">
        <f>+NW!B41</f>
        <v>37265</v>
      </c>
      <c r="E47" s="32" t="s">
        <v>84</v>
      </c>
      <c r="F47" s="32" t="s">
        <v>153</v>
      </c>
      <c r="G47" s="32" t="s">
        <v>115</v>
      </c>
      <c r="H47" s="357"/>
      <c r="I47" s="32"/>
      <c r="J47" s="32"/>
      <c r="K47" s="32"/>
      <c r="L47" s="32"/>
      <c r="M47" s="32"/>
      <c r="N47" s="385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514" t="s">
        <v>204</v>
      </c>
      <c r="B48" s="487">
        <f>+WTGmktg!J43</f>
        <v>-30825.730000000003</v>
      </c>
      <c r="C48" s="206">
        <f>+B48/$I$4</f>
        <v>-14011.695454545456</v>
      </c>
      <c r="D48" s="369">
        <f>+WTGmktg!A43</f>
        <v>37264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/>
      <c r="N48" s="385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293" customFormat="1" ht="13.5" customHeight="1" x14ac:dyDescent="0.2">
      <c r="A49" s="248" t="s">
        <v>6</v>
      </c>
      <c r="B49" s="486">
        <f>+Oasis!$D$40</f>
        <v>-29336.430000000004</v>
      </c>
      <c r="C49" s="206">
        <f>+B49/$I$5</f>
        <v>-13214.608108108108</v>
      </c>
      <c r="D49" s="370">
        <f>+Oasis!A40</f>
        <v>37265</v>
      </c>
      <c r="E49" s="32" t="s">
        <v>85</v>
      </c>
      <c r="F49" s="32" t="s">
        <v>154</v>
      </c>
      <c r="G49" s="32" t="s">
        <v>102</v>
      </c>
      <c r="H49" s="32"/>
      <c r="I49" s="204"/>
      <c r="J49" s="204"/>
      <c r="K49" s="204"/>
      <c r="L49" s="204"/>
      <c r="M49" s="204"/>
      <c r="N49" s="477"/>
      <c r="O49" s="273"/>
      <c r="P49" s="273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293" customFormat="1" ht="13.5" customHeight="1" x14ac:dyDescent="0.2">
      <c r="A50" s="514" t="s">
        <v>142</v>
      </c>
      <c r="B50" s="352">
        <f>+C50*$I$4</f>
        <v>-24226.400000000001</v>
      </c>
      <c r="C50" s="353">
        <f>+PEPL!D41</f>
        <v>-11012</v>
      </c>
      <c r="D50" s="369">
        <f>+PEPL!A41</f>
        <v>37264</v>
      </c>
      <c r="E50" s="204" t="s">
        <v>84</v>
      </c>
      <c r="F50" s="204" t="s">
        <v>328</v>
      </c>
      <c r="G50" s="204" t="s">
        <v>100</v>
      </c>
      <c r="H50" s="32"/>
      <c r="I50" s="204"/>
      <c r="J50" s="204"/>
      <c r="K50" s="204"/>
      <c r="L50" s="204"/>
      <c r="M50" s="204" t="s">
        <v>245</v>
      </c>
      <c r="N50" s="477">
        <v>24361</v>
      </c>
      <c r="O50" s="273">
        <v>811179.69</v>
      </c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293" customFormat="1" ht="13.5" customHeight="1" x14ac:dyDescent="0.2">
      <c r="A51" s="248" t="s">
        <v>298</v>
      </c>
      <c r="B51" s="351">
        <f>+SWGasTrans!$D$41</f>
        <v>-22380.730000000003</v>
      </c>
      <c r="C51" s="275">
        <f>+B51/$I$4</f>
        <v>-10173.059090909092</v>
      </c>
      <c r="D51" s="369">
        <f>+SWGasTrans!A41</f>
        <v>37264</v>
      </c>
      <c r="E51" s="32" t="s">
        <v>85</v>
      </c>
      <c r="F51" s="32" t="s">
        <v>153</v>
      </c>
      <c r="G51" s="32" t="s">
        <v>99</v>
      </c>
      <c r="H51" s="32"/>
      <c r="I51" s="204"/>
      <c r="J51" s="204"/>
      <c r="K51" s="204"/>
      <c r="L51" s="204"/>
      <c r="M51" s="204"/>
      <c r="N51" s="477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293" customFormat="1" ht="13.5" customHeight="1" x14ac:dyDescent="0.2">
      <c r="A52" s="514" t="s">
        <v>139</v>
      </c>
      <c r="B52" s="486">
        <f>+'Citizens-Griffith'!D41</f>
        <v>-16332.680000000008</v>
      </c>
      <c r="C52" s="275">
        <f>+B52/$I$4</f>
        <v>-7423.9454545454573</v>
      </c>
      <c r="D52" s="369">
        <f>+'Citizens-Griffith'!A41</f>
        <v>37264</v>
      </c>
      <c r="E52" s="204" t="s">
        <v>85</v>
      </c>
      <c r="F52" s="204" t="s">
        <v>328</v>
      </c>
      <c r="G52" s="204" t="s">
        <v>99</v>
      </c>
      <c r="H52" s="204"/>
      <c r="I52" s="204"/>
      <c r="J52" s="204"/>
      <c r="K52" s="204"/>
      <c r="L52" s="204"/>
      <c r="M52" s="32" t="s">
        <v>245</v>
      </c>
      <c r="N52" s="385">
        <v>21665</v>
      </c>
      <c r="O52" s="70">
        <v>73449</v>
      </c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s="293" customFormat="1" ht="13.5" customHeight="1" x14ac:dyDescent="0.2">
      <c r="A53" s="514" t="s">
        <v>87</v>
      </c>
      <c r="B53" s="354">
        <f>+NNG!$D$24</f>
        <v>-1303.3000000000029</v>
      </c>
      <c r="C53" s="71">
        <f>+B53/$I$4</f>
        <v>-592.40909090909213</v>
      </c>
      <c r="D53" s="369">
        <f>+NNG!A24</f>
        <v>37264</v>
      </c>
      <c r="E53" s="204" t="s">
        <v>85</v>
      </c>
      <c r="F53" s="204" t="s">
        <v>327</v>
      </c>
      <c r="G53" s="204" t="s">
        <v>100</v>
      </c>
      <c r="H53" s="204"/>
      <c r="I53" s="204"/>
      <c r="J53" s="204"/>
      <c r="K53" s="204"/>
      <c r="L53" s="204"/>
      <c r="M53" s="32"/>
      <c r="N53" s="385"/>
      <c r="O53" s="70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204"/>
      <c r="AA53" s="204"/>
      <c r="AB53" s="204"/>
      <c r="AC53" s="204"/>
      <c r="AD53" s="204"/>
      <c r="AE53" s="204"/>
      <c r="AF53" s="204"/>
      <c r="AG53" s="204"/>
    </row>
    <row r="54" spans="1:33" ht="15" customHeight="1" x14ac:dyDescent="0.2">
      <c r="A54" s="32" t="s">
        <v>97</v>
      </c>
      <c r="B54" s="351">
        <f>SUM(B40:B53)</f>
        <v>-4348421.2300000014</v>
      </c>
      <c r="C54" s="206">
        <f>SUM(C40:C53)</f>
        <v>-1964864.052620803</v>
      </c>
      <c r="D54" s="358"/>
      <c r="E54" s="32"/>
      <c r="F54" s="32"/>
      <c r="G54" s="32"/>
      <c r="H54" s="32"/>
      <c r="I54" s="32"/>
      <c r="J54" s="32"/>
      <c r="K54" s="32"/>
      <c r="L54" s="32"/>
      <c r="M54" s="32"/>
      <c r="N54" s="385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2.95" customHeight="1" x14ac:dyDescent="0.2">
      <c r="A55" s="32"/>
      <c r="B55" s="354"/>
      <c r="C55" s="71"/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85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3.5" thickBot="1" x14ac:dyDescent="0.25">
      <c r="A56" s="2" t="s">
        <v>91</v>
      </c>
      <c r="B56" s="359">
        <f>+B54+B37</f>
        <v>2963524.6027999986</v>
      </c>
      <c r="C56" s="360">
        <f>+C54+C37</f>
        <v>1345390.0165632437</v>
      </c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5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Top="1" x14ac:dyDescent="0.2">
      <c r="A57" s="32"/>
      <c r="B57" s="47"/>
      <c r="C57" s="69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5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2" t="s">
        <v>92</v>
      </c>
      <c r="B58" s="47"/>
      <c r="C58" s="294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5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5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5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5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5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5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14"/>
      <c r="D64" s="203"/>
      <c r="E64" s="136"/>
      <c r="F64" s="32"/>
      <c r="G64" s="32"/>
      <c r="H64" s="32"/>
      <c r="I64" s="32"/>
      <c r="J64" s="32"/>
      <c r="K64" s="32"/>
      <c r="L64" s="32"/>
      <c r="M64" s="32"/>
      <c r="N64" s="385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69"/>
      <c r="D65" s="203"/>
      <c r="E65" s="32"/>
      <c r="F65" s="32"/>
      <c r="G65" s="32"/>
      <c r="H65" s="32"/>
      <c r="I65" s="32"/>
      <c r="J65" s="32"/>
      <c r="K65" s="32"/>
      <c r="L65" s="32"/>
      <c r="M65" s="32"/>
      <c r="N65" s="385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A66" s="32"/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5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5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85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5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5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5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5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5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5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5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5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5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5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5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5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5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5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5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5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5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5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5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5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5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5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5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5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5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5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5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5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5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5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5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5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2" t="s">
        <v>264</v>
      </c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85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 t="s">
        <v>262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5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263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5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361"/>
      <c r="C104" s="362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5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2" t="s">
        <v>265</v>
      </c>
      <c r="B105" s="75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5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 t="s">
        <v>266</v>
      </c>
      <c r="B106" s="75">
        <v>16841.21</v>
      </c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5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268</v>
      </c>
      <c r="B107" s="75">
        <v>-8065.83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5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269</v>
      </c>
      <c r="B108" s="536">
        <v>-725.46</v>
      </c>
      <c r="C108" s="69"/>
      <c r="D108" s="363"/>
      <c r="E108" s="32"/>
      <c r="F108" s="32"/>
      <c r="G108" s="32"/>
      <c r="H108" s="32"/>
      <c r="I108" s="32"/>
      <c r="J108" s="32"/>
      <c r="K108" s="32"/>
      <c r="L108" s="32"/>
      <c r="M108" s="32"/>
      <c r="N108" s="385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276</v>
      </c>
      <c r="B109" s="533">
        <v>107948.28</v>
      </c>
      <c r="C109" s="294"/>
      <c r="D109" s="364"/>
      <c r="E109" s="32"/>
      <c r="F109" s="32"/>
      <c r="G109" s="32"/>
      <c r="H109" s="32"/>
      <c r="I109" s="32"/>
      <c r="J109" s="32"/>
      <c r="K109" s="32"/>
      <c r="L109" s="32"/>
      <c r="M109" s="32"/>
      <c r="N109" s="385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274</v>
      </c>
      <c r="B110" s="536">
        <v>-1777.19</v>
      </c>
      <c r="C110" s="294"/>
      <c r="D110" s="365"/>
      <c r="E110" s="32"/>
      <c r="F110" s="32"/>
      <c r="G110" s="32"/>
      <c r="H110" s="32"/>
      <c r="I110" s="32"/>
      <c r="J110" s="32"/>
      <c r="K110" s="32"/>
      <c r="L110" s="32"/>
      <c r="M110" s="32"/>
      <c r="N110" s="385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277</v>
      </c>
      <c r="B111" s="536">
        <v>2429.75</v>
      </c>
      <c r="C111" s="294"/>
      <c r="D111" s="366"/>
      <c r="E111" s="32"/>
      <c r="F111" s="32"/>
      <c r="G111" s="32"/>
      <c r="H111" s="32"/>
      <c r="I111" s="32"/>
      <c r="J111" s="32"/>
      <c r="K111" s="32"/>
      <c r="L111" s="32"/>
      <c r="M111" s="32"/>
      <c r="N111" s="385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281</v>
      </c>
      <c r="B112" s="536">
        <v>6695.6</v>
      </c>
      <c r="C112" s="502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85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284</v>
      </c>
      <c r="B113" s="536">
        <v>48174.22</v>
      </c>
      <c r="C113" s="502"/>
      <c r="D113" s="363"/>
      <c r="E113" s="32"/>
      <c r="F113" s="32"/>
      <c r="G113" s="32"/>
      <c r="H113" s="32"/>
      <c r="I113" s="32"/>
      <c r="J113" s="32"/>
      <c r="K113" s="32"/>
      <c r="L113" s="32"/>
      <c r="M113" s="32"/>
      <c r="N113" s="385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288</v>
      </c>
      <c r="B114" s="533">
        <v>-2165.34</v>
      </c>
      <c r="C114" s="502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85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292</v>
      </c>
      <c r="B115" s="533">
        <v>-17015.8</v>
      </c>
      <c r="C115" s="502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5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293</v>
      </c>
      <c r="B116" s="533">
        <v>8356.0499999999993</v>
      </c>
      <c r="C116" s="503"/>
      <c r="D116" s="363"/>
      <c r="E116" s="32"/>
      <c r="F116" s="32"/>
      <c r="G116" s="32"/>
      <c r="H116" s="32"/>
      <c r="I116" s="32"/>
      <c r="J116" s="32"/>
      <c r="K116" s="32"/>
      <c r="L116" s="32"/>
      <c r="M116" s="32"/>
      <c r="N116" s="385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295</v>
      </c>
      <c r="B117" s="549">
        <f>775*2.25</f>
        <v>1743.75</v>
      </c>
      <c r="C117" s="503"/>
      <c r="D117" s="363"/>
      <c r="E117" s="32"/>
      <c r="F117" s="32"/>
      <c r="G117" s="32"/>
      <c r="H117" s="32"/>
      <c r="I117" s="32"/>
      <c r="J117" s="32"/>
      <c r="K117" s="32"/>
      <c r="L117" s="32"/>
      <c r="M117" s="32"/>
      <c r="N117" s="385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299</v>
      </c>
      <c r="B118" s="533">
        <v>0</v>
      </c>
      <c r="C118" s="503"/>
      <c r="D118" s="363"/>
      <c r="E118" s="32"/>
      <c r="F118" s="32"/>
      <c r="G118" s="32"/>
      <c r="H118" s="32"/>
      <c r="I118" s="32"/>
      <c r="J118" s="32"/>
      <c r="K118" s="32"/>
      <c r="L118" s="32"/>
      <c r="M118" s="32"/>
      <c r="N118" s="385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291</v>
      </c>
      <c r="B119" s="15">
        <f>44144.84-58339.66</f>
        <v>-14194.820000000007</v>
      </c>
      <c r="C119" s="503">
        <v>26357</v>
      </c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85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291</v>
      </c>
      <c r="B120" s="15">
        <v>-51695.87</v>
      </c>
      <c r="C120" s="503">
        <v>20379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5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291</v>
      </c>
      <c r="B121" s="15">
        <v>61340.160000000003</v>
      </c>
      <c r="C121" s="503">
        <v>21544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5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319</v>
      </c>
      <c r="B122" s="533">
        <v>-2475.85</v>
      </c>
      <c r="C122" s="503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5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300</v>
      </c>
      <c r="B123" s="533">
        <v>2493.64</v>
      </c>
      <c r="C123" s="503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5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301</v>
      </c>
      <c r="B124" s="259">
        <v>8282.6</v>
      </c>
      <c r="C124" s="503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5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287</v>
      </c>
      <c r="B125" s="259">
        <v>-7228.77</v>
      </c>
      <c r="C125" s="502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5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15">
        <v>249009.74</v>
      </c>
      <c r="C126" s="502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5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280</v>
      </c>
      <c r="B127" s="533">
        <f>1974.11-1974.11</f>
        <v>0</v>
      </c>
      <c r="C127" s="502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5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267</v>
      </c>
      <c r="B128" s="536">
        <v>-35893</v>
      </c>
      <c r="C128" s="502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5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275</v>
      </c>
      <c r="B129" s="75">
        <v>27281.87</v>
      </c>
      <c r="C129" s="502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5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278</v>
      </c>
      <c r="B130" s="75">
        <v>-2614.58</v>
      </c>
      <c r="C130" s="502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5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279</v>
      </c>
      <c r="B131" s="75">
        <v>-177733.88</v>
      </c>
      <c r="C131" s="502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5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282</v>
      </c>
      <c r="B132" s="15">
        <v>3338.45</v>
      </c>
      <c r="C132" s="502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5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283</v>
      </c>
      <c r="B133" s="15">
        <v>15325.21</v>
      </c>
      <c r="C133" s="502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5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285</v>
      </c>
      <c r="B134" s="15">
        <v>-33878.81</v>
      </c>
      <c r="C134" s="502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5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289</v>
      </c>
      <c r="B135" s="15">
        <v>-726.96</v>
      </c>
      <c r="C135" s="502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5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290</v>
      </c>
      <c r="B136" s="47">
        <v>-4405.4799999999996</v>
      </c>
      <c r="C136" s="502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5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320</v>
      </c>
      <c r="B137" s="535">
        <v>4000.5</v>
      </c>
      <c r="C137" s="502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5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321</v>
      </c>
      <c r="B138" s="535">
        <v>-725.46</v>
      </c>
      <c r="C138" s="502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5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5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16">
        <f>SUM(B106:B139)</f>
        <v>201937.93000000005</v>
      </c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5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5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5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5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 t="s">
        <v>270</v>
      </c>
      <c r="B144" s="504" t="s">
        <v>272</v>
      </c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5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271</v>
      </c>
      <c r="B145" s="504" t="s">
        <v>273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5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325</v>
      </c>
      <c r="B146" s="47">
        <v>-3863.86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5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294</v>
      </c>
      <c r="B147" s="259">
        <v>17432.3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5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5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5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5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5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5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5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5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5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5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5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5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5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5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5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5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5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5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5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5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5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5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5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5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5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5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5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5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5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5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5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5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5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5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5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5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5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5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5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5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5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5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5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5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5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5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5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5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5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5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5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5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5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5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5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5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5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5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5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5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5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5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5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5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5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5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5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5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5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5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5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5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5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5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5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5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5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5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5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5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5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5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5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5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5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5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5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5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5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5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5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5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5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5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5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5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5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5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5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5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5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5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5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5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5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5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5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5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5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5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5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5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5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5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5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5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5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5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5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5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5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5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5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5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5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5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5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5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5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5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5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5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5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5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5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5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5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5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5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5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5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5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5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5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5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5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5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5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5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5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5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5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5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5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5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5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5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5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5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5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5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5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5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5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5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5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5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5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5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5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5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5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5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5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5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5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5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5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5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5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5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5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5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5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5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5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5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5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5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5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5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5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5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5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5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5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5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5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5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5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5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5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5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5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5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5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5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5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5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5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5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5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5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5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5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5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5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5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5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5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3" workbookViewId="0">
      <selection activeCell="B12" sqref="B12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8">
        <v>-276487</v>
      </c>
      <c r="C6" s="80"/>
      <c r="D6" s="80">
        <f t="shared" ref="D6:D14" si="0">+C6-B6</f>
        <v>276487</v>
      </c>
    </row>
    <row r="7" spans="1:4" x14ac:dyDescent="0.2">
      <c r="A7" s="32">
        <v>3531</v>
      </c>
      <c r="B7" s="312">
        <v>-249070</v>
      </c>
      <c r="C7" s="80">
        <v>-94491</v>
      </c>
      <c r="D7" s="80">
        <f t="shared" si="0"/>
        <v>154579</v>
      </c>
    </row>
    <row r="8" spans="1:4" x14ac:dyDescent="0.2">
      <c r="A8" s="32">
        <v>60667</v>
      </c>
      <c r="B8" s="312">
        <v>-108557</v>
      </c>
      <c r="C8" s="80">
        <v>-476903</v>
      </c>
      <c r="D8" s="80">
        <f t="shared" si="0"/>
        <v>-368346</v>
      </c>
    </row>
    <row r="9" spans="1:4" x14ac:dyDescent="0.2">
      <c r="A9" s="32">
        <v>60749</v>
      </c>
      <c r="B9" s="312">
        <v>24003</v>
      </c>
      <c r="C9" s="80">
        <v>-83200</v>
      </c>
      <c r="D9" s="80">
        <f t="shared" si="0"/>
        <v>-107203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12">
        <v>-23344</v>
      </c>
      <c r="C11" s="80"/>
      <c r="D11" s="80">
        <f t="shared" si="0"/>
        <v>23344</v>
      </c>
    </row>
    <row r="12" spans="1:4" x14ac:dyDescent="0.2">
      <c r="A12" s="32">
        <v>62960</v>
      </c>
      <c r="B12" s="312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-21139</v>
      </c>
    </row>
    <row r="19" spans="1:5" x14ac:dyDescent="0.2">
      <c r="A19" s="32" t="s">
        <v>81</v>
      </c>
      <c r="B19" s="69"/>
      <c r="C19" s="69"/>
      <c r="D19" s="73">
        <f>+summary!I4</f>
        <v>2.2000000000000002</v>
      </c>
    </row>
    <row r="20" spans="1:5" x14ac:dyDescent="0.2">
      <c r="B20" s="69"/>
      <c r="C20" s="69"/>
      <c r="D20" s="75">
        <f>+D19*D18</f>
        <v>-46505.8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45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37264</v>
      </c>
      <c r="B24" s="69"/>
      <c r="C24" s="69"/>
      <c r="D24" s="335">
        <f>+D22+D20</f>
        <v>-1303.3000000000029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46">
        <v>20090</v>
      </c>
    </row>
    <row r="33" spans="1:4" x14ac:dyDescent="0.2">
      <c r="A33" s="49">
        <f>+A24</f>
        <v>37264</v>
      </c>
      <c r="D33" s="355">
        <f>+D18</f>
        <v>-21139</v>
      </c>
    </row>
    <row r="34" spans="1:4" x14ac:dyDescent="0.2">
      <c r="D34" s="14">
        <f>+D33+D32</f>
        <v>-1049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11" workbookViewId="0">
      <selection activeCell="C33" sqref="C33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8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-35550-3746</f>
        <v>-39296</v>
      </c>
      <c r="C5" s="90">
        <v>-17760</v>
      </c>
      <c r="D5" s="90">
        <f t="shared" ref="D5:D13" si="0">+C5-B5</f>
        <v>21536</v>
      </c>
      <c r="E5" s="69"/>
      <c r="F5" s="201"/>
    </row>
    <row r="6" spans="1:13" x14ac:dyDescent="0.2">
      <c r="A6" s="87">
        <v>9238</v>
      </c>
      <c r="B6" s="90">
        <v>-4149</v>
      </c>
      <c r="C6" s="90">
        <v>-7000</v>
      </c>
      <c r="D6" s="90">
        <f t="shared" si="0"/>
        <v>-2851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-927856-129520</f>
        <v>-1057376</v>
      </c>
      <c r="C7" s="90">
        <v>-1099256</v>
      </c>
      <c r="D7" s="90">
        <f t="shared" si="0"/>
        <v>-41880</v>
      </c>
      <c r="E7" s="275"/>
      <c r="F7" s="201"/>
    </row>
    <row r="8" spans="1:13" x14ac:dyDescent="0.2">
      <c r="A8" s="87">
        <v>58710</v>
      </c>
      <c r="B8" s="90">
        <v>-105508</v>
      </c>
      <c r="C8" s="90">
        <v>-98892</v>
      </c>
      <c r="D8" s="90">
        <f t="shared" si="0"/>
        <v>6616</v>
      </c>
      <c r="E8" s="275"/>
      <c r="F8" s="201"/>
    </row>
    <row r="9" spans="1:13" x14ac:dyDescent="0.2">
      <c r="A9" s="87">
        <v>60921</v>
      </c>
      <c r="B9" s="90">
        <f>-308700-42581</f>
        <v>-351281</v>
      </c>
      <c r="C9" s="90">
        <v>-301646</v>
      </c>
      <c r="D9" s="90">
        <f t="shared" si="0"/>
        <v>49635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72"/>
    </row>
    <row r="11" spans="1:13" x14ac:dyDescent="0.2">
      <c r="A11" s="87">
        <v>500084</v>
      </c>
      <c r="B11" s="90">
        <v>-23209</v>
      </c>
      <c r="C11" s="90">
        <v>-30000</v>
      </c>
      <c r="D11" s="90">
        <f t="shared" si="0"/>
        <v>-6791</v>
      </c>
      <c r="E11" s="276"/>
      <c r="F11" s="472"/>
    </row>
    <row r="12" spans="1:13" x14ac:dyDescent="0.2">
      <c r="A12" s="320">
        <v>500085</v>
      </c>
      <c r="B12" s="90">
        <v>-1</v>
      </c>
      <c r="C12" s="90"/>
      <c r="D12" s="90">
        <f t="shared" si="0"/>
        <v>1</v>
      </c>
      <c r="E12" s="275"/>
      <c r="F12" s="472"/>
    </row>
    <row r="13" spans="1:13" x14ac:dyDescent="0.2">
      <c r="A13" s="87">
        <v>500097</v>
      </c>
      <c r="B13" s="90">
        <v>-42423</v>
      </c>
      <c r="C13" s="90">
        <v>-40000</v>
      </c>
      <c r="D13" s="90">
        <f t="shared" si="0"/>
        <v>2423</v>
      </c>
      <c r="E13" s="275"/>
      <c r="F13" s="472"/>
    </row>
    <row r="14" spans="1:13" x14ac:dyDescent="0.2">
      <c r="A14" s="87"/>
      <c r="B14" s="90"/>
      <c r="C14" s="90"/>
      <c r="D14" s="90"/>
      <c r="E14" s="275"/>
      <c r="F14" s="472"/>
    </row>
    <row r="15" spans="1:13" x14ac:dyDescent="0.2">
      <c r="A15" s="87"/>
      <c r="B15" s="90"/>
      <c r="C15" s="90"/>
      <c r="D15" s="90"/>
      <c r="E15" s="275"/>
      <c r="F15" s="472"/>
    </row>
    <row r="16" spans="1:13" x14ac:dyDescent="0.2">
      <c r="A16" s="87"/>
      <c r="B16" s="88"/>
      <c r="C16" s="88"/>
      <c r="D16" s="94"/>
      <c r="E16" s="275"/>
      <c r="F16" s="472"/>
    </row>
    <row r="17" spans="1:7" x14ac:dyDescent="0.2">
      <c r="A17" s="87"/>
      <c r="B17" s="88"/>
      <c r="C17" s="88"/>
      <c r="D17" s="88">
        <f>SUM(D5:D16)</f>
        <v>28689</v>
      </c>
      <c r="E17" s="275"/>
      <c r="F17" s="472"/>
    </row>
    <row r="18" spans="1:7" x14ac:dyDescent="0.2">
      <c r="A18" s="87" t="s">
        <v>81</v>
      </c>
      <c r="B18" s="88"/>
      <c r="C18" s="88"/>
      <c r="D18" s="95">
        <f>+summary!I4</f>
        <v>2.2000000000000002</v>
      </c>
      <c r="E18" s="277"/>
      <c r="F18" s="472"/>
    </row>
    <row r="19" spans="1:7" x14ac:dyDescent="0.2">
      <c r="A19" s="87"/>
      <c r="B19" s="88"/>
      <c r="C19" s="88"/>
      <c r="D19" s="96">
        <f>+D18*D17</f>
        <v>63115.8</v>
      </c>
      <c r="E19" s="207"/>
      <c r="F19" s="472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8">
        <v>766914.32</v>
      </c>
      <c r="E21" s="207"/>
      <c r="F21" s="473"/>
    </row>
    <row r="22" spans="1:7" x14ac:dyDescent="0.2">
      <c r="A22" s="87"/>
      <c r="B22" s="88"/>
      <c r="C22" s="88"/>
      <c r="D22" s="311"/>
      <c r="E22" s="207"/>
      <c r="F22" s="473"/>
    </row>
    <row r="23" spans="1:7" ht="13.5" thickBot="1" x14ac:dyDescent="0.25">
      <c r="A23" s="99">
        <v>37266</v>
      </c>
      <c r="B23" s="88"/>
      <c r="C23" s="88"/>
      <c r="D23" s="321">
        <f>+D21+D19</f>
        <v>830030.12</v>
      </c>
      <c r="E23" s="207"/>
      <c r="F23" s="473"/>
    </row>
    <row r="24" spans="1:7" ht="13.5" thickTop="1" x14ac:dyDescent="0.2">
      <c r="E24" s="278"/>
    </row>
    <row r="25" spans="1:7" x14ac:dyDescent="0.2">
      <c r="E25" s="513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32">
        <v>307322</v>
      </c>
    </row>
    <row r="29" spans="1:7" x14ac:dyDescent="0.2">
      <c r="A29" s="49">
        <f>+A23</f>
        <v>37266</v>
      </c>
      <c r="B29" s="32"/>
      <c r="C29" s="32"/>
      <c r="D29" s="355">
        <f>+D17</f>
        <v>28689</v>
      </c>
    </row>
    <row r="30" spans="1:7" x14ac:dyDescent="0.2">
      <c r="A30" s="32"/>
      <c r="B30" s="32"/>
      <c r="C30" s="32"/>
      <c r="D30" s="14">
        <f>+D29+D28</f>
        <v>336011</v>
      </c>
      <c r="E30" s="348"/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4"/>
      <c r="E36" s="69"/>
      <c r="F36" s="201"/>
      <c r="G36" s="32"/>
    </row>
    <row r="37" spans="1:7" x14ac:dyDescent="0.2">
      <c r="B37" s="69"/>
      <c r="C37" s="69"/>
      <c r="D37" s="294"/>
      <c r="E37" s="69"/>
      <c r="F37" s="201"/>
      <c r="G37" s="32"/>
    </row>
    <row r="38" spans="1:7" x14ac:dyDescent="0.2">
      <c r="B38" s="69"/>
      <c r="C38" s="69"/>
      <c r="D38" s="294"/>
      <c r="E38" s="69"/>
      <c r="F38" s="201"/>
      <c r="G38" s="32"/>
    </row>
    <row r="39" spans="1:7" x14ac:dyDescent="0.2">
      <c r="B39" s="69"/>
      <c r="C39" s="69"/>
      <c r="D39" s="294"/>
      <c r="E39" s="69"/>
      <c r="F39" s="201"/>
      <c r="G39" s="32"/>
    </row>
    <row r="40" spans="1:7" x14ac:dyDescent="0.2">
      <c r="B40" s="69"/>
      <c r="C40" s="69"/>
      <c r="D40" s="294"/>
      <c r="E40" s="69"/>
      <c r="F40" s="201"/>
      <c r="G40" s="32"/>
    </row>
    <row r="41" spans="1:7" x14ac:dyDescent="0.2">
      <c r="B41" s="69"/>
      <c r="C41" s="69"/>
      <c r="D41" s="294"/>
      <c r="E41" s="69"/>
      <c r="F41" s="201"/>
      <c r="G41" s="32"/>
    </row>
    <row r="42" spans="1:7" x14ac:dyDescent="0.2">
      <c r="B42" s="69"/>
      <c r="C42" s="69"/>
      <c r="D42" s="294"/>
      <c r="E42" s="69"/>
      <c r="F42" s="201"/>
      <c r="G42" s="32"/>
    </row>
    <row r="43" spans="1:7" x14ac:dyDescent="0.2">
      <c r="B43" s="69"/>
      <c r="C43" s="69"/>
      <c r="D43" s="294"/>
      <c r="E43" s="69"/>
      <c r="F43" s="201"/>
      <c r="G43" s="32"/>
    </row>
    <row r="44" spans="1:7" x14ac:dyDescent="0.2">
      <c r="B44" s="69"/>
      <c r="C44" s="69"/>
      <c r="D44" s="295"/>
      <c r="E44" s="275"/>
      <c r="F44" s="472"/>
      <c r="G44" s="204"/>
    </row>
    <row r="45" spans="1:7" x14ac:dyDescent="0.2">
      <c r="B45" s="69"/>
      <c r="C45" s="69"/>
      <c r="D45" s="295"/>
      <c r="E45" s="275"/>
      <c r="F45" s="472"/>
      <c r="G45" s="204"/>
    </row>
    <row r="46" spans="1:7" x14ac:dyDescent="0.2">
      <c r="A46" s="32"/>
      <c r="B46" s="69"/>
      <c r="C46" s="69"/>
      <c r="D46" s="275"/>
      <c r="E46" s="275"/>
      <c r="F46" s="472"/>
      <c r="G46" s="204"/>
    </row>
    <row r="47" spans="1:7" x14ac:dyDescent="0.2">
      <c r="A47" s="32"/>
      <c r="B47" s="69"/>
      <c r="C47" s="69"/>
      <c r="D47" s="277"/>
      <c r="E47" s="277"/>
      <c r="F47" s="472"/>
      <c r="G47" s="204"/>
    </row>
    <row r="48" spans="1:7" x14ac:dyDescent="0.2">
      <c r="B48" s="69"/>
      <c r="C48" s="69"/>
      <c r="D48" s="275"/>
      <c r="E48" s="275"/>
      <c r="F48" s="472"/>
      <c r="G48" s="204"/>
    </row>
    <row r="49" spans="1:7" x14ac:dyDescent="0.2">
      <c r="B49" s="69"/>
      <c r="C49" s="69"/>
      <c r="D49" s="275"/>
      <c r="E49" s="275"/>
      <c r="F49" s="472"/>
      <c r="G49" s="204"/>
    </row>
    <row r="50" spans="1:7" x14ac:dyDescent="0.2">
      <c r="C50" s="292"/>
      <c r="D50" s="292"/>
      <c r="E50" s="292"/>
      <c r="F50" s="474"/>
      <c r="G50" s="293"/>
    </row>
    <row r="51" spans="1:7" x14ac:dyDescent="0.2">
      <c r="A51" s="32"/>
      <c r="C51" s="292"/>
      <c r="D51" s="292"/>
      <c r="E51" s="292"/>
      <c r="F51" s="474"/>
    </row>
    <row r="52" spans="1:7" x14ac:dyDescent="0.2">
      <c r="A52" s="32"/>
      <c r="C52" s="292"/>
      <c r="D52" s="292"/>
      <c r="E52" s="292"/>
      <c r="F52" s="474"/>
    </row>
    <row r="53" spans="1:7" x14ac:dyDescent="0.2">
      <c r="A53" s="32"/>
      <c r="C53" s="292"/>
      <c r="D53" s="292"/>
      <c r="E53" s="292"/>
      <c r="F53" s="474"/>
    </row>
    <row r="54" spans="1:7" x14ac:dyDescent="0.2">
      <c r="A54" s="32"/>
      <c r="C54" s="292"/>
      <c r="D54" s="292"/>
      <c r="E54" s="292"/>
      <c r="F54" s="474"/>
    </row>
    <row r="55" spans="1:7" x14ac:dyDescent="0.2">
      <c r="A55" s="32"/>
      <c r="C55" s="292"/>
      <c r="D55" s="292"/>
      <c r="E55" s="278"/>
      <c r="F55" s="427"/>
    </row>
    <row r="56" spans="1:7" x14ac:dyDescent="0.2">
      <c r="C56" s="292"/>
      <c r="D56" s="292"/>
      <c r="E56" s="278"/>
      <c r="F56" s="427"/>
    </row>
    <row r="57" spans="1:7" x14ac:dyDescent="0.2">
      <c r="C57" s="292"/>
      <c r="D57" s="292"/>
      <c r="E57" s="278"/>
      <c r="F57" s="427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5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73"/>
    </row>
    <row r="101" spans="1:6" x14ac:dyDescent="0.2">
      <c r="A101" s="32"/>
      <c r="E101" s="63"/>
      <c r="F101" s="473"/>
    </row>
    <row r="102" spans="1:6" ht="13.5" thickBot="1" x14ac:dyDescent="0.25">
      <c r="A102" s="32"/>
      <c r="D102" s="68"/>
      <c r="E102" s="68"/>
      <c r="F102" s="473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5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73"/>
    </row>
    <row r="127" spans="1:6" x14ac:dyDescent="0.2">
      <c r="A127" s="32"/>
      <c r="D127" s="75"/>
      <c r="E127" s="75"/>
      <c r="F127" s="473"/>
    </row>
    <row r="128" spans="1:6" ht="13.5" thickBot="1" x14ac:dyDescent="0.25">
      <c r="A128" s="32"/>
      <c r="D128" s="77"/>
      <c r="E128" s="77"/>
      <c r="F128" s="473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5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73"/>
    </row>
    <row r="152" spans="1:6" x14ac:dyDescent="0.2">
      <c r="A152" s="32"/>
      <c r="D152" s="75"/>
      <c r="E152" s="75"/>
      <c r="F152" s="473"/>
    </row>
    <row r="153" spans="1:6" ht="13.5" thickBot="1" x14ac:dyDescent="0.25">
      <c r="A153" s="32"/>
      <c r="D153" s="77"/>
      <c r="E153" s="77"/>
      <c r="F153" s="473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5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73"/>
    </row>
    <row r="177" spans="1:6" x14ac:dyDescent="0.2">
      <c r="A177" s="32"/>
      <c r="D177" s="75"/>
      <c r="E177" s="75"/>
      <c r="F177" s="473"/>
    </row>
    <row r="178" spans="1:6" ht="13.5" thickBot="1" x14ac:dyDescent="0.25">
      <c r="A178" s="32"/>
      <c r="D178" s="77"/>
      <c r="E178" s="77"/>
      <c r="F178" s="473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5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73"/>
    </row>
    <row r="201" spans="1:6" x14ac:dyDescent="0.2">
      <c r="A201" s="32"/>
      <c r="D201" s="75"/>
      <c r="E201" s="75"/>
      <c r="F201" s="473"/>
    </row>
    <row r="202" spans="1:6" ht="13.5" thickBot="1" x14ac:dyDescent="0.25">
      <c r="A202" s="32"/>
      <c r="D202" s="83"/>
      <c r="E202" s="77"/>
      <c r="F202" s="473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5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73"/>
    </row>
    <row r="227" spans="1:6" x14ac:dyDescent="0.2">
      <c r="A227" s="32"/>
      <c r="D227" s="75"/>
      <c r="E227" s="75"/>
      <c r="F227" s="473"/>
    </row>
    <row r="228" spans="1:6" ht="13.5" thickBot="1" x14ac:dyDescent="0.25">
      <c r="A228" s="32"/>
      <c r="D228" s="83"/>
      <c r="E228" s="77"/>
      <c r="F228" s="473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5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73"/>
    </row>
    <row r="251" spans="1:6" x14ac:dyDescent="0.2">
      <c r="A251" s="32"/>
      <c r="D251" s="75"/>
      <c r="E251" s="75"/>
      <c r="F251" s="473"/>
    </row>
    <row r="252" spans="1:6" ht="13.5" thickBot="1" x14ac:dyDescent="0.25">
      <c r="A252" s="32"/>
      <c r="D252" s="86"/>
      <c r="E252" s="77"/>
      <c r="F252" s="473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5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73"/>
    </row>
    <row r="275" spans="1:6" x14ac:dyDescent="0.2">
      <c r="A275" s="87"/>
      <c r="B275" s="88"/>
      <c r="C275" s="88"/>
      <c r="D275" s="96"/>
      <c r="E275" s="75"/>
      <c r="F275" s="473"/>
    </row>
    <row r="276" spans="1:6" ht="13.5" thickBot="1" x14ac:dyDescent="0.25">
      <c r="A276" s="87"/>
      <c r="B276" s="88"/>
      <c r="C276" s="88"/>
      <c r="D276" s="98"/>
      <c r="E276" s="77"/>
      <c r="F276" s="473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5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73"/>
    </row>
    <row r="300" spans="1:6" x14ac:dyDescent="0.2">
      <c r="A300" s="87"/>
      <c r="B300" s="88"/>
      <c r="C300" s="88"/>
      <c r="D300" s="96"/>
      <c r="E300" s="75"/>
      <c r="F300" s="473"/>
    </row>
    <row r="301" spans="1:6" ht="13.5" thickBot="1" x14ac:dyDescent="0.25">
      <c r="A301" s="87"/>
      <c r="B301" s="88"/>
      <c r="C301" s="88"/>
      <c r="D301" s="98"/>
      <c r="E301" s="77"/>
      <c r="F301" s="473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5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73"/>
    </row>
    <row r="327" spans="1:6" x14ac:dyDescent="0.2">
      <c r="A327" s="87"/>
      <c r="B327" s="88"/>
      <c r="C327" s="88"/>
      <c r="D327" s="96"/>
      <c r="E327" s="75"/>
      <c r="F327" s="473"/>
    </row>
    <row r="328" spans="1:6" ht="13.5" thickBot="1" x14ac:dyDescent="0.25">
      <c r="A328" s="87"/>
      <c r="B328" s="88"/>
      <c r="C328" s="88"/>
      <c r="D328" s="98"/>
      <c r="E328" s="77"/>
      <c r="F328" s="473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workbookViewId="0">
      <selection activeCell="A39" sqref="A39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>+E5-D5+C5-B5</f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ref="F6:F33" si="0">+E6-D6+C6-B6</f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52"/>
      <c r="J9" s="330"/>
      <c r="K9" s="330"/>
      <c r="L9" s="330"/>
      <c r="M9" s="451"/>
      <c r="N9" s="451"/>
      <c r="O9" s="451"/>
      <c r="P9" s="452"/>
      <c r="Q9" s="330"/>
      <c r="R9" s="330"/>
      <c r="S9" s="330"/>
      <c r="T9" s="451"/>
      <c r="U9" s="451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52">
        <v>37012</v>
      </c>
      <c r="J10" s="330">
        <v>1103057</v>
      </c>
      <c r="K10" s="330">
        <v>1120793</v>
      </c>
      <c r="L10" s="330">
        <f>+K10-J10</f>
        <v>17736</v>
      </c>
      <c r="M10" s="451">
        <v>4.01</v>
      </c>
      <c r="N10" s="451">
        <f>+L10*M10</f>
        <v>71121.36</v>
      </c>
      <c r="O10" s="451"/>
      <c r="P10" s="452">
        <v>37012</v>
      </c>
      <c r="Q10" s="330">
        <v>-202726</v>
      </c>
      <c r="R10" s="330">
        <v>-185000</v>
      </c>
      <c r="S10" s="330">
        <f t="shared" ref="S10:S15" si="1">+R10-Q10</f>
        <v>17726</v>
      </c>
      <c r="T10" s="451">
        <v>4.01</v>
      </c>
      <c r="U10" s="451">
        <f>+S10*T10</f>
        <v>71081.259999999995</v>
      </c>
      <c r="W10" s="453">
        <v>37012</v>
      </c>
      <c r="X10">
        <v>4.01</v>
      </c>
    </row>
    <row r="11" spans="1:24" x14ac:dyDescent="0.2">
      <c r="A11">
        <v>9</v>
      </c>
      <c r="B11" s="90"/>
      <c r="C11" s="90"/>
      <c r="D11" s="90"/>
      <c r="E11" s="90"/>
      <c r="F11" s="90">
        <f t="shared" si="0"/>
        <v>0</v>
      </c>
      <c r="I11" s="452">
        <v>37043</v>
      </c>
      <c r="J11" s="330">
        <f>1647210-1647210+1654290</f>
        <v>1654290</v>
      </c>
      <c r="K11" s="330">
        <v>1681871</v>
      </c>
      <c r="L11" s="330">
        <f>+K11-J11</f>
        <v>27581</v>
      </c>
      <c r="M11" s="451">
        <v>3.51</v>
      </c>
      <c r="N11" s="451">
        <f>+L11*M11</f>
        <v>96809.31</v>
      </c>
      <c r="O11" s="451"/>
      <c r="P11" s="452">
        <v>37043</v>
      </c>
      <c r="Q11" s="330">
        <v>-153623</v>
      </c>
      <c r="R11" s="330">
        <v>-88473</v>
      </c>
      <c r="S11" s="330">
        <f t="shared" si="1"/>
        <v>65150</v>
      </c>
      <c r="T11" s="451">
        <v>3.51</v>
      </c>
      <c r="U11" s="451">
        <f>+S11*T11</f>
        <v>228676.5</v>
      </c>
      <c r="W11" s="453">
        <v>37043</v>
      </c>
      <c r="X11">
        <v>3.51</v>
      </c>
    </row>
    <row r="12" spans="1:24" x14ac:dyDescent="0.2">
      <c r="A12">
        <v>10</v>
      </c>
      <c r="B12" s="90"/>
      <c r="C12" s="90"/>
      <c r="D12" s="90"/>
      <c r="E12" s="90"/>
      <c r="F12" s="90">
        <f t="shared" si="0"/>
        <v>0</v>
      </c>
      <c r="I12" s="452">
        <v>37073</v>
      </c>
      <c r="J12" s="330">
        <f>1305497-1305497+1309597</f>
        <v>1309597</v>
      </c>
      <c r="K12" s="330">
        <v>1270571</v>
      </c>
      <c r="L12" s="330">
        <f>+K12-J12</f>
        <v>-39026</v>
      </c>
      <c r="M12" s="451">
        <v>2.94</v>
      </c>
      <c r="N12" s="451">
        <f>+L12*M12</f>
        <v>-114736.44</v>
      </c>
      <c r="O12" s="451"/>
      <c r="P12" s="452">
        <v>37104</v>
      </c>
      <c r="Q12" s="330">
        <v>-34269</v>
      </c>
      <c r="R12" s="330">
        <v>-27046</v>
      </c>
      <c r="S12" s="330">
        <f t="shared" si="1"/>
        <v>7223</v>
      </c>
      <c r="T12" s="451">
        <v>2.85</v>
      </c>
      <c r="U12" s="451">
        <f>+S12*T12</f>
        <v>20585.55</v>
      </c>
      <c r="W12" s="453">
        <v>37073</v>
      </c>
      <c r="X12">
        <v>2.94</v>
      </c>
    </row>
    <row r="13" spans="1:24" x14ac:dyDescent="0.2">
      <c r="A13">
        <v>11</v>
      </c>
      <c r="B13" s="90"/>
      <c r="C13" s="90"/>
      <c r="D13" s="90"/>
      <c r="E13" s="90"/>
      <c r="F13" s="90">
        <f t="shared" si="0"/>
        <v>0</v>
      </c>
      <c r="I13" s="452">
        <v>37104</v>
      </c>
      <c r="J13" s="330">
        <f>1436775-1436775+1438269</f>
        <v>1438269</v>
      </c>
      <c r="K13" s="330">
        <v>1418897</v>
      </c>
      <c r="L13" s="330">
        <f>+K13-J13</f>
        <v>-19372</v>
      </c>
      <c r="M13" s="451">
        <v>2.85</v>
      </c>
      <c r="N13" s="451">
        <f>+L13*M13</f>
        <v>-55210.200000000004</v>
      </c>
      <c r="O13" s="451"/>
      <c r="P13" s="452">
        <v>37135</v>
      </c>
      <c r="Q13" s="330">
        <v>-1191628</v>
      </c>
      <c r="R13" s="330">
        <v>-1210937</v>
      </c>
      <c r="S13" s="330">
        <f t="shared" si="1"/>
        <v>-19309</v>
      </c>
      <c r="T13" s="451">
        <v>1.96</v>
      </c>
      <c r="U13" s="451">
        <f>+S13*T13</f>
        <v>-37845.64</v>
      </c>
      <c r="W13" s="453">
        <v>37104</v>
      </c>
      <c r="X13">
        <v>2.85</v>
      </c>
    </row>
    <row r="14" spans="1:24" x14ac:dyDescent="0.2">
      <c r="A14">
        <v>12</v>
      </c>
      <c r="B14" s="88"/>
      <c r="C14" s="90"/>
      <c r="D14" s="88"/>
      <c r="E14" s="88"/>
      <c r="F14" s="90">
        <f t="shared" si="0"/>
        <v>0</v>
      </c>
      <c r="I14" s="452">
        <v>37135</v>
      </c>
      <c r="J14" s="330">
        <v>1109912</v>
      </c>
      <c r="K14" s="330">
        <v>1111335</v>
      </c>
      <c r="L14" s="330">
        <f>+K14-J14</f>
        <v>1423</v>
      </c>
      <c r="M14" s="451">
        <v>1.96</v>
      </c>
      <c r="N14" s="454">
        <f>+L14*M14</f>
        <v>2789.08</v>
      </c>
      <c r="O14" s="451"/>
      <c r="P14" s="452"/>
      <c r="Q14" s="330"/>
      <c r="R14" s="330"/>
      <c r="S14" s="330">
        <f t="shared" si="1"/>
        <v>0</v>
      </c>
      <c r="T14" s="451"/>
      <c r="U14" s="451"/>
      <c r="W14" s="453">
        <v>37135</v>
      </c>
      <c r="X14">
        <v>1.96</v>
      </c>
    </row>
    <row r="15" spans="1:24" x14ac:dyDescent="0.2">
      <c r="A15">
        <v>13</v>
      </c>
      <c r="B15" s="88"/>
      <c r="C15" s="88"/>
      <c r="D15" s="88"/>
      <c r="E15" s="88"/>
      <c r="F15" s="90">
        <f t="shared" si="0"/>
        <v>0</v>
      </c>
      <c r="I15" s="452"/>
      <c r="J15" s="330"/>
      <c r="K15" s="330"/>
      <c r="L15" s="330"/>
      <c r="M15" s="451"/>
      <c r="N15" s="451"/>
      <c r="O15" s="451"/>
      <c r="P15" s="452"/>
      <c r="Q15" s="330"/>
      <c r="R15" s="330"/>
      <c r="S15" s="330">
        <f t="shared" si="1"/>
        <v>0</v>
      </c>
      <c r="T15" s="451"/>
      <c r="U15" s="451"/>
    </row>
    <row r="16" spans="1:24" x14ac:dyDescent="0.2">
      <c r="A16">
        <v>14</v>
      </c>
      <c r="B16" s="88"/>
      <c r="C16" s="88"/>
      <c r="D16" s="88"/>
      <c r="E16" s="88"/>
      <c r="F16" s="90">
        <f t="shared" si="0"/>
        <v>0</v>
      </c>
      <c r="I16" s="452" t="s">
        <v>237</v>
      </c>
      <c r="J16" s="330"/>
      <c r="K16" s="330"/>
      <c r="L16" s="330">
        <f>SUM(L10:L15)</f>
        <v>-11658</v>
      </c>
      <c r="M16" s="451"/>
      <c r="N16" s="451">
        <f>SUM(N9:N15)</f>
        <v>773.10999999997694</v>
      </c>
      <c r="O16" s="451"/>
      <c r="P16" s="452" t="s">
        <v>237</v>
      </c>
      <c r="Q16" s="330"/>
      <c r="R16" s="330"/>
      <c r="S16" s="330">
        <f>SUM(S9:S15)</f>
        <v>70790</v>
      </c>
      <c r="T16" s="451"/>
      <c r="U16" s="451">
        <f>SUM(U9:U15)</f>
        <v>282497.67</v>
      </c>
    </row>
    <row r="17" spans="1:21" x14ac:dyDescent="0.2">
      <c r="A17">
        <v>15</v>
      </c>
      <c r="B17" s="88"/>
      <c r="C17" s="88"/>
      <c r="D17" s="330"/>
      <c r="E17" s="330"/>
      <c r="F17" s="90">
        <f t="shared" si="0"/>
        <v>0</v>
      </c>
    </row>
    <row r="18" spans="1:21" x14ac:dyDescent="0.2">
      <c r="A18">
        <v>16</v>
      </c>
      <c r="B18" s="88"/>
      <c r="C18" s="88"/>
      <c r="D18" s="330"/>
      <c r="E18" s="330"/>
      <c r="F18" s="90">
        <f t="shared" si="0"/>
        <v>0</v>
      </c>
      <c r="I18" s="452" t="s">
        <v>238</v>
      </c>
      <c r="J18" s="330"/>
      <c r="K18" s="330"/>
      <c r="L18" s="330">
        <v>19880</v>
      </c>
      <c r="M18" s="451"/>
      <c r="N18" s="451"/>
      <c r="O18" s="451"/>
      <c r="P18" s="452" t="s">
        <v>238</v>
      </c>
      <c r="Q18" s="330"/>
      <c r="R18" s="330"/>
      <c r="S18" s="330">
        <v>37185</v>
      </c>
      <c r="T18" s="451"/>
      <c r="U18" s="451"/>
    </row>
    <row r="19" spans="1:21" x14ac:dyDescent="0.2">
      <c r="A19">
        <v>17</v>
      </c>
      <c r="B19" s="88"/>
      <c r="C19" s="88"/>
      <c r="D19" s="330"/>
      <c r="E19" s="330"/>
      <c r="F19" s="90">
        <f t="shared" si="0"/>
        <v>0</v>
      </c>
      <c r="I19" s="452"/>
      <c r="J19" s="330"/>
      <c r="K19" s="330"/>
      <c r="L19" s="330"/>
      <c r="M19" s="451"/>
      <c r="N19" s="451"/>
      <c r="O19" s="451"/>
      <c r="P19" s="452"/>
      <c r="Q19" s="330"/>
      <c r="R19" s="330"/>
      <c r="S19" s="330"/>
      <c r="T19" s="451"/>
      <c r="U19" s="451"/>
    </row>
    <row r="20" spans="1:21" x14ac:dyDescent="0.2">
      <c r="A20">
        <v>18</v>
      </c>
      <c r="B20" s="330"/>
      <c r="C20" s="330"/>
      <c r="D20" s="330"/>
      <c r="E20" s="330"/>
      <c r="F20" s="90">
        <f t="shared" si="0"/>
        <v>0</v>
      </c>
      <c r="I20" s="452"/>
      <c r="J20" s="330"/>
      <c r="K20" s="330"/>
      <c r="L20" s="330"/>
      <c r="M20" s="451"/>
      <c r="N20" s="451"/>
      <c r="O20" s="451"/>
      <c r="P20" s="452"/>
      <c r="Q20" s="330"/>
      <c r="R20" s="330"/>
      <c r="S20" s="330"/>
      <c r="T20" s="451"/>
      <c r="U20" s="451"/>
    </row>
    <row r="21" spans="1:21" x14ac:dyDescent="0.2">
      <c r="A21">
        <v>19</v>
      </c>
      <c r="B21" s="330"/>
      <c r="C21" s="330"/>
      <c r="D21" s="330"/>
      <c r="E21" s="330"/>
      <c r="F21" s="90">
        <f t="shared" si="0"/>
        <v>0</v>
      </c>
      <c r="I21" s="452"/>
      <c r="J21" s="330"/>
      <c r="K21" s="330"/>
      <c r="L21" s="330"/>
      <c r="M21" s="451"/>
      <c r="N21" s="451"/>
      <c r="O21" s="451"/>
      <c r="P21" s="452"/>
      <c r="Q21" s="330"/>
      <c r="R21" s="330"/>
      <c r="S21" s="330"/>
      <c r="T21" s="451"/>
      <c r="U21" s="451"/>
    </row>
    <row r="22" spans="1:21" x14ac:dyDescent="0.2">
      <c r="A22">
        <v>20</v>
      </c>
      <c r="B22" s="433"/>
      <c r="C22" s="330"/>
      <c r="D22" s="330"/>
      <c r="E22" s="330"/>
      <c r="F22" s="90">
        <f t="shared" si="0"/>
        <v>0</v>
      </c>
      <c r="I22" s="452"/>
      <c r="J22" s="330"/>
      <c r="K22" s="330"/>
      <c r="L22" s="330"/>
      <c r="M22" s="451"/>
      <c r="N22" s="451"/>
      <c r="O22" s="451"/>
      <c r="P22" s="452"/>
      <c r="Q22" s="330"/>
      <c r="R22" s="330"/>
      <c r="S22" s="330"/>
      <c r="T22" s="451"/>
      <c r="U22" s="451"/>
    </row>
    <row r="23" spans="1:21" x14ac:dyDescent="0.2">
      <c r="A23">
        <v>21</v>
      </c>
      <c r="B23" s="330"/>
      <c r="C23" s="330"/>
      <c r="D23" s="330"/>
      <c r="E23" s="330"/>
      <c r="F23" s="90">
        <f t="shared" si="0"/>
        <v>0</v>
      </c>
      <c r="I23" s="452"/>
      <c r="J23" s="330"/>
      <c r="K23" s="330"/>
      <c r="L23" s="330"/>
      <c r="M23" s="451"/>
      <c r="N23" s="451"/>
      <c r="O23" s="451"/>
      <c r="P23" s="452"/>
      <c r="Q23" s="330"/>
      <c r="R23" s="330"/>
      <c r="S23" s="330"/>
      <c r="T23" s="451"/>
      <c r="U23" s="451"/>
    </row>
    <row r="24" spans="1:21" x14ac:dyDescent="0.2">
      <c r="A24">
        <v>22</v>
      </c>
      <c r="B24" s="330"/>
      <c r="C24" s="330"/>
      <c r="D24" s="330"/>
      <c r="E24" s="330"/>
      <c r="F24" s="90">
        <f t="shared" si="0"/>
        <v>0</v>
      </c>
      <c r="I24" s="87"/>
      <c r="J24" s="87"/>
      <c r="K24" s="87"/>
      <c r="L24" s="87"/>
      <c r="M24" s="451"/>
      <c r="N24" s="451"/>
      <c r="O24" s="451"/>
      <c r="P24" s="87"/>
      <c r="Q24" s="87"/>
      <c r="R24" s="87"/>
      <c r="S24" s="330"/>
      <c r="T24" s="451"/>
      <c r="U24" s="451"/>
    </row>
    <row r="25" spans="1:21" x14ac:dyDescent="0.2">
      <c r="A25">
        <v>23</v>
      </c>
      <c r="B25" s="330"/>
      <c r="C25" s="330"/>
      <c r="D25" s="330"/>
      <c r="E25" s="330"/>
      <c r="F25" s="90">
        <f t="shared" si="0"/>
        <v>0</v>
      </c>
      <c r="I25" s="87"/>
      <c r="J25" s="87"/>
      <c r="K25" s="87"/>
      <c r="L25" s="87"/>
      <c r="M25" s="451"/>
      <c r="N25" s="451"/>
      <c r="O25" s="451"/>
      <c r="P25" s="87"/>
      <c r="Q25" s="87"/>
      <c r="R25" s="87"/>
      <c r="S25" s="330"/>
      <c r="T25" s="451"/>
      <c r="U25" s="451"/>
    </row>
    <row r="26" spans="1:21" x14ac:dyDescent="0.2">
      <c r="A26">
        <v>24</v>
      </c>
      <c r="B26" s="330"/>
      <c r="C26" s="330"/>
      <c r="D26" s="330"/>
      <c r="E26" s="330"/>
      <c r="F26" s="90">
        <f t="shared" si="0"/>
        <v>0</v>
      </c>
      <c r="I26" s="87"/>
      <c r="J26" s="87"/>
      <c r="K26" s="87"/>
      <c r="L26" s="87"/>
      <c r="M26" s="451"/>
      <c r="N26" s="451"/>
      <c r="O26" s="451"/>
      <c r="P26" s="87"/>
      <c r="Q26" s="87"/>
      <c r="R26" s="87"/>
      <c r="S26" s="330"/>
      <c r="T26" s="451"/>
      <c r="U26" s="451"/>
    </row>
    <row r="27" spans="1:21" x14ac:dyDescent="0.2">
      <c r="A27">
        <v>25</v>
      </c>
      <c r="B27" s="330"/>
      <c r="C27" s="330"/>
      <c r="D27" s="330"/>
      <c r="E27" s="330"/>
      <c r="F27" s="90">
        <f t="shared" si="0"/>
        <v>0</v>
      </c>
      <c r="I27" s="87"/>
      <c r="J27" s="87"/>
      <c r="K27" s="87"/>
      <c r="L27" s="87"/>
      <c r="M27" s="451"/>
      <c r="N27" s="451"/>
      <c r="O27" s="451"/>
      <c r="P27" s="87"/>
      <c r="Q27" s="87"/>
      <c r="R27" s="87"/>
      <c r="S27" s="330"/>
      <c r="T27" s="451"/>
      <c r="U27" s="451"/>
    </row>
    <row r="28" spans="1:21" x14ac:dyDescent="0.2">
      <c r="A28">
        <v>26</v>
      </c>
      <c r="B28" s="330"/>
      <c r="C28" s="330"/>
      <c r="D28" s="14"/>
      <c r="E28" s="14"/>
      <c r="F28" s="90">
        <f t="shared" si="0"/>
        <v>0</v>
      </c>
      <c r="I28" s="87"/>
      <c r="J28" s="87"/>
      <c r="K28" s="87"/>
      <c r="L28" s="87"/>
      <c r="M28" s="451"/>
      <c r="N28" s="451"/>
      <c r="O28" s="451"/>
      <c r="P28" s="87"/>
      <c r="Q28" s="87"/>
      <c r="R28" s="87"/>
      <c r="S28" s="87"/>
      <c r="T28" s="451"/>
      <c r="U28" s="451"/>
    </row>
    <row r="29" spans="1:21" x14ac:dyDescent="0.2">
      <c r="A29">
        <v>27</v>
      </c>
      <c r="B29" s="330"/>
      <c r="C29" s="330"/>
      <c r="D29" s="14"/>
      <c r="E29" s="14"/>
      <c r="F29" s="90">
        <f t="shared" si="0"/>
        <v>0</v>
      </c>
      <c r="I29" s="87"/>
      <c r="J29" s="87"/>
      <c r="K29" s="87"/>
      <c r="L29" s="87"/>
      <c r="M29" s="451"/>
      <c r="N29" s="451"/>
      <c r="O29" s="451"/>
      <c r="P29" s="87"/>
      <c r="Q29" s="87"/>
      <c r="R29" s="87"/>
      <c r="S29" s="87"/>
      <c r="T29" s="451"/>
      <c r="U29" s="451"/>
    </row>
    <row r="30" spans="1:21" x14ac:dyDescent="0.2">
      <c r="A30">
        <v>28</v>
      </c>
      <c r="B30" s="433"/>
      <c r="C30" s="330"/>
      <c r="D30" s="14"/>
      <c r="E30" s="14"/>
      <c r="F30" s="90">
        <f t="shared" si="0"/>
        <v>0</v>
      </c>
      <c r="I30" s="87"/>
      <c r="J30" s="87"/>
      <c r="K30" s="87"/>
      <c r="L30" s="87"/>
      <c r="M30" s="451"/>
      <c r="N30" s="451"/>
      <c r="O30" s="451"/>
      <c r="P30" s="87"/>
      <c r="Q30" s="87"/>
      <c r="R30" s="87"/>
      <c r="S30" s="87"/>
      <c r="T30" s="451"/>
      <c r="U30" s="451"/>
    </row>
    <row r="31" spans="1:21" x14ac:dyDescent="0.2">
      <c r="A31">
        <v>29</v>
      </c>
      <c r="B31" s="330"/>
      <c r="C31" s="330"/>
      <c r="D31" s="14"/>
      <c r="E31" s="14"/>
      <c r="F31" s="90">
        <f t="shared" si="0"/>
        <v>0</v>
      </c>
      <c r="I31" s="87"/>
      <c r="J31" s="87"/>
      <c r="K31" s="87"/>
      <c r="L31" s="87"/>
      <c r="M31" s="451"/>
      <c r="N31" s="451"/>
      <c r="O31" s="451"/>
      <c r="P31" s="87"/>
      <c r="Q31" s="87"/>
      <c r="R31" s="87"/>
      <c r="S31" s="87"/>
      <c r="T31" s="451"/>
      <c r="U31" s="451"/>
    </row>
    <row r="32" spans="1:21" x14ac:dyDescent="0.2">
      <c r="A32">
        <v>30</v>
      </c>
      <c r="B32" s="330"/>
      <c r="C32" s="330"/>
      <c r="D32" s="14"/>
      <c r="E32" s="14"/>
      <c r="F32" s="90">
        <f t="shared" si="0"/>
        <v>0</v>
      </c>
      <c r="M32" s="259"/>
      <c r="N32" s="259"/>
      <c r="O32" s="259"/>
      <c r="T32" s="259"/>
      <c r="U32" s="259"/>
    </row>
    <row r="33" spans="1:21" x14ac:dyDescent="0.2">
      <c r="A33">
        <v>31</v>
      </c>
      <c r="B33" s="330"/>
      <c r="C33" s="330"/>
      <c r="D33" s="14"/>
      <c r="E33" s="14"/>
      <c r="F33" s="90">
        <f t="shared" si="0"/>
        <v>0</v>
      </c>
      <c r="M33" s="259"/>
      <c r="N33" s="259"/>
      <c r="O33" s="259"/>
      <c r="T33" s="259"/>
      <c r="U33" s="259"/>
    </row>
    <row r="34" spans="1:21" x14ac:dyDescent="0.2">
      <c r="B34" s="287">
        <f>SUM(B3:B33)</f>
        <v>443964</v>
      </c>
      <c r="C34" s="287">
        <f>SUM(C3:C33)</f>
        <v>454205</v>
      </c>
      <c r="D34" s="14">
        <f>SUM(D3:D33)</f>
        <v>-65258</v>
      </c>
      <c r="E34" s="14">
        <f>SUM(E3:E33)</f>
        <v>-60000</v>
      </c>
      <c r="F34" s="14">
        <f>SUM(F3:F33)</f>
        <v>15499</v>
      </c>
      <c r="M34" s="259"/>
      <c r="N34" s="259"/>
      <c r="O34" s="259"/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4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92">
        <v>116110</v>
      </c>
      <c r="M37" s="259"/>
      <c r="N37" s="259"/>
      <c r="O37" s="259"/>
      <c r="T37" s="259"/>
      <c r="U37" s="259"/>
    </row>
    <row r="38" spans="1:21" x14ac:dyDescent="0.2">
      <c r="A38" s="256">
        <v>37264</v>
      </c>
      <c r="B38" s="14"/>
      <c r="C38" s="14"/>
      <c r="D38" s="14"/>
      <c r="E38" s="14"/>
      <c r="F38" s="150">
        <f>+F37+F34</f>
        <v>131609</v>
      </c>
      <c r="M38" s="259"/>
      <c r="N38" s="259"/>
      <c r="O38" s="259"/>
    </row>
    <row r="39" spans="1:21" x14ac:dyDescent="0.2">
      <c r="F39" s="293"/>
      <c r="M39" s="259"/>
      <c r="N39" s="259"/>
      <c r="O39" s="259"/>
    </row>
    <row r="40" spans="1:21" x14ac:dyDescent="0.2">
      <c r="F40" s="293"/>
      <c r="I40" s="348"/>
      <c r="M40" s="259"/>
      <c r="N40" s="259"/>
      <c r="O40" s="259"/>
    </row>
    <row r="41" spans="1:21" x14ac:dyDescent="0.2">
      <c r="F41" s="293"/>
      <c r="I41" s="348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6"/>
      <c r="I42" s="348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95">
        <v>296376</v>
      </c>
      <c r="F43" s="293"/>
      <c r="G43" s="31"/>
      <c r="I43" s="348"/>
      <c r="M43" s="259"/>
      <c r="N43" s="259"/>
      <c r="O43" s="259"/>
    </row>
    <row r="44" spans="1:21" x14ac:dyDescent="0.2">
      <c r="A44" s="49">
        <f>+A38</f>
        <v>37264</v>
      </c>
      <c r="B44" s="32"/>
      <c r="C44" s="32"/>
      <c r="D44" s="380">
        <f>+F34*'by type_area'!J4</f>
        <v>34097.800000000003</v>
      </c>
      <c r="F44" s="293"/>
      <c r="I44" s="348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330473.8</v>
      </c>
      <c r="F45" s="293"/>
      <c r="I45" s="511"/>
      <c r="M45" s="259"/>
      <c r="N45" s="259"/>
      <c r="O45" s="259"/>
    </row>
    <row r="46" spans="1:21" x14ac:dyDescent="0.2">
      <c r="F46" s="293"/>
      <c r="I46" s="348"/>
      <c r="M46" s="259"/>
      <c r="N46" s="259"/>
      <c r="O46" s="259"/>
    </row>
    <row r="47" spans="1:21" x14ac:dyDescent="0.2">
      <c r="F47" s="293"/>
      <c r="M47" s="259"/>
      <c r="N47" s="259"/>
      <c r="O47" s="259"/>
    </row>
    <row r="48" spans="1:21" x14ac:dyDescent="0.2">
      <c r="F48" s="293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4" workbookViewId="0">
      <selection activeCell="B34" sqref="B34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/>
      <c r="C11" s="11"/>
      <c r="D11" s="25">
        <f t="shared" si="0"/>
        <v>0</v>
      </c>
    </row>
    <row r="12" spans="1:4" x14ac:dyDescent="0.2">
      <c r="A12" s="10">
        <v>9</v>
      </c>
      <c r="B12" s="11"/>
      <c r="C12" s="11"/>
      <c r="D12" s="25">
        <f t="shared" si="0"/>
        <v>0</v>
      </c>
    </row>
    <row r="13" spans="1:4" x14ac:dyDescent="0.2">
      <c r="A13" s="10">
        <v>10</v>
      </c>
      <c r="B13" s="11"/>
      <c r="C13" s="11"/>
      <c r="D13" s="25">
        <f t="shared" si="0"/>
        <v>0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29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-114179</v>
      </c>
      <c r="C35" s="11">
        <f>SUM(C4:C34)</f>
        <v>-109708</v>
      </c>
      <c r="D35" s="11">
        <f>SUM(D4:D34)</f>
        <v>4471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9">
        <v>186823</v>
      </c>
    </row>
    <row r="39" spans="1:4" x14ac:dyDescent="0.2">
      <c r="A39" s="2"/>
      <c r="D39" s="24"/>
    </row>
    <row r="40" spans="1:4" x14ac:dyDescent="0.2">
      <c r="A40" s="57">
        <v>37263</v>
      </c>
      <c r="D40" s="51">
        <f>+D38+D35</f>
        <v>191294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8">
        <v>199813</v>
      </c>
    </row>
    <row r="46" spans="1:4" x14ac:dyDescent="0.2">
      <c r="A46" s="49">
        <f>+A40</f>
        <v>37263</v>
      </c>
      <c r="B46" s="32"/>
      <c r="C46" s="32"/>
      <c r="D46" s="380">
        <f>+D35*'by type_area'!J4</f>
        <v>9836.2000000000007</v>
      </c>
    </row>
    <row r="47" spans="1:4" x14ac:dyDescent="0.2">
      <c r="A47" s="32"/>
      <c r="B47" s="32"/>
      <c r="C47" s="32"/>
      <c r="D47" s="200">
        <f>+D46+D45</f>
        <v>209649.2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1" workbookViewId="0">
      <selection activeCell="D34" sqref="D3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3642</v>
      </c>
      <c r="G6" s="11">
        <v>7800</v>
      </c>
      <c r="H6" s="11"/>
      <c r="I6" s="11"/>
      <c r="J6" s="11">
        <f t="shared" si="0"/>
        <v>5851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5606</v>
      </c>
      <c r="G7" s="11">
        <v>7800</v>
      </c>
      <c r="H7" s="11"/>
      <c r="I7" s="11"/>
      <c r="J7" s="11">
        <f t="shared" si="0"/>
        <v>4250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7664</v>
      </c>
      <c r="G8" s="11">
        <v>7800</v>
      </c>
      <c r="H8" s="11"/>
      <c r="I8" s="11"/>
      <c r="J8" s="11">
        <f t="shared" si="0"/>
        <v>-707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7968</v>
      </c>
      <c r="G9" s="11">
        <v>7800</v>
      </c>
      <c r="H9" s="11"/>
      <c r="I9" s="11"/>
      <c r="J9" s="11">
        <f t="shared" si="0"/>
        <v>-427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7887</v>
      </c>
      <c r="G10" s="11">
        <v>7800</v>
      </c>
      <c r="H10" s="11"/>
      <c r="I10" s="11"/>
      <c r="J10" s="11">
        <f t="shared" si="0"/>
        <v>-809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7847</v>
      </c>
      <c r="G11" s="11">
        <v>7800</v>
      </c>
      <c r="H11" s="11"/>
      <c r="I11" s="11"/>
      <c r="J11" s="11">
        <f t="shared" si="0"/>
        <v>163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84464</v>
      </c>
      <c r="C35" s="11">
        <f t="shared" ref="C35:I35" si="1">SUM(C4:C34)</f>
        <v>88000</v>
      </c>
      <c r="D35" s="11">
        <f t="shared" si="1"/>
        <v>64603</v>
      </c>
      <c r="E35" s="11">
        <f t="shared" si="1"/>
        <v>66400</v>
      </c>
      <c r="F35" s="11">
        <f t="shared" si="1"/>
        <v>40684</v>
      </c>
      <c r="G35" s="11">
        <f t="shared" si="1"/>
        <v>62400</v>
      </c>
      <c r="H35" s="11">
        <f t="shared" si="1"/>
        <v>0</v>
      </c>
      <c r="I35" s="11">
        <f t="shared" si="1"/>
        <v>0</v>
      </c>
      <c r="J35" s="11">
        <f>SUM(J4:J34)</f>
        <v>27049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+summary!I4</f>
        <v>2.2000000000000002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59507.8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42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22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37264</v>
      </c>
      <c r="J41" s="322">
        <f>+J39+J37</f>
        <v>64044.01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32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37264</v>
      </c>
      <c r="B47" s="32"/>
      <c r="C47" s="32"/>
      <c r="D47" s="355">
        <f>+J35</f>
        <v>27049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-98489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-33275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-32525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-32436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-8093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-791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-38245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-30926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-22893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-31770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-20252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-21892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-20839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-29544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-22158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-15402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-30336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-28076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-27998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-28157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-27306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-9140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-22101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-3824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-38277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-37396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-5579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+summary!I4</f>
        <v>2.2000000000000002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E40" s="14"/>
      <c r="F40" s="531">
        <v>417969.39</v>
      </c>
      <c r="G40" s="447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37256</v>
      </c>
      <c r="E41" s="14"/>
      <c r="F41" s="104">
        <f>+F40+F39</f>
        <v>417969.39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37256</v>
      </c>
      <c r="B47" s="32"/>
      <c r="C47" s="32"/>
      <c r="D47" s="355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5124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4" workbookViewId="0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5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53">
        <f>+summary!I4</f>
        <v>2.2000000000000002</v>
      </c>
    </row>
    <row r="41" spans="1:6" x14ac:dyDescent="0.2">
      <c r="F41" s="138">
        <f>+F40*F39</f>
        <v>0</v>
      </c>
    </row>
    <row r="42" spans="1:6" x14ac:dyDescent="0.2">
      <c r="A42" s="57">
        <v>37256</v>
      </c>
      <c r="C42" s="15"/>
      <c r="F42" s="501">
        <v>34262</v>
      </c>
    </row>
    <row r="43" spans="1:6" x14ac:dyDescent="0.2">
      <c r="A43" s="57">
        <v>37264</v>
      </c>
      <c r="C43" s="48"/>
      <c r="F43" s="138">
        <f>+F42+F41</f>
        <v>34262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6">
        <v>748</v>
      </c>
    </row>
    <row r="49" spans="1:4" x14ac:dyDescent="0.2">
      <c r="A49" s="49">
        <f>+A43</f>
        <v>37264</v>
      </c>
      <c r="B49" s="32"/>
      <c r="C49" s="32"/>
      <c r="D49" s="355">
        <f>+F39</f>
        <v>0</v>
      </c>
    </row>
    <row r="50" spans="1:4" x14ac:dyDescent="0.2">
      <c r="A50" s="32"/>
      <c r="B50" s="32"/>
      <c r="C50" s="32"/>
      <c r="D50" s="14">
        <f>+D49+D48</f>
        <v>748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55"/>
    </row>
    <row r="41" spans="1:4" x14ac:dyDescent="0.2">
      <c r="A41" s="57">
        <v>37256</v>
      </c>
      <c r="C41" s="15"/>
      <c r="D41" s="462">
        <v>16328</v>
      </c>
    </row>
    <row r="42" spans="1:4" x14ac:dyDescent="0.2">
      <c r="A42" s="57">
        <v>37263</v>
      </c>
      <c r="C42" s="48"/>
      <c r="D42" s="24">
        <f>+D41+D39</f>
        <v>16328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6">
        <v>383278</v>
      </c>
    </row>
    <row r="48" spans="1:4" x14ac:dyDescent="0.2">
      <c r="A48" s="49">
        <f>+A42</f>
        <v>37263</v>
      </c>
      <c r="B48" s="32"/>
      <c r="C48" s="32"/>
      <c r="D48" s="380">
        <f>+D39*summary!I4</f>
        <v>0</v>
      </c>
    </row>
    <row r="49" spans="1:4" x14ac:dyDescent="0.2">
      <c r="A49" s="32"/>
      <c r="B49" s="32"/>
      <c r="C49" s="32"/>
      <c r="D49" s="200">
        <f>+D48+D47</f>
        <v>383278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6" workbookViewId="0">
      <selection activeCell="B14" sqref="B14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7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8" t="s">
        <v>19</v>
      </c>
      <c r="I7" s="418" t="s">
        <v>20</v>
      </c>
      <c r="J7" s="419" t="s">
        <v>49</v>
      </c>
      <c r="K7" s="417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7">
        <v>5.62</v>
      </c>
      <c r="L8" s="422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7">
        <v>4.9800000000000004</v>
      </c>
      <c r="L9" s="422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7">
        <v>4.87</v>
      </c>
      <c r="L10" s="422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7">
        <v>3.82</v>
      </c>
      <c r="L11" s="422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7">
        <v>3.2</v>
      </c>
      <c r="L12" s="422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562">
        <v>-85069</v>
      </c>
      <c r="C13" s="11">
        <v>-87137</v>
      </c>
      <c r="D13" s="25">
        <f t="shared" si="0"/>
        <v>-2068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7">
        <v>2.77</v>
      </c>
      <c r="L13" s="422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-85312</v>
      </c>
      <c r="C14" s="11">
        <v>-101799</v>
      </c>
      <c r="D14" s="25">
        <f t="shared" si="0"/>
        <v>-16487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7">
        <v>2.77</v>
      </c>
      <c r="L14" s="422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43"/>
      <c r="H15" s="119"/>
      <c r="I15" s="119"/>
      <c r="J15" s="119"/>
      <c r="K15" s="417"/>
      <c r="L15" s="422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44"/>
      <c r="H16" s="34"/>
      <c r="I16" s="34"/>
      <c r="J16" s="189"/>
      <c r="K16" s="417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44"/>
      <c r="H17" s="34"/>
      <c r="I17" s="34"/>
      <c r="J17" s="310">
        <f>SUM(J8:J16)</f>
        <v>130492</v>
      </c>
      <c r="K17" s="417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7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-778721</v>
      </c>
      <c r="I19" s="119">
        <f>+C37</f>
        <v>-772129</v>
      </c>
      <c r="J19" s="119">
        <f>+I19-H19</f>
        <v>6592</v>
      </c>
      <c r="K19" s="417">
        <f>+D38</f>
        <v>2.2000000000000002</v>
      </c>
      <c r="L19" s="422">
        <f>+K19*J19</f>
        <v>14502.400000000001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7"/>
      <c r="L20" s="422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13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137084</v>
      </c>
      <c r="K24" s="413"/>
      <c r="L24" s="110">
        <f>+L19+L17</f>
        <v>96187.499999999825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13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13"/>
      <c r="L26" s="24">
        <f>+L24/K19</f>
        <v>43721.590909090824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13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13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-778721</v>
      </c>
      <c r="C37" s="11">
        <f>SUM(C6:C36)</f>
        <v>-772129</v>
      </c>
      <c r="D37" s="25">
        <f>SUM(D6:D36)</f>
        <v>6592</v>
      </c>
    </row>
    <row r="38" spans="1:4" x14ac:dyDescent="0.2">
      <c r="A38" s="26"/>
      <c r="C38" s="14"/>
      <c r="D38" s="329">
        <f>+summary!I4</f>
        <v>2.2000000000000002</v>
      </c>
    </row>
    <row r="39" spans="1:4" x14ac:dyDescent="0.2">
      <c r="D39" s="138">
        <f>+D38*D37</f>
        <v>14502.400000000001</v>
      </c>
    </row>
    <row r="40" spans="1:4" x14ac:dyDescent="0.2">
      <c r="A40" s="57">
        <v>37256</v>
      </c>
      <c r="C40" s="15"/>
      <c r="D40" s="537">
        <v>178976.97</v>
      </c>
    </row>
    <row r="41" spans="1:4" x14ac:dyDescent="0.2">
      <c r="A41" s="57">
        <v>37265</v>
      </c>
      <c r="C41" s="48"/>
      <c r="D41" s="138">
        <f>+D40+D39</f>
        <v>193479.37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173146</v>
      </c>
    </row>
    <row r="46" spans="1:4" x14ac:dyDescent="0.2">
      <c r="A46" s="49">
        <f>+A41</f>
        <v>37265</v>
      </c>
      <c r="B46" s="32"/>
      <c r="C46" s="32"/>
      <c r="D46" s="355">
        <f>+D37</f>
        <v>6592</v>
      </c>
    </row>
    <row r="47" spans="1:4" x14ac:dyDescent="0.2">
      <c r="A47" s="32"/>
      <c r="B47" s="32"/>
      <c r="C47" s="32"/>
      <c r="D47" s="14">
        <f>+D46+D45</f>
        <v>179738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7" workbookViewId="0">
      <selection activeCell="B38" sqref="B38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31998</v>
      </c>
      <c r="C14" s="11">
        <v>32012</v>
      </c>
      <c r="D14" s="25">
        <f t="shared" si="0"/>
        <v>14</v>
      </c>
    </row>
    <row r="15" spans="1:5" x14ac:dyDescent="0.2">
      <c r="A15" s="10">
        <v>10</v>
      </c>
      <c r="B15" s="129"/>
      <c r="C15" s="11"/>
      <c r="D15" s="25">
        <f t="shared" si="0"/>
        <v>0</v>
      </c>
    </row>
    <row r="16" spans="1:5" x14ac:dyDescent="0.2">
      <c r="A16" s="10">
        <v>11</v>
      </c>
      <c r="B16" s="129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269241</v>
      </c>
      <c r="C37" s="11">
        <f>SUM(C6:C36)</f>
        <v>280055</v>
      </c>
      <c r="D37" s="25">
        <f>SUM(D6:D36)</f>
        <v>10814</v>
      </c>
    </row>
    <row r="38" spans="1:4" x14ac:dyDescent="0.2">
      <c r="A38" s="26"/>
      <c r="B38" s="31"/>
      <c r="C38" s="14"/>
      <c r="D38" s="329">
        <f>+summary!I5</f>
        <v>2.2200000000000002</v>
      </c>
    </row>
    <row r="39" spans="1:4" x14ac:dyDescent="0.2">
      <c r="D39" s="138">
        <f>+D38*D37</f>
        <v>24007.08</v>
      </c>
    </row>
    <row r="40" spans="1:4" x14ac:dyDescent="0.2">
      <c r="A40" s="57">
        <v>37256</v>
      </c>
      <c r="C40" s="15"/>
      <c r="D40" s="537">
        <v>85001.93</v>
      </c>
    </row>
    <row r="41" spans="1:4" x14ac:dyDescent="0.2">
      <c r="A41" s="57">
        <v>37265</v>
      </c>
      <c r="C41" s="48"/>
      <c r="D41" s="138">
        <f>+D40+D39</f>
        <v>109009.01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32">
        <v>54581</v>
      </c>
    </row>
    <row r="46" spans="1:4" x14ac:dyDescent="0.2">
      <c r="A46" s="49">
        <f>+A41</f>
        <v>37265</v>
      </c>
      <c r="B46" s="32"/>
      <c r="C46" s="32"/>
      <c r="D46" s="355">
        <f>+D37</f>
        <v>10814</v>
      </c>
    </row>
    <row r="47" spans="1:4" x14ac:dyDescent="0.2">
      <c r="A47" s="32"/>
      <c r="B47" s="32"/>
      <c r="C47" s="32"/>
      <c r="D47" s="14">
        <f>+D46+D45</f>
        <v>65395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A41" sqref="A41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12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64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11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11" t="s">
        <v>39</v>
      </c>
      <c r="N4" s="4" t="s">
        <v>19</v>
      </c>
      <c r="O4" s="4" t="s">
        <v>20</v>
      </c>
      <c r="P4" s="409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251</v>
      </c>
      <c r="N5" s="14"/>
      <c r="O5" s="14"/>
      <c r="P5" s="14">
        <v>-34361</v>
      </c>
      <c r="Q5" s="364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11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64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11">
        <v>36892</v>
      </c>
      <c r="N7" s="24">
        <v>18949781</v>
      </c>
      <c r="O7" s="14">
        <v>18975457</v>
      </c>
      <c r="P7" s="14">
        <f t="shared" si="1"/>
        <v>25676</v>
      </c>
      <c r="Q7" s="364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11">
        <v>36923</v>
      </c>
      <c r="N8" s="24">
        <v>15256233</v>
      </c>
      <c r="O8" s="14">
        <v>15290953</v>
      </c>
      <c r="P8" s="14">
        <f t="shared" si="1"/>
        <v>34720</v>
      </c>
      <c r="Q8" s="364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11">
        <v>36951</v>
      </c>
      <c r="N9" s="24">
        <v>17049350</v>
      </c>
      <c r="O9" s="14">
        <v>17089226</v>
      </c>
      <c r="P9" s="14">
        <f t="shared" si="1"/>
        <v>39876</v>
      </c>
      <c r="Q9" s="364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11">
        <v>36982</v>
      </c>
      <c r="N10" s="24">
        <v>17652369</v>
      </c>
      <c r="O10" s="14">
        <v>17743987</v>
      </c>
      <c r="P10" s="14">
        <f t="shared" si="1"/>
        <v>91618</v>
      </c>
      <c r="Q10" s="364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11">
        <v>37012</v>
      </c>
      <c r="N11" s="24">
        <v>16124989</v>
      </c>
      <c r="O11" s="14">
        <v>16282021</v>
      </c>
      <c r="P11" s="14">
        <f t="shared" si="1"/>
        <v>157032</v>
      </c>
      <c r="Q11" s="364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292994</v>
      </c>
      <c r="C12" s="11">
        <v>286176</v>
      </c>
      <c r="D12" s="11">
        <v>41959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-6879</v>
      </c>
      <c r="M12" s="411">
        <v>37043</v>
      </c>
      <c r="N12" s="24">
        <v>15928675</v>
      </c>
      <c r="O12" s="14">
        <v>15936227</v>
      </c>
      <c r="P12" s="14">
        <f t="shared" si="1"/>
        <v>7552</v>
      </c>
      <c r="Q12" s="364">
        <v>2.58</v>
      </c>
      <c r="R12" s="200">
        <f t="shared" si="2"/>
        <v>19484.16</v>
      </c>
      <c r="S12" s="48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/>
      <c r="C13" s="11"/>
      <c r="D13" s="129"/>
      <c r="E13" s="11"/>
      <c r="F13" s="129"/>
      <c r="G13" s="11"/>
      <c r="H13" s="129"/>
      <c r="I13" s="11"/>
      <c r="J13" s="11">
        <f t="shared" si="0"/>
        <v>0</v>
      </c>
      <c r="M13" s="411">
        <v>37073</v>
      </c>
      <c r="N13" s="24">
        <v>16669639</v>
      </c>
      <c r="O13" s="14">
        <v>16693576</v>
      </c>
      <c r="P13" s="14">
        <f t="shared" si="1"/>
        <v>23937</v>
      </c>
      <c r="Q13" s="364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M14" s="411">
        <v>37104</v>
      </c>
      <c r="N14" s="24">
        <v>17850737</v>
      </c>
      <c r="O14" s="14">
        <v>17815859</v>
      </c>
      <c r="P14" s="14">
        <f>+O14-N14</f>
        <v>-34878</v>
      </c>
      <c r="Q14" s="364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11">
        <v>37135</v>
      </c>
      <c r="N15" s="24">
        <v>16552948</v>
      </c>
      <c r="O15" s="14">
        <v>16508018</v>
      </c>
      <c r="P15" s="14">
        <f>+O15-N15</f>
        <v>-44930</v>
      </c>
      <c r="Q15" s="364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11">
        <v>37165</v>
      </c>
      <c r="N16" s="24">
        <v>17924814</v>
      </c>
      <c r="O16" s="14">
        <v>17872479</v>
      </c>
      <c r="P16" s="14">
        <f>+O16-N16</f>
        <v>-52335</v>
      </c>
      <c r="Q16" s="364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11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64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11">
        <v>37229</v>
      </c>
      <c r="N18" s="24"/>
      <c r="O18" s="14"/>
      <c r="P18" s="14">
        <f>+O18-N18</f>
        <v>0</v>
      </c>
      <c r="Q18" s="364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11"/>
      <c r="N21" s="24"/>
      <c r="O21" s="14"/>
      <c r="P21" s="14">
        <f>SUM(P5:P20)</f>
        <v>135708</v>
      </c>
      <c r="Q21" s="364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11"/>
      <c r="N22" s="24"/>
      <c r="O22" s="14"/>
      <c r="P22" s="201">
        <v>1.98</v>
      </c>
      <c r="Q22" s="364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11"/>
      <c r="N23" s="14">
        <v>1378106</v>
      </c>
      <c r="O23" s="14">
        <v>1316146</v>
      </c>
      <c r="P23" s="201">
        <f>+P22*P21</f>
        <v>268701.84000000003</v>
      </c>
      <c r="Q23" s="364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11"/>
      <c r="N24" s="14">
        <v>9216070</v>
      </c>
      <c r="O24" s="14">
        <v>9272400</v>
      </c>
      <c r="P24" s="15"/>
      <c r="Q24" s="364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11"/>
      <c r="N25" s="24">
        <v>3546065</v>
      </c>
      <c r="O25" s="24">
        <v>3512740</v>
      </c>
      <c r="P25" s="110"/>
      <c r="Q25" s="413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13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13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13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13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13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13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64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64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64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2515180</v>
      </c>
      <c r="C35" s="11">
        <f t="shared" ref="C35:I35" si="3">SUM(C4:C34)</f>
        <v>2527852</v>
      </c>
      <c r="D35" s="11">
        <f t="shared" si="3"/>
        <v>348091</v>
      </c>
      <c r="E35" s="11">
        <f t="shared" si="3"/>
        <v>350136</v>
      </c>
      <c r="F35" s="11">
        <f t="shared" si="3"/>
        <v>351393</v>
      </c>
      <c r="G35" s="11">
        <f t="shared" si="3"/>
        <v>405349</v>
      </c>
      <c r="H35" s="11">
        <f t="shared" si="3"/>
        <v>1079967</v>
      </c>
      <c r="I35" s="11">
        <f t="shared" si="3"/>
        <v>1048550</v>
      </c>
      <c r="J35" s="11">
        <f>SUM(J4:J34)</f>
        <v>37256</v>
      </c>
      <c r="M35" s="32"/>
      <c r="N35" s="24"/>
      <c r="O35" s="32"/>
      <c r="P35" s="15"/>
      <c r="Q35" s="364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64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64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94">
        <v>0</v>
      </c>
      <c r="M38" s="32"/>
      <c r="N38" s="24"/>
      <c r="O38" s="32"/>
      <c r="P38" s="15"/>
      <c r="Q38" s="364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64"/>
      <c r="R39" s="110"/>
      <c r="S39" s="19"/>
      <c r="T39" s="104"/>
      <c r="U39" s="16"/>
      <c r="V39" s="15"/>
      <c r="W39" s="13"/>
    </row>
    <row r="40" spans="1:23" x14ac:dyDescent="0.2">
      <c r="A40" s="33">
        <v>37265</v>
      </c>
      <c r="J40" s="51">
        <f>+J38+J35</f>
        <v>37256</v>
      </c>
      <c r="M40" s="32"/>
      <c r="N40" s="24"/>
      <c r="O40" s="32"/>
      <c r="P40" s="15"/>
      <c r="Q40" s="364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64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64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64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64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64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93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64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37265</v>
      </c>
      <c r="B47" s="32"/>
      <c r="C47" s="32"/>
      <c r="D47" s="380">
        <f>+J35*'by type_area'!J3</f>
        <v>80100.399999999994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64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80100.399999999994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64"/>
      <c r="R48" s="15"/>
      <c r="S48" s="19"/>
      <c r="T48" s="32"/>
    </row>
    <row r="49" spans="1:20" x14ac:dyDescent="0.2">
      <c r="A49" s="139"/>
      <c r="B49" s="119"/>
      <c r="C49" s="140"/>
      <c r="D49" s="38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64"/>
      <c r="R49" s="15"/>
      <c r="S49" s="32"/>
      <c r="T49" s="32"/>
    </row>
    <row r="50" spans="1:20" x14ac:dyDescent="0.2">
      <c r="A50" s="10"/>
      <c r="B50" s="11"/>
      <c r="C50" s="11"/>
      <c r="D50" s="38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64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64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64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64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64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64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64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64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64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64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64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64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64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64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64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64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64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64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13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13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13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13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13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13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13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13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13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13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13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13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13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13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13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13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13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13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13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13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13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13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64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64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64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64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64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64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64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64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64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64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64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64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64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64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64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64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64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64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64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14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9"/>
      <c r="Q255" s="143"/>
      <c r="R255" s="409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10"/>
      <c r="Q256" s="415"/>
      <c r="R256" s="410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13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13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13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13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13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13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13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13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13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13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13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13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13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13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13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13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13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13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13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13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13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13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13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13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13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13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13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13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13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13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13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13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14"/>
      <c r="S295" s="1"/>
    </row>
    <row r="296" spans="9:21" x14ac:dyDescent="0.2">
      <c r="K296" s="2"/>
      <c r="M296" s="30"/>
      <c r="N296" s="4"/>
      <c r="O296" s="4"/>
      <c r="P296" s="409"/>
      <c r="Q296" s="143"/>
      <c r="R296" s="409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10"/>
      <c r="Q297" s="415"/>
      <c r="R297" s="410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13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13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13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13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13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13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13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13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13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13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13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13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13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13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13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13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13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13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13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13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13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13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13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13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13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13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13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13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13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13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13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13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14"/>
      <c r="S337" s="1"/>
    </row>
    <row r="338" spans="11:21" x14ac:dyDescent="0.2">
      <c r="K338" s="2"/>
      <c r="M338" s="30"/>
      <c r="N338" s="4"/>
      <c r="O338" s="4"/>
      <c r="P338" s="409"/>
      <c r="Q338" s="143"/>
      <c r="R338" s="409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10"/>
      <c r="Q339" s="415"/>
      <c r="R339" s="410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13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13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13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13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13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13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13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13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13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13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13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13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13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13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13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13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13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13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13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13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13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13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13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13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13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13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13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13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13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13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13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13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14"/>
      <c r="S379" s="1"/>
    </row>
    <row r="380" spans="11:21" x14ac:dyDescent="0.2">
      <c r="K380" s="2"/>
      <c r="M380" s="30"/>
      <c r="N380" s="4"/>
      <c r="O380" s="4"/>
      <c r="P380" s="409"/>
      <c r="Q380" s="143"/>
      <c r="R380" s="409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10"/>
      <c r="Q381" s="415"/>
      <c r="R381" s="410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13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13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13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13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13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13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13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13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13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13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13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13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13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13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13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13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13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13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13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13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13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13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13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13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13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13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13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13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13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13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13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13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14"/>
      <c r="S423" s="1"/>
    </row>
    <row r="424" spans="11:21" x14ac:dyDescent="0.2">
      <c r="K424" s="2"/>
      <c r="M424" s="30"/>
      <c r="N424" s="4"/>
      <c r="O424" s="4"/>
      <c r="P424" s="409"/>
      <c r="Q424" s="143"/>
      <c r="R424" s="409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10"/>
      <c r="Q425" s="415"/>
      <c r="R425" s="410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13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13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13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13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13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13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13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13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13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13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13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13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13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13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13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13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13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13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13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13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13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13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13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13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13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13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13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13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13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13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13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13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14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9"/>
      <c r="Q466" s="143"/>
      <c r="R466" s="409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10"/>
      <c r="Q467" s="415"/>
      <c r="R467" s="410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13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13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13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13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13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13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13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13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13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13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13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13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13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13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13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13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13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13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13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13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13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13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13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13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13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13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13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13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13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13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13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13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6" workbookViewId="0">
      <selection activeCell="C38" sqref="C38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398354</v>
      </c>
      <c r="C37" s="11">
        <f>SUM(C6:C36)</f>
        <v>383637</v>
      </c>
      <c r="D37" s="25">
        <f>SUM(D6:D36)</f>
        <v>-14717</v>
      </c>
    </row>
    <row r="38" spans="1:4" x14ac:dyDescent="0.2">
      <c r="A38" s="26"/>
      <c r="C38" s="14"/>
      <c r="D38" s="329">
        <f>+summary!I5</f>
        <v>2.2200000000000002</v>
      </c>
    </row>
    <row r="39" spans="1:4" x14ac:dyDescent="0.2">
      <c r="D39" s="138">
        <f>+D38*D37</f>
        <v>-32671.74</v>
      </c>
    </row>
    <row r="40" spans="1:4" x14ac:dyDescent="0.2">
      <c r="A40" s="57">
        <v>37256</v>
      </c>
      <c r="C40" s="15"/>
      <c r="D40" s="540">
        <v>40735.550000000003</v>
      </c>
    </row>
    <row r="41" spans="1:4" x14ac:dyDescent="0.2">
      <c r="A41" s="57">
        <v>37265</v>
      </c>
      <c r="C41" s="48"/>
      <c r="D41" s="138">
        <f>+D40+D39</f>
        <v>8063.8100000000013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19256</v>
      </c>
    </row>
    <row r="47" spans="1:4" x14ac:dyDescent="0.2">
      <c r="A47" s="49">
        <f>+A41</f>
        <v>37265</v>
      </c>
      <c r="B47" s="32"/>
      <c r="C47" s="32"/>
      <c r="D47" s="355">
        <f>+D37</f>
        <v>-14717</v>
      </c>
    </row>
    <row r="48" spans="1:4" x14ac:dyDescent="0.2">
      <c r="A48" s="32"/>
      <c r="B48" s="32"/>
      <c r="C48" s="32"/>
      <c r="D48" s="14">
        <f>+D47+D46</f>
        <v>4539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3" workbookViewId="0">
      <selection activeCell="C38" sqref="C38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31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7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8" t="s">
        <v>19</v>
      </c>
      <c r="J14" s="418" t="s">
        <v>20</v>
      </c>
      <c r="K14" s="419" t="s">
        <v>49</v>
      </c>
      <c r="L14" s="417" t="s">
        <v>15</v>
      </c>
      <c r="M14" s="189" t="s">
        <v>27</v>
      </c>
    </row>
    <row r="15" spans="1:13" x14ac:dyDescent="0.2">
      <c r="A15" s="10">
        <v>10</v>
      </c>
      <c r="B15" s="11"/>
      <c r="C15" s="11"/>
      <c r="D15" s="25">
        <f t="shared" si="0"/>
        <v>0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/>
      <c r="C16" s="11"/>
      <c r="D16" s="25">
        <f t="shared" si="0"/>
        <v>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7">
        <v>8.2100000000000009</v>
      </c>
      <c r="M16" s="422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7">
        <v>5.62</v>
      </c>
      <c r="M17" s="422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7">
        <v>4.9800000000000004</v>
      </c>
      <c r="M18" s="422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7">
        <v>4.87</v>
      </c>
      <c r="M19" s="422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7">
        <v>3.82</v>
      </c>
      <c r="M20" s="422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7">
        <v>3.2</v>
      </c>
      <c r="M21" s="422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7">
        <v>2.77</v>
      </c>
      <c r="M22" s="423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20"/>
      <c r="M23" s="421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-8984</v>
      </c>
      <c r="C37" s="11">
        <f>SUM(C6:C36)</f>
        <v>1589</v>
      </c>
      <c r="D37" s="25">
        <f>SUM(D6:D36)</f>
        <v>10573</v>
      </c>
    </row>
    <row r="38" spans="1:4" x14ac:dyDescent="0.2">
      <c r="A38" s="26"/>
      <c r="C38" s="14"/>
      <c r="D38" s="329">
        <f>+summary!I4</f>
        <v>2.2000000000000002</v>
      </c>
    </row>
    <row r="39" spans="1:4" x14ac:dyDescent="0.2">
      <c r="D39" s="138">
        <f>+D38*D37</f>
        <v>23260.600000000002</v>
      </c>
    </row>
    <row r="40" spans="1:4" x14ac:dyDescent="0.2">
      <c r="A40" s="57">
        <v>37256</v>
      </c>
      <c r="C40" s="15"/>
      <c r="D40" s="537">
        <v>-355805</v>
      </c>
    </row>
    <row r="41" spans="1:4" x14ac:dyDescent="0.2">
      <c r="A41" s="57">
        <v>37265</v>
      </c>
      <c r="C41" s="48"/>
      <c r="D41" s="138">
        <f>+D40+D39</f>
        <v>-332544.40000000002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32">
        <v>-44621</v>
      </c>
    </row>
    <row r="49" spans="1:4" x14ac:dyDescent="0.2">
      <c r="A49" s="49">
        <f>+A41</f>
        <v>37265</v>
      </c>
      <c r="B49" s="32"/>
      <c r="C49" s="32"/>
      <c r="D49" s="355">
        <f>+D37</f>
        <v>10573</v>
      </c>
    </row>
    <row r="50" spans="1:4" x14ac:dyDescent="0.2">
      <c r="A50" s="32"/>
      <c r="B50" s="32"/>
      <c r="C50" s="32"/>
      <c r="D50" s="14">
        <f>+D49+D48</f>
        <v>-34048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31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-19780</v>
      </c>
      <c r="C37" s="11">
        <f>SUM(C6:C36)</f>
        <v>-57996</v>
      </c>
      <c r="D37" s="25">
        <f>SUM(D6:D36)</f>
        <v>-38216</v>
      </c>
    </row>
    <row r="38" spans="1:4" x14ac:dyDescent="0.2">
      <c r="A38" s="26"/>
      <c r="C38" s="14"/>
      <c r="D38" s="329">
        <f>+summary!I4</f>
        <v>2.2000000000000002</v>
      </c>
    </row>
    <row r="39" spans="1:4" x14ac:dyDescent="0.2">
      <c r="D39" s="138">
        <f>+D38*D37</f>
        <v>-84075.200000000012</v>
      </c>
    </row>
    <row r="40" spans="1:4" x14ac:dyDescent="0.2">
      <c r="A40" s="57">
        <v>37256</v>
      </c>
      <c r="C40" s="15"/>
      <c r="D40" s="537">
        <v>67742.52</v>
      </c>
    </row>
    <row r="41" spans="1:4" x14ac:dyDescent="0.2">
      <c r="A41" s="57">
        <v>37264</v>
      </c>
      <c r="C41" s="48"/>
      <c r="D41" s="138">
        <f>+D40+D39</f>
        <v>-16332.680000000008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36151</v>
      </c>
    </row>
    <row r="47" spans="1:4" x14ac:dyDescent="0.2">
      <c r="A47" s="49">
        <f>+A41</f>
        <v>37264</v>
      </c>
      <c r="B47" s="32"/>
      <c r="C47" s="32"/>
      <c r="D47" s="355">
        <f>+D37</f>
        <v>-38216</v>
      </c>
    </row>
    <row r="48" spans="1:4" x14ac:dyDescent="0.2">
      <c r="A48" s="32"/>
      <c r="B48" s="32"/>
      <c r="C48" s="32"/>
      <c r="D48" s="14">
        <f>+D47+D46</f>
        <v>-2065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7" workbookViewId="0">
      <selection activeCell="C29" sqref="C2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6"/>
      <c r="C5" s="90">
        <v>-882</v>
      </c>
      <c r="D5" s="90">
        <f>+C5-B5</f>
        <v>-882</v>
      </c>
      <c r="E5" s="275"/>
      <c r="F5" s="273"/>
    </row>
    <row r="6" spans="1:13" x14ac:dyDescent="0.2">
      <c r="A6" s="87">
        <v>500046</v>
      </c>
      <c r="B6" s="90">
        <v>-2200</v>
      </c>
      <c r="C6" s="90"/>
      <c r="D6" s="90">
        <f t="shared" ref="D6:D11" si="0">+C6-B6</f>
        <v>2200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-7083</v>
      </c>
      <c r="C8" s="90">
        <v>-12871</v>
      </c>
      <c r="D8" s="90">
        <f t="shared" si="0"/>
        <v>-5788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8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8"/>
      <c r="C11" s="90"/>
      <c r="D11" s="337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-4470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+summary!I4</f>
        <v>2.2000000000000002</v>
      </c>
      <c r="E13" s="277"/>
      <c r="F13" s="273"/>
    </row>
    <row r="14" spans="1:13" x14ac:dyDescent="0.2">
      <c r="A14" s="87"/>
      <c r="B14" s="88"/>
      <c r="C14" s="88"/>
      <c r="D14" s="96">
        <f>+D13*D12</f>
        <v>-9834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8">
        <v>-537692.79</v>
      </c>
      <c r="E16" s="207"/>
      <c r="F16" s="66"/>
    </row>
    <row r="17" spans="1:7" x14ac:dyDescent="0.2">
      <c r="A17" s="87"/>
      <c r="B17" s="88"/>
      <c r="C17" s="88"/>
      <c r="D17" s="311"/>
      <c r="E17" s="207"/>
      <c r="F17" s="66"/>
    </row>
    <row r="18" spans="1:7" ht="13.5" thickBot="1" x14ac:dyDescent="0.25">
      <c r="A18" s="99">
        <v>37264</v>
      </c>
      <c r="B18" s="88"/>
      <c r="C18" s="88"/>
      <c r="D18" s="321">
        <f>+D16+D14</f>
        <v>-547526.79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32">
        <v>-36823</v>
      </c>
    </row>
    <row r="23" spans="1:7" x14ac:dyDescent="0.2">
      <c r="A23" s="49">
        <f>+A18</f>
        <v>37264</v>
      </c>
      <c r="B23" s="32"/>
      <c r="C23" s="32"/>
      <c r="D23" s="355">
        <f>+D12</f>
        <v>-4470</v>
      </c>
    </row>
    <row r="24" spans="1:7" x14ac:dyDescent="0.2">
      <c r="A24" s="32"/>
      <c r="B24" s="32"/>
      <c r="C24" s="32"/>
      <c r="D24" s="14">
        <f>+D23+D22</f>
        <v>-41293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7" workbookViewId="0">
      <selection activeCell="B37" sqref="B37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-59325</v>
      </c>
      <c r="C37" s="11">
        <f>SUM(C6:C36)</f>
        <v>-62084</v>
      </c>
      <c r="D37" s="25">
        <f>SUM(D6:D36)</f>
        <v>-2759</v>
      </c>
    </row>
    <row r="38" spans="1:4" x14ac:dyDescent="0.2">
      <c r="A38" s="26"/>
      <c r="C38" s="14"/>
      <c r="D38" s="342"/>
    </row>
    <row r="39" spans="1:4" x14ac:dyDescent="0.2">
      <c r="D39" s="138"/>
    </row>
    <row r="40" spans="1:4" x14ac:dyDescent="0.2">
      <c r="A40" s="57">
        <v>37256</v>
      </c>
      <c r="C40" s="15"/>
      <c r="D40" s="494">
        <v>-8253</v>
      </c>
    </row>
    <row r="41" spans="1:4" x14ac:dyDescent="0.2">
      <c r="A41" s="57">
        <v>37264</v>
      </c>
      <c r="C41" s="48"/>
      <c r="D41" s="25">
        <f>+D40+D37</f>
        <v>-11012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93">
        <v>163235</v>
      </c>
    </row>
    <row r="46" spans="1:4" x14ac:dyDescent="0.2">
      <c r="A46" s="49">
        <f>+A41</f>
        <v>37264</v>
      </c>
      <c r="B46" s="32"/>
      <c r="C46" s="32"/>
      <c r="D46" s="380">
        <f>+D37*'by type_area'!J4</f>
        <v>-6069.8</v>
      </c>
    </row>
    <row r="47" spans="1:4" x14ac:dyDescent="0.2">
      <c r="A47" s="32"/>
      <c r="B47" s="32"/>
      <c r="C47" s="32"/>
      <c r="D47" s="200">
        <f>+D46+D45</f>
        <v>157165.20000000001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31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+summary!I5</f>
        <v>2.2200000000000002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-51454</v>
      </c>
    </row>
    <row r="47" spans="1:4" x14ac:dyDescent="0.2">
      <c r="A47" s="49">
        <f>+A41</f>
        <v>37256</v>
      </c>
      <c r="B47" s="32"/>
      <c r="C47" s="32"/>
      <c r="D47" s="464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5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-1387</v>
      </c>
      <c r="C37" s="11">
        <f t="shared" ref="C37:I37" si="1">SUM(C6:C36)</f>
        <v>-1360</v>
      </c>
      <c r="D37" s="11">
        <f t="shared" si="1"/>
        <v>0</v>
      </c>
      <c r="E37" s="11">
        <f t="shared" si="1"/>
        <v>0</v>
      </c>
      <c r="F37" s="11">
        <f t="shared" si="1"/>
        <v>-10516</v>
      </c>
      <c r="G37" s="11">
        <f t="shared" si="1"/>
        <v>-8400</v>
      </c>
      <c r="H37" s="11">
        <f t="shared" si="1"/>
        <v>0</v>
      </c>
      <c r="I37" s="11">
        <f t="shared" si="1"/>
        <v>0</v>
      </c>
      <c r="J37" s="11">
        <f>SUM(J6:J36)</f>
        <v>2143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+summary!I4</f>
        <v>2.2000000000000002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4714.6000000000004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42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22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37264</v>
      </c>
      <c r="J43" s="322">
        <f>+J41+J39</f>
        <v>-30825.730000000003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32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37264</v>
      </c>
      <c r="B49" s="32"/>
      <c r="C49" s="32"/>
      <c r="D49" s="355">
        <f>+J37</f>
        <v>2143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-1291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1" workbookViewId="0">
      <selection activeCell="A53" sqref="A53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302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304</v>
      </c>
      <c r="C4" s="4"/>
      <c r="D4" s="38" t="s">
        <v>305</v>
      </c>
      <c r="E4" s="4"/>
      <c r="F4" s="38" t="s">
        <v>306</v>
      </c>
      <c r="G4" s="4"/>
      <c r="H4" s="38" t="s">
        <v>307</v>
      </c>
      <c r="I4" s="4"/>
      <c r="J4" s="38" t="s">
        <v>308</v>
      </c>
      <c r="K4" s="4"/>
      <c r="L4" s="38" t="s">
        <v>309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506"/>
      <c r="C6" s="11"/>
      <c r="D6" s="506"/>
      <c r="E6" s="11"/>
      <c r="F6" s="506"/>
      <c r="G6" s="11"/>
      <c r="H6" s="506"/>
      <c r="I6" s="11"/>
      <c r="J6" s="506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506"/>
      <c r="C7" s="11"/>
      <c r="D7" s="506"/>
      <c r="E7" s="11"/>
      <c r="F7" s="506"/>
      <c r="G7" s="11"/>
      <c r="H7" s="506"/>
      <c r="I7" s="11"/>
      <c r="J7" s="506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506"/>
      <c r="C8" s="11"/>
      <c r="D8" s="506"/>
      <c r="E8" s="11"/>
      <c r="F8" s="506"/>
      <c r="G8" s="11"/>
      <c r="H8" s="506"/>
      <c r="I8" s="11"/>
      <c r="J8" s="506"/>
      <c r="K8" s="11"/>
      <c r="L8" s="11">
        <v>-905</v>
      </c>
      <c r="M8" s="11">
        <v>-581</v>
      </c>
      <c r="N8" s="11">
        <f t="shared" si="0"/>
        <v>324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506"/>
      <c r="C9" s="11"/>
      <c r="D9" s="506"/>
      <c r="E9" s="11"/>
      <c r="F9" s="506"/>
      <c r="G9" s="11"/>
      <c r="H9" s="506"/>
      <c r="I9" s="11"/>
      <c r="J9" s="506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506"/>
      <c r="C10" s="11"/>
      <c r="D10" s="506"/>
      <c r="E10" s="11"/>
      <c r="F10" s="506"/>
      <c r="G10" s="11"/>
      <c r="H10" s="506"/>
      <c r="I10" s="11"/>
      <c r="J10" s="506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506"/>
      <c r="C11" s="11"/>
      <c r="D11" s="506"/>
      <c r="E11" s="11"/>
      <c r="F11" s="506"/>
      <c r="G11" s="11"/>
      <c r="H11" s="506"/>
      <c r="I11" s="11"/>
      <c r="J11" s="506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506"/>
      <c r="C12" s="11"/>
      <c r="D12" s="506"/>
      <c r="E12" s="11"/>
      <c r="F12" s="506"/>
      <c r="G12" s="11"/>
      <c r="H12" s="506"/>
      <c r="I12" s="11"/>
      <c r="J12" s="506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506"/>
      <c r="C13" s="11"/>
      <c r="D13" s="506"/>
      <c r="E13" s="11"/>
      <c r="F13" s="506"/>
      <c r="G13" s="11"/>
      <c r="H13" s="506"/>
      <c r="I13" s="11"/>
      <c r="J13" s="506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506"/>
      <c r="C14" s="11"/>
      <c r="D14" s="506"/>
      <c r="E14" s="11"/>
      <c r="F14" s="506"/>
      <c r="G14" s="11"/>
      <c r="H14" s="506"/>
      <c r="I14" s="11"/>
      <c r="J14" s="506"/>
      <c r="K14" s="11"/>
      <c r="L14" s="11"/>
      <c r="M14" s="11"/>
      <c r="N14" s="11">
        <f t="shared" si="0"/>
        <v>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506"/>
      <c r="C15" s="11"/>
      <c r="D15" s="506"/>
      <c r="E15" s="11"/>
      <c r="F15" s="506"/>
      <c r="G15" s="11"/>
      <c r="H15" s="506"/>
      <c r="I15" s="11"/>
      <c r="J15" s="506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506"/>
      <c r="C16" s="11"/>
      <c r="D16" s="506"/>
      <c r="E16" s="11"/>
      <c r="F16" s="506"/>
      <c r="G16" s="11"/>
      <c r="H16" s="506"/>
      <c r="I16" s="11"/>
      <c r="J16" s="506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506"/>
      <c r="C17" s="11"/>
      <c r="D17" s="506"/>
      <c r="E17" s="11"/>
      <c r="F17" s="506"/>
      <c r="G17" s="11"/>
      <c r="H17" s="506"/>
      <c r="I17" s="11"/>
      <c r="J17" s="506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506"/>
      <c r="C18" s="11"/>
      <c r="D18" s="506"/>
      <c r="E18" s="11"/>
      <c r="F18" s="506"/>
      <c r="G18" s="11"/>
      <c r="H18" s="506"/>
      <c r="I18" s="11"/>
      <c r="J18" s="506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506"/>
      <c r="C19" s="11"/>
      <c r="D19" s="506"/>
      <c r="E19" s="11"/>
      <c r="F19" s="506"/>
      <c r="G19" s="11"/>
      <c r="H19" s="506"/>
      <c r="I19" s="11"/>
      <c r="J19" s="506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506"/>
      <c r="C20" s="11"/>
      <c r="D20" s="506"/>
      <c r="E20" s="11"/>
      <c r="F20" s="506"/>
      <c r="G20" s="11"/>
      <c r="H20" s="506"/>
      <c r="I20" s="11"/>
      <c r="J20" s="506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506"/>
      <c r="C21" s="11"/>
      <c r="D21" s="506"/>
      <c r="E21" s="11"/>
      <c r="F21" s="506"/>
      <c r="G21" s="11"/>
      <c r="H21" s="506"/>
      <c r="I21" s="11"/>
      <c r="J21" s="506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506"/>
      <c r="C22" s="11"/>
      <c r="D22" s="506"/>
      <c r="E22" s="11"/>
      <c r="F22" s="506"/>
      <c r="G22" s="11"/>
      <c r="H22" s="506"/>
      <c r="I22" s="11"/>
      <c r="J22" s="506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506"/>
      <c r="C23" s="11"/>
      <c r="D23" s="506"/>
      <c r="E23" s="11"/>
      <c r="F23" s="506"/>
      <c r="G23" s="11"/>
      <c r="H23" s="506"/>
      <c r="I23" s="11"/>
      <c r="J23" s="506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506"/>
      <c r="C24" s="11"/>
      <c r="D24" s="506"/>
      <c r="E24" s="11"/>
      <c r="F24" s="506"/>
      <c r="G24" s="11"/>
      <c r="H24" s="506"/>
      <c r="I24" s="11"/>
      <c r="J24" s="506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506"/>
      <c r="C25" s="11"/>
      <c r="D25" s="506"/>
      <c r="E25" s="11"/>
      <c r="F25" s="506"/>
      <c r="G25" s="11"/>
      <c r="H25" s="506"/>
      <c r="I25" s="11"/>
      <c r="J25" s="506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506"/>
      <c r="C26" s="11"/>
      <c r="D26" s="506"/>
      <c r="E26" s="11"/>
      <c r="F26" s="506"/>
      <c r="G26" s="11"/>
      <c r="H26" s="506"/>
      <c r="I26" s="11"/>
      <c r="J26" s="506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506"/>
      <c r="C27" s="11"/>
      <c r="D27" s="506"/>
      <c r="E27" s="11"/>
      <c r="F27" s="506"/>
      <c r="G27" s="11"/>
      <c r="H27" s="506"/>
      <c r="I27" s="11"/>
      <c r="J27" s="506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506"/>
      <c r="C28" s="11"/>
      <c r="D28" s="506"/>
      <c r="E28" s="11"/>
      <c r="F28" s="506"/>
      <c r="G28" s="11"/>
      <c r="H28" s="506"/>
      <c r="I28" s="11"/>
      <c r="J28" s="506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506"/>
      <c r="C29" s="11"/>
      <c r="D29" s="506"/>
      <c r="E29" s="11"/>
      <c r="F29" s="506"/>
      <c r="G29" s="11"/>
      <c r="H29" s="506"/>
      <c r="I29" s="11"/>
      <c r="J29" s="506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506"/>
      <c r="C30" s="11"/>
      <c r="D30" s="506"/>
      <c r="E30" s="11"/>
      <c r="F30" s="506"/>
      <c r="G30" s="11"/>
      <c r="H30" s="506"/>
      <c r="I30" s="11"/>
      <c r="J30" s="506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-6491</v>
      </c>
      <c r="M37" s="11">
        <f>SUM(M6:M36)</f>
        <v>-4648</v>
      </c>
      <c r="N37" s="11">
        <f t="shared" si="1"/>
        <v>1843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+summary!I4</f>
        <v>2.2000000000000002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4054.6000000000004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42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22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37264</v>
      </c>
      <c r="N43" s="322">
        <f>+N41+N39</f>
        <v>35743.090000000004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32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37264</v>
      </c>
      <c r="B49" s="32"/>
      <c r="C49" s="32"/>
      <c r="D49" s="355">
        <f>+N37</f>
        <v>1843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13524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31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1720</v>
      </c>
      <c r="C37" s="11">
        <f>SUM(C6:C36)</f>
        <v>1200</v>
      </c>
      <c r="D37" s="25">
        <f>SUM(D6:D36)</f>
        <v>-520</v>
      </c>
    </row>
    <row r="38" spans="1:4" x14ac:dyDescent="0.2">
      <c r="A38" s="26"/>
      <c r="C38" s="14"/>
      <c r="D38" s="329">
        <f>+summary!I5</f>
        <v>2.2200000000000002</v>
      </c>
    </row>
    <row r="39" spans="1:4" x14ac:dyDescent="0.2">
      <c r="D39" s="138">
        <f>+D38*D37</f>
        <v>-1154.4000000000001</v>
      </c>
    </row>
    <row r="40" spans="1:4" x14ac:dyDescent="0.2">
      <c r="A40" s="57">
        <v>37256</v>
      </c>
      <c r="C40" s="15"/>
      <c r="D40" s="537">
        <v>180048.98</v>
      </c>
    </row>
    <row r="41" spans="1:4" x14ac:dyDescent="0.2">
      <c r="A41" s="57">
        <v>37264</v>
      </c>
      <c r="C41" s="48"/>
      <c r="D41" s="138">
        <f>+D40+D39</f>
        <v>178894.58000000002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79013</v>
      </c>
    </row>
    <row r="47" spans="1:4" x14ac:dyDescent="0.2">
      <c r="A47" s="49">
        <f>+A41</f>
        <v>37264</v>
      </c>
      <c r="B47" s="32"/>
      <c r="C47" s="32"/>
      <c r="D47" s="355">
        <f>+D37</f>
        <v>-520</v>
      </c>
    </row>
    <row r="48" spans="1:4" x14ac:dyDescent="0.2">
      <c r="A48" s="32"/>
      <c r="B48" s="32"/>
      <c r="C48" s="32"/>
      <c r="D48" s="14">
        <f>+D47+D46</f>
        <v>78493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37" sqref="C3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31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649</v>
      </c>
      <c r="C37" s="11">
        <f>SUM(C6:C36)</f>
        <v>3528</v>
      </c>
      <c r="D37" s="25">
        <f>SUM(D6:D36)</f>
        <v>2879</v>
      </c>
    </row>
    <row r="38" spans="1:4" x14ac:dyDescent="0.2">
      <c r="A38" s="26"/>
      <c r="C38" s="14"/>
      <c r="D38" s="329">
        <f>+summary!I5</f>
        <v>2.2200000000000002</v>
      </c>
    </row>
    <row r="39" spans="1:4" x14ac:dyDescent="0.2">
      <c r="D39" s="138">
        <f>+D38*D37</f>
        <v>6391.38</v>
      </c>
    </row>
    <row r="40" spans="1:4" x14ac:dyDescent="0.2">
      <c r="A40" s="57">
        <v>37256</v>
      </c>
      <c r="C40" s="15"/>
      <c r="D40" s="537">
        <v>161292.49</v>
      </c>
    </row>
    <row r="41" spans="1:4" x14ac:dyDescent="0.2">
      <c r="A41" s="57">
        <v>37264</v>
      </c>
      <c r="C41" s="48"/>
      <c r="D41" s="138">
        <f>+D40+D39</f>
        <v>167683.87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33971</v>
      </c>
    </row>
    <row r="47" spans="1:4" x14ac:dyDescent="0.2">
      <c r="A47" s="49">
        <f>+A41</f>
        <v>37264</v>
      </c>
      <c r="B47" s="32"/>
      <c r="C47" s="32"/>
      <c r="D47" s="355">
        <f>+D37</f>
        <v>2879</v>
      </c>
    </row>
    <row r="48" spans="1:4" x14ac:dyDescent="0.2">
      <c r="A48" s="32"/>
      <c r="B48" s="32"/>
      <c r="C48" s="32"/>
      <c r="D48" s="14">
        <f>+D47+D46</f>
        <v>36850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4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3"/>
      <c r="N6" s="293"/>
      <c r="O6" s="293"/>
      <c r="P6" s="293"/>
      <c r="Q6" s="293"/>
      <c r="R6" s="293"/>
      <c r="S6" s="293"/>
      <c r="T6" s="293"/>
      <c r="U6" s="293"/>
      <c r="V6" s="293"/>
      <c r="W6" s="293"/>
      <c r="X6" s="293"/>
      <c r="Y6" s="293"/>
      <c r="Z6" s="293"/>
      <c r="AA6" s="293"/>
      <c r="AB6" s="293"/>
      <c r="AC6" s="293"/>
      <c r="AD6" s="293"/>
      <c r="AE6" s="293"/>
      <c r="AF6" s="293"/>
      <c r="AG6" s="293"/>
      <c r="AH6" s="293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3"/>
      <c r="N7" s="293"/>
      <c r="O7" s="293"/>
      <c r="P7" s="293"/>
      <c r="Q7" s="293"/>
      <c r="R7" s="293"/>
      <c r="S7" s="293"/>
      <c r="T7" s="293"/>
      <c r="U7" s="293"/>
      <c r="V7" s="293"/>
      <c r="W7" s="293"/>
      <c r="X7" s="293"/>
      <c r="Y7" s="293"/>
      <c r="Z7" s="293"/>
      <c r="AA7" s="293"/>
      <c r="AB7" s="293"/>
      <c r="AC7" s="293"/>
      <c r="AD7" s="293"/>
      <c r="AE7" s="293"/>
      <c r="AF7" s="293"/>
      <c r="AG7" s="293"/>
      <c r="AH7" s="293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3"/>
      <c r="N8" s="293"/>
      <c r="O8" s="293"/>
      <c r="P8" s="293"/>
      <c r="Q8" s="293"/>
      <c r="R8" s="293"/>
      <c r="S8" s="293"/>
      <c r="T8" s="293"/>
      <c r="U8" s="293"/>
      <c r="V8" s="293"/>
      <c r="W8" s="293"/>
      <c r="X8" s="293"/>
      <c r="Y8" s="293"/>
      <c r="Z8" s="293"/>
      <c r="AA8" s="293"/>
      <c r="AB8" s="293"/>
      <c r="AC8" s="293"/>
      <c r="AD8" s="293"/>
      <c r="AE8" s="293"/>
      <c r="AF8" s="293"/>
      <c r="AG8" s="293"/>
      <c r="AH8" s="293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3"/>
      <c r="N9" s="293"/>
      <c r="O9" s="293"/>
      <c r="P9" s="293"/>
      <c r="Q9" s="293"/>
      <c r="R9" s="293"/>
      <c r="S9" s="293"/>
      <c r="T9" s="293"/>
      <c r="U9" s="293"/>
      <c r="V9" s="293"/>
      <c r="W9" s="293"/>
      <c r="X9" s="293"/>
      <c r="Y9" s="293"/>
      <c r="Z9" s="293"/>
      <c r="AA9" s="293"/>
      <c r="AB9" s="293"/>
      <c r="AC9" s="293"/>
      <c r="AD9" s="293"/>
      <c r="AE9" s="293"/>
      <c r="AF9" s="293"/>
      <c r="AG9" s="293"/>
      <c r="AH9" s="293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3"/>
      <c r="N10" s="293"/>
      <c r="O10" s="293"/>
      <c r="P10" s="293"/>
      <c r="Q10" s="293"/>
      <c r="R10" s="293"/>
      <c r="S10" s="293"/>
      <c r="T10" s="293"/>
      <c r="U10" s="293"/>
      <c r="V10" s="293"/>
      <c r="W10" s="293"/>
      <c r="X10" s="293"/>
      <c r="Y10" s="293"/>
      <c r="Z10" s="293"/>
      <c r="AA10" s="293"/>
      <c r="AB10" s="293"/>
      <c r="AC10" s="293"/>
      <c r="AD10" s="293"/>
      <c r="AE10" s="293"/>
      <c r="AF10" s="293"/>
      <c r="AG10" s="293"/>
      <c r="AH10" s="293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3"/>
      <c r="N11" s="293"/>
      <c r="O11" s="293"/>
      <c r="P11" s="293"/>
      <c r="Q11" s="293"/>
      <c r="R11" s="293"/>
      <c r="S11" s="293"/>
      <c r="T11" s="293"/>
      <c r="U11" s="293"/>
      <c r="V11" s="293"/>
      <c r="W11" s="293"/>
      <c r="X11" s="293"/>
      <c r="Y11" s="293"/>
      <c r="Z11" s="293"/>
      <c r="AA11" s="293"/>
      <c r="AB11" s="293"/>
      <c r="AC11" s="293"/>
      <c r="AD11" s="293"/>
      <c r="AE11" s="293"/>
      <c r="AF11" s="293"/>
      <c r="AG11" s="293"/>
      <c r="AH11" s="293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3"/>
      <c r="N12" s="293"/>
      <c r="O12" s="293"/>
      <c r="P12" s="293"/>
      <c r="Q12" s="293"/>
      <c r="R12" s="293"/>
      <c r="S12" s="293"/>
      <c r="T12" s="293"/>
      <c r="U12" s="293"/>
      <c r="V12" s="293"/>
      <c r="W12" s="293"/>
      <c r="X12" s="293"/>
      <c r="Y12" s="293"/>
      <c r="Z12" s="293"/>
      <c r="AA12" s="293"/>
      <c r="AB12" s="293"/>
      <c r="AC12" s="293"/>
      <c r="AD12" s="293"/>
      <c r="AE12" s="293"/>
      <c r="AF12" s="293"/>
      <c r="AG12" s="293"/>
      <c r="AH12" s="293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3"/>
      <c r="N13" s="293"/>
      <c r="O13" s="293"/>
      <c r="P13" s="293"/>
      <c r="Q13" s="293"/>
      <c r="R13" s="293"/>
      <c r="S13" s="293"/>
      <c r="T13" s="293"/>
      <c r="U13" s="293"/>
      <c r="V13" s="293"/>
      <c r="W13" s="293"/>
      <c r="X13" s="293"/>
      <c r="Y13" s="293"/>
      <c r="Z13" s="293"/>
      <c r="AA13" s="293"/>
      <c r="AB13" s="293"/>
      <c r="AC13" s="293"/>
      <c r="AD13" s="293"/>
      <c r="AE13" s="293"/>
      <c r="AF13" s="293"/>
      <c r="AG13" s="293"/>
      <c r="AH13" s="293"/>
    </row>
    <row r="14" spans="1:34" x14ac:dyDescent="0.2">
      <c r="A14" s="41">
        <v>10</v>
      </c>
      <c r="B14" s="11"/>
      <c r="C14" s="11"/>
      <c r="D14" s="129"/>
      <c r="E14" s="11"/>
      <c r="F14" s="11">
        <f t="shared" si="0"/>
        <v>0</v>
      </c>
      <c r="G14" s="41"/>
      <c r="H14" s="43"/>
      <c r="I14" s="43"/>
      <c r="J14" s="43"/>
      <c r="K14" s="43"/>
      <c r="L14" s="43"/>
      <c r="M14" s="293"/>
      <c r="N14" s="293"/>
      <c r="O14" s="293"/>
      <c r="P14" s="293"/>
      <c r="Q14" s="293"/>
      <c r="R14" s="293"/>
      <c r="S14" s="293"/>
      <c r="T14" s="293"/>
      <c r="U14" s="293"/>
      <c r="V14" s="293"/>
      <c r="W14" s="293"/>
      <c r="X14" s="293"/>
      <c r="Y14" s="293"/>
      <c r="Z14" s="293"/>
      <c r="AA14" s="293"/>
      <c r="AB14" s="293"/>
      <c r="AC14" s="293"/>
      <c r="AD14" s="293"/>
      <c r="AE14" s="293"/>
      <c r="AF14" s="293"/>
      <c r="AG14" s="293"/>
      <c r="AH14" s="293"/>
    </row>
    <row r="15" spans="1:34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43"/>
      <c r="K15" s="43"/>
      <c r="L15" s="43"/>
      <c r="M15" s="293"/>
      <c r="N15" s="293"/>
      <c r="O15" s="293"/>
      <c r="P15" s="293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93"/>
      <c r="AD15" s="293"/>
      <c r="AE15" s="293"/>
      <c r="AF15" s="293"/>
      <c r="AG15" s="293"/>
      <c r="AH15" s="293"/>
    </row>
    <row r="16" spans="1:34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43"/>
      <c r="K16" s="43"/>
      <c r="L16" s="4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</row>
    <row r="17" spans="1:34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43"/>
      <c r="K17" s="43"/>
      <c r="L17" s="43"/>
      <c r="M17" s="293"/>
      <c r="N17" s="293"/>
      <c r="O17" s="293"/>
      <c r="P17" s="293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3"/>
      <c r="AC17" s="293"/>
      <c r="AD17" s="293"/>
      <c r="AE17" s="293"/>
      <c r="AF17" s="293"/>
      <c r="AG17" s="293"/>
      <c r="AH17" s="293"/>
    </row>
    <row r="18" spans="1:34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43"/>
      <c r="K18" s="43"/>
      <c r="L18" s="43"/>
      <c r="M18" s="293"/>
      <c r="N18" s="293"/>
      <c r="O18" s="293"/>
      <c r="P18" s="293"/>
      <c r="Q18" s="293"/>
      <c r="R18" s="293"/>
      <c r="S18" s="293"/>
      <c r="T18" s="293"/>
      <c r="U18" s="293"/>
      <c r="V18" s="293"/>
      <c r="W18" s="293"/>
      <c r="X18" s="293"/>
      <c r="Y18" s="293"/>
      <c r="Z18" s="293"/>
      <c r="AA18" s="293"/>
      <c r="AB18" s="293"/>
      <c r="AC18" s="293"/>
      <c r="AD18" s="293"/>
      <c r="AE18" s="293"/>
      <c r="AF18" s="293"/>
      <c r="AG18" s="293"/>
      <c r="AH18" s="293"/>
    </row>
    <row r="19" spans="1:34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43"/>
      <c r="K19" s="43"/>
      <c r="L19" s="4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293"/>
      <c r="AB19" s="293"/>
      <c r="AC19" s="293"/>
      <c r="AD19" s="293"/>
      <c r="AE19" s="293"/>
      <c r="AF19" s="293"/>
      <c r="AG19" s="293"/>
      <c r="AH19" s="293"/>
    </row>
    <row r="20" spans="1:34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43"/>
      <c r="K20" s="43"/>
      <c r="L20" s="4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</row>
    <row r="21" spans="1:34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43"/>
      <c r="K21" s="43"/>
      <c r="L21" s="4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</row>
    <row r="22" spans="1:34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43"/>
      <c r="K22" s="43"/>
      <c r="L22" s="4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</row>
    <row r="23" spans="1:34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43"/>
      <c r="K23" s="43"/>
      <c r="L23" s="4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</row>
    <row r="24" spans="1:34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3"/>
      <c r="N24" s="293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293"/>
      <c r="AA24" s="293"/>
      <c r="AB24" s="293"/>
      <c r="AC24" s="293"/>
      <c r="AD24" s="293"/>
      <c r="AE24" s="293"/>
      <c r="AF24" s="293"/>
      <c r="AG24" s="293"/>
      <c r="AH24" s="293"/>
    </row>
    <row r="25" spans="1:34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293"/>
      <c r="AB25" s="293"/>
      <c r="AC25" s="293"/>
      <c r="AD25" s="293"/>
      <c r="AE25" s="293"/>
      <c r="AF25" s="293"/>
      <c r="AG25" s="293"/>
      <c r="AH25" s="293"/>
    </row>
    <row r="26" spans="1:34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93"/>
      <c r="AB26" s="293"/>
      <c r="AC26" s="293"/>
      <c r="AD26" s="293"/>
      <c r="AE26" s="293"/>
      <c r="AF26" s="293"/>
      <c r="AG26" s="293"/>
      <c r="AH26" s="293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93"/>
      <c r="AB27" s="293"/>
      <c r="AC27" s="293"/>
      <c r="AD27" s="293"/>
      <c r="AE27" s="293"/>
      <c r="AF27" s="293"/>
      <c r="AG27" s="293"/>
      <c r="AH27" s="293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3"/>
      <c r="N28" s="293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293"/>
      <c r="AA28" s="293"/>
      <c r="AB28" s="293"/>
      <c r="AC28" s="293"/>
      <c r="AD28" s="293"/>
      <c r="AE28" s="293"/>
      <c r="AF28" s="293"/>
      <c r="AG28" s="293"/>
      <c r="AH28" s="293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3"/>
      <c r="N29" s="293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3"/>
      <c r="N30" s="293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93"/>
      <c r="AB30" s="293"/>
      <c r="AC30" s="293"/>
      <c r="AD30" s="293"/>
      <c r="AE30" s="293"/>
      <c r="AF30" s="293"/>
      <c r="AG30" s="293"/>
      <c r="AH30" s="293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</row>
    <row r="36" spans="1:34" x14ac:dyDescent="0.2">
      <c r="A36" s="41"/>
      <c r="B36" s="11">
        <f>SUM(B5:B35)</f>
        <v>-144719</v>
      </c>
      <c r="C36" s="44">
        <f>SUM(C5:C35)</f>
        <v>-144759</v>
      </c>
      <c r="D36" s="43">
        <f>SUM(D5:D35)</f>
        <v>-571880</v>
      </c>
      <c r="E36" s="43">
        <f>SUM(E5:E35)</f>
        <v>-566473</v>
      </c>
      <c r="F36" s="11">
        <f>SUM(F5:F35)</f>
        <v>5367</v>
      </c>
      <c r="G36" s="41"/>
      <c r="H36" s="43"/>
      <c r="I36" s="43"/>
      <c r="J36" s="43"/>
      <c r="K36" s="43"/>
      <c r="L36" s="43"/>
      <c r="M36" s="293"/>
      <c r="N36" s="293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3"/>
      <c r="N37" s="293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293"/>
      <c r="AA37" s="293"/>
      <c r="AB37" s="293"/>
      <c r="AC37" s="293"/>
      <c r="AD37" s="293"/>
      <c r="AE37" s="293"/>
      <c r="AF37" s="293"/>
      <c r="AG37" s="293"/>
      <c r="AH37" s="293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6"/>
      <c r="M38" s="293"/>
      <c r="N38" s="293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93"/>
      <c r="AB38" s="293"/>
      <c r="AC38" s="293"/>
      <c r="AD38" s="293"/>
      <c r="AE38" s="293"/>
      <c r="AF38" s="293"/>
      <c r="AG38" s="293"/>
      <c r="AH38" s="293"/>
    </row>
    <row r="39" spans="1:34" x14ac:dyDescent="0.2">
      <c r="A39" s="32"/>
      <c r="B39" s="32"/>
      <c r="C39" s="15"/>
      <c r="D39" s="15"/>
      <c r="E39" s="15"/>
      <c r="F39" s="500">
        <f>+summary!I5</f>
        <v>2.2200000000000002</v>
      </c>
      <c r="G39" s="32"/>
      <c r="H39" s="204"/>
      <c r="I39" s="150"/>
      <c r="J39" s="351"/>
      <c r="K39" s="457"/>
      <c r="L39" s="150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</row>
    <row r="40" spans="1:34" x14ac:dyDescent="0.2">
      <c r="A40" s="32"/>
      <c r="B40" s="32"/>
      <c r="C40" s="48"/>
      <c r="D40" s="47"/>
      <c r="E40" s="48"/>
      <c r="F40" s="46">
        <f>+F39*F36</f>
        <v>11914.740000000002</v>
      </c>
      <c r="G40" s="32"/>
      <c r="H40" s="204"/>
      <c r="I40" s="206"/>
      <c r="J40" s="351"/>
      <c r="K40" s="351"/>
      <c r="L40" s="150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</row>
    <row r="41" spans="1:34" x14ac:dyDescent="0.2">
      <c r="A41" s="32"/>
      <c r="B41" s="32"/>
      <c r="C41" s="47"/>
      <c r="D41" s="47"/>
      <c r="E41" s="47"/>
      <c r="F41" s="24"/>
      <c r="G41" s="32"/>
      <c r="H41" s="458"/>
      <c r="I41" s="206"/>
      <c r="J41" s="459"/>
      <c r="K41" s="459"/>
      <c r="L41" s="150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</row>
    <row r="42" spans="1:34" x14ac:dyDescent="0.2">
      <c r="A42" s="57">
        <v>37256</v>
      </c>
      <c r="B42" s="32"/>
      <c r="C42" s="467"/>
      <c r="D42" s="111"/>
      <c r="E42" s="467"/>
      <c r="F42" s="499">
        <v>9686</v>
      </c>
      <c r="G42" s="32"/>
      <c r="H42" s="458"/>
      <c r="I42" s="206"/>
      <c r="J42" s="459"/>
      <c r="K42" s="459"/>
      <c r="L42" s="306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</row>
    <row r="43" spans="1:34" x14ac:dyDescent="0.2">
      <c r="A43" s="57">
        <v>37265</v>
      </c>
      <c r="B43" s="32"/>
      <c r="C43" s="106"/>
      <c r="D43" s="106"/>
      <c r="E43" s="106"/>
      <c r="F43" s="24">
        <f>+F40+F42</f>
        <v>21600.74</v>
      </c>
      <c r="H43" s="293"/>
      <c r="I43" s="293"/>
      <c r="J43" s="293"/>
      <c r="K43" s="293"/>
      <c r="L43" s="460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</row>
    <row r="44" spans="1:34" x14ac:dyDescent="0.2">
      <c r="A44" s="32"/>
      <c r="B44" s="32"/>
      <c r="C44" s="32"/>
      <c r="D44" s="32"/>
      <c r="E44" s="32"/>
      <c r="F44" s="15"/>
      <c r="H44" s="293"/>
      <c r="I44" s="293"/>
      <c r="J44" s="293"/>
      <c r="K44" s="293"/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</row>
    <row r="45" spans="1:34" x14ac:dyDescent="0.2">
      <c r="A45" s="41"/>
      <c r="B45" s="11"/>
      <c r="C45" s="11"/>
      <c r="D45" s="11"/>
      <c r="E45" s="11"/>
      <c r="F45" s="102"/>
      <c r="H45" s="293"/>
      <c r="I45" s="293"/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</row>
    <row r="46" spans="1:34" x14ac:dyDescent="0.2">
      <c r="A46" s="41"/>
      <c r="B46" s="11"/>
      <c r="C46" s="267"/>
      <c r="D46" s="102"/>
      <c r="E46" s="11"/>
      <c r="F46" s="11"/>
      <c r="H46" s="293"/>
      <c r="I46" s="293"/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A46" s="293"/>
      <c r="AB46" s="293"/>
      <c r="AC46" s="293"/>
      <c r="AD46" s="293"/>
      <c r="AE46" s="293"/>
      <c r="AF46" s="293"/>
      <c r="AG46" s="293"/>
      <c r="AH46" s="293"/>
    </row>
    <row r="47" spans="1:34" x14ac:dyDescent="0.2">
      <c r="A47" s="32" t="s">
        <v>318</v>
      </c>
      <c r="B47" s="32"/>
      <c r="C47" s="32"/>
      <c r="D47" s="15"/>
      <c r="E47" s="11"/>
      <c r="F47" s="11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</row>
    <row r="48" spans="1:34" x14ac:dyDescent="0.2">
      <c r="A48" s="49">
        <f>+A42</f>
        <v>37256</v>
      </c>
      <c r="B48" s="32"/>
      <c r="C48" s="32"/>
      <c r="D48" s="516">
        <v>19943.240000000002</v>
      </c>
      <c r="E48" s="11"/>
      <c r="F48" s="11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93"/>
      <c r="AB48" s="293"/>
      <c r="AC48" s="293"/>
      <c r="AD48" s="293"/>
      <c r="AE48" s="293"/>
      <c r="AF48" s="293"/>
      <c r="AG48" s="293"/>
      <c r="AH48" s="293"/>
    </row>
    <row r="49" spans="1:34" x14ac:dyDescent="0.2">
      <c r="A49" s="49">
        <f>+A43</f>
        <v>37265</v>
      </c>
      <c r="B49" s="32"/>
      <c r="C49" s="32"/>
      <c r="D49" s="76">
        <f>+F36</f>
        <v>5367</v>
      </c>
      <c r="E49" s="11"/>
      <c r="F49" s="11"/>
      <c r="H49" s="293"/>
      <c r="I49" s="293"/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</row>
    <row r="50" spans="1:34" x14ac:dyDescent="0.2">
      <c r="A50" s="32"/>
      <c r="B50" s="32"/>
      <c r="C50" s="32"/>
      <c r="D50" s="75">
        <f>+D49+D48</f>
        <v>25310.240000000002</v>
      </c>
      <c r="E50" s="11"/>
      <c r="F50" s="11"/>
      <c r="H50" s="293"/>
      <c r="I50" s="293"/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</row>
    <row r="51" spans="1:34" x14ac:dyDescent="0.2">
      <c r="D51" s="259"/>
      <c r="H51" s="293"/>
      <c r="I51" s="293"/>
      <c r="J51" s="293"/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</row>
    <row r="52" spans="1:34" x14ac:dyDescent="0.2"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</row>
    <row r="53" spans="1:34" x14ac:dyDescent="0.2">
      <c r="H53" s="293"/>
      <c r="I53" s="293"/>
      <c r="J53" s="293"/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</row>
    <row r="54" spans="1:34" x14ac:dyDescent="0.2">
      <c r="H54" s="293"/>
      <c r="I54" s="293"/>
      <c r="J54" s="293"/>
      <c r="K54" s="293"/>
      <c r="L54" s="293"/>
      <c r="M54" s="293"/>
      <c r="N54" s="293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293"/>
      <c r="AA54" s="293"/>
      <c r="AB54" s="293"/>
      <c r="AC54" s="293"/>
      <c r="AD54" s="293"/>
      <c r="AE54" s="293"/>
      <c r="AF54" s="293"/>
      <c r="AG54" s="293"/>
      <c r="AH54" s="293"/>
    </row>
    <row r="55" spans="1:34" x14ac:dyDescent="0.2">
      <c r="H55" s="293"/>
      <c r="I55" s="293"/>
      <c r="J55" s="293"/>
      <c r="K55" s="293"/>
      <c r="L55" s="293"/>
      <c r="M55" s="293"/>
      <c r="N55" s="293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293"/>
      <c r="AA55" s="293"/>
      <c r="AB55" s="293"/>
      <c r="AC55" s="293"/>
      <c r="AD55" s="293"/>
      <c r="AE55" s="293"/>
      <c r="AF55" s="293"/>
      <c r="AG55" s="293"/>
      <c r="AH55" s="293"/>
    </row>
    <row r="56" spans="1:34" x14ac:dyDescent="0.2"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93"/>
      <c r="AB56" s="293"/>
      <c r="AC56" s="293"/>
      <c r="AD56" s="293"/>
      <c r="AE56" s="293"/>
      <c r="AF56" s="293"/>
      <c r="AG56" s="293"/>
      <c r="AH56" s="293"/>
    </row>
    <row r="57" spans="1:34" x14ac:dyDescent="0.2">
      <c r="H57" s="293"/>
      <c r="I57" s="293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3"/>
      <c r="AB57" s="293"/>
      <c r="AC57" s="293"/>
      <c r="AD57" s="293"/>
      <c r="AE57" s="293"/>
      <c r="AF57" s="293"/>
      <c r="AG57" s="293"/>
      <c r="AH57" s="293"/>
    </row>
    <row r="58" spans="1:34" x14ac:dyDescent="0.2">
      <c r="H58" s="293"/>
      <c r="I58" s="293"/>
      <c r="J58" s="293"/>
      <c r="K58" s="293"/>
      <c r="L58" s="293"/>
      <c r="M58" s="293"/>
      <c r="N58" s="293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293"/>
      <c r="AA58" s="293"/>
      <c r="AB58" s="293"/>
      <c r="AC58" s="293"/>
      <c r="AD58" s="293"/>
      <c r="AE58" s="293"/>
      <c r="AF58" s="293"/>
      <c r="AG58" s="293"/>
      <c r="AH58" s="293"/>
    </row>
    <row r="59" spans="1:34" x14ac:dyDescent="0.2">
      <c r="H59" s="293"/>
      <c r="I59" s="293"/>
      <c r="J59" s="293"/>
      <c r="K59" s="293"/>
      <c r="L59" s="293"/>
      <c r="M59" s="293"/>
      <c r="N59" s="293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293"/>
      <c r="AA59" s="293"/>
      <c r="AB59" s="293"/>
      <c r="AC59" s="293"/>
      <c r="AD59" s="293"/>
      <c r="AE59" s="293"/>
      <c r="AF59" s="293"/>
      <c r="AG59" s="293"/>
      <c r="AH59" s="293"/>
    </row>
    <row r="60" spans="1:34" x14ac:dyDescent="0.2"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93"/>
      <c r="AB60" s="293"/>
      <c r="AC60" s="293"/>
      <c r="AD60" s="293"/>
      <c r="AE60" s="293"/>
      <c r="AF60" s="293"/>
      <c r="AG60" s="293"/>
      <c r="AH60" s="293"/>
    </row>
    <row r="61" spans="1:34" x14ac:dyDescent="0.2">
      <c r="H61" s="293"/>
      <c r="I61" s="293"/>
      <c r="J61" s="293"/>
      <c r="K61" s="293"/>
      <c r="L61" s="293"/>
      <c r="M61" s="293"/>
      <c r="N61" s="293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293"/>
      <c r="AA61" s="293"/>
      <c r="AB61" s="293"/>
      <c r="AC61" s="293"/>
      <c r="AD61" s="293"/>
      <c r="AE61" s="293"/>
      <c r="AF61" s="293"/>
      <c r="AG61" s="293"/>
      <c r="AH61" s="293"/>
    </row>
    <row r="62" spans="1:34" x14ac:dyDescent="0.2"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</row>
    <row r="63" spans="1:34" x14ac:dyDescent="0.2">
      <c r="H63" s="293"/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</row>
    <row r="64" spans="1:34" x14ac:dyDescent="0.2">
      <c r="H64" s="293"/>
      <c r="I64" s="293"/>
      <c r="J64" s="293"/>
      <c r="K64" s="293"/>
      <c r="L64" s="293"/>
      <c r="M64" s="293"/>
      <c r="N64" s="293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293"/>
      <c r="AA64" s="293"/>
      <c r="AB64" s="293"/>
      <c r="AC64" s="293"/>
      <c r="AD64" s="293"/>
      <c r="AE64" s="293"/>
      <c r="AF64" s="293"/>
      <c r="AG64" s="293"/>
      <c r="AH64" s="293"/>
    </row>
    <row r="65" spans="8:34" x14ac:dyDescent="0.2"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</row>
    <row r="66" spans="8:34" x14ac:dyDescent="0.2">
      <c r="H66" s="293"/>
      <c r="I66" s="293"/>
      <c r="J66" s="293"/>
      <c r="K66" s="293"/>
      <c r="L66" s="293"/>
      <c r="M66" s="293"/>
      <c r="N66" s="293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</row>
    <row r="67" spans="8:34" x14ac:dyDescent="0.2">
      <c r="H67" s="293"/>
      <c r="I67" s="293"/>
      <c r="J67" s="293"/>
      <c r="K67" s="293"/>
      <c r="L67" s="293"/>
      <c r="M67" s="293"/>
      <c r="N67" s="293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293"/>
      <c r="AA67" s="293"/>
      <c r="AB67" s="293"/>
      <c r="AC67" s="293"/>
      <c r="AD67" s="293"/>
      <c r="AE67" s="293"/>
      <c r="AF67" s="293"/>
      <c r="AG67" s="293"/>
      <c r="AH67" s="293"/>
    </row>
    <row r="68" spans="8:34" x14ac:dyDescent="0.2">
      <c r="H68" s="293"/>
      <c r="I68" s="293"/>
      <c r="J68" s="293"/>
      <c r="K68" s="293"/>
      <c r="L68" s="293"/>
      <c r="M68" s="293"/>
      <c r="N68" s="293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293"/>
      <c r="AA68" s="293"/>
      <c r="AB68" s="293"/>
      <c r="AC68" s="293"/>
      <c r="AD68" s="293"/>
      <c r="AE68" s="293"/>
      <c r="AF68" s="293"/>
      <c r="AG68" s="293"/>
      <c r="AH68" s="293"/>
    </row>
    <row r="69" spans="8:34" x14ac:dyDescent="0.2">
      <c r="H69" s="293"/>
      <c r="I69" s="293"/>
      <c r="J69" s="293"/>
      <c r="K69" s="293"/>
      <c r="L69" s="293"/>
      <c r="M69" s="293"/>
      <c r="N69" s="293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293"/>
      <c r="AA69" s="293"/>
      <c r="AB69" s="293"/>
      <c r="AC69" s="293"/>
      <c r="AD69" s="293"/>
      <c r="AE69" s="293"/>
      <c r="AF69" s="293"/>
      <c r="AG69" s="293"/>
      <c r="AH69" s="293"/>
    </row>
    <row r="70" spans="8:34" x14ac:dyDescent="0.2">
      <c r="H70" s="293"/>
      <c r="I70" s="293"/>
      <c r="J70" s="293"/>
      <c r="K70" s="293"/>
      <c r="L70" s="293"/>
      <c r="M70" s="293"/>
      <c r="N70" s="293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293"/>
      <c r="AA70" s="293"/>
      <c r="AB70" s="293"/>
      <c r="AC70" s="293"/>
      <c r="AD70" s="293"/>
      <c r="AE70" s="293"/>
      <c r="AF70" s="293"/>
      <c r="AG70" s="293"/>
      <c r="AH70" s="293"/>
    </row>
    <row r="71" spans="8:34" x14ac:dyDescent="0.2"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93"/>
      <c r="AB71" s="293"/>
      <c r="AC71" s="293"/>
      <c r="AD71" s="293"/>
      <c r="AE71" s="293"/>
      <c r="AF71" s="293"/>
      <c r="AG71" s="293"/>
      <c r="AH71" s="293"/>
    </row>
    <row r="72" spans="8:34" x14ac:dyDescent="0.2"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93"/>
      <c r="AB72" s="293"/>
      <c r="AC72" s="293"/>
      <c r="AD72" s="293"/>
      <c r="AE72" s="293"/>
      <c r="AF72" s="293"/>
      <c r="AG72" s="293"/>
      <c r="AH72" s="293"/>
    </row>
    <row r="73" spans="8:34" x14ac:dyDescent="0.2">
      <c r="H73" s="293"/>
      <c r="I73" s="293"/>
      <c r="J73" s="293"/>
      <c r="K73" s="293"/>
      <c r="L73" s="293"/>
      <c r="M73" s="293"/>
      <c r="N73" s="293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293"/>
      <c r="AA73" s="293"/>
      <c r="AB73" s="293"/>
      <c r="AC73" s="293"/>
      <c r="AD73" s="293"/>
      <c r="AE73" s="293"/>
      <c r="AF73" s="293"/>
      <c r="AG73" s="293"/>
      <c r="AH73" s="293"/>
    </row>
    <row r="74" spans="8:34" x14ac:dyDescent="0.2">
      <c r="H74" s="293"/>
      <c r="I74" s="293"/>
      <c r="J74" s="293"/>
      <c r="K74" s="293"/>
      <c r="L74" s="293"/>
      <c r="M74" s="293"/>
      <c r="N74" s="293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293"/>
      <c r="AA74" s="293"/>
      <c r="AB74" s="293"/>
      <c r="AC74" s="293"/>
      <c r="AD74" s="293"/>
      <c r="AE74" s="293"/>
      <c r="AF74" s="293"/>
      <c r="AG74" s="293"/>
      <c r="AH74" s="293"/>
    </row>
    <row r="75" spans="8:34" x14ac:dyDescent="0.2">
      <c r="H75" s="293"/>
      <c r="I75" s="293"/>
      <c r="J75" s="293"/>
      <c r="K75" s="293"/>
      <c r="L75" s="293"/>
      <c r="M75" s="293"/>
      <c r="N75" s="293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293"/>
      <c r="AA75" s="293"/>
      <c r="AB75" s="293"/>
      <c r="AC75" s="293"/>
      <c r="AD75" s="293"/>
      <c r="AE75" s="293"/>
      <c r="AF75" s="293"/>
      <c r="AG75" s="293"/>
      <c r="AH75" s="293"/>
    </row>
    <row r="76" spans="8:34" x14ac:dyDescent="0.2">
      <c r="H76" s="293"/>
      <c r="I76" s="293"/>
      <c r="J76" s="293"/>
      <c r="K76" s="293"/>
      <c r="L76" s="293"/>
      <c r="M76" s="293"/>
      <c r="N76" s="293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293"/>
      <c r="AA76" s="293"/>
      <c r="AB76" s="293"/>
      <c r="AC76" s="293"/>
      <c r="AD76" s="293"/>
      <c r="AE76" s="293"/>
      <c r="AF76" s="293"/>
      <c r="AG76" s="293"/>
      <c r="AH76" s="293"/>
    </row>
    <row r="77" spans="8:34" x14ac:dyDescent="0.2"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93"/>
      <c r="AB77" s="293"/>
      <c r="AC77" s="293"/>
      <c r="AD77" s="293"/>
      <c r="AE77" s="293"/>
      <c r="AF77" s="293"/>
      <c r="AG77" s="293"/>
      <c r="AH77" s="293"/>
    </row>
    <row r="78" spans="8:34" x14ac:dyDescent="0.2"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93"/>
      <c r="AB78" s="293"/>
      <c r="AC78" s="293"/>
      <c r="AD78" s="293"/>
      <c r="AE78" s="293"/>
      <c r="AF78" s="293"/>
      <c r="AG78" s="293"/>
      <c r="AH78" s="293"/>
    </row>
    <row r="79" spans="8:34" x14ac:dyDescent="0.2">
      <c r="H79" s="293"/>
      <c r="I79" s="293"/>
      <c r="J79" s="293"/>
      <c r="K79" s="293"/>
      <c r="L79" s="293"/>
      <c r="M79" s="293"/>
      <c r="N79" s="293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293"/>
      <c r="AA79" s="293"/>
      <c r="AB79" s="293"/>
      <c r="AC79" s="293"/>
      <c r="AD79" s="293"/>
      <c r="AE79" s="293"/>
      <c r="AF79" s="293"/>
      <c r="AG79" s="293"/>
      <c r="AH79" s="293"/>
    </row>
    <row r="80" spans="8:34" x14ac:dyDescent="0.2">
      <c r="H80" s="293"/>
      <c r="I80" s="293"/>
      <c r="J80" s="293"/>
      <c r="K80" s="293"/>
      <c r="L80" s="293"/>
      <c r="M80" s="293"/>
      <c r="N80" s="293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293"/>
      <c r="AA80" s="293"/>
      <c r="AB80" s="293"/>
      <c r="AC80" s="293"/>
      <c r="AD80" s="293"/>
      <c r="AE80" s="293"/>
      <c r="AF80" s="293"/>
      <c r="AG80" s="293"/>
      <c r="AH80" s="293"/>
    </row>
    <row r="81" spans="8:34" x14ac:dyDescent="0.2">
      <c r="H81" s="293"/>
      <c r="I81" s="293"/>
      <c r="J81" s="293"/>
      <c r="K81" s="293"/>
      <c r="L81" s="293"/>
      <c r="M81" s="293"/>
      <c r="N81" s="293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293"/>
      <c r="AA81" s="293"/>
      <c r="AB81" s="293"/>
      <c r="AC81" s="293"/>
      <c r="AD81" s="293"/>
      <c r="AE81" s="293"/>
      <c r="AF81" s="293"/>
      <c r="AG81" s="293"/>
      <c r="AH81" s="293"/>
    </row>
    <row r="82" spans="8:34" x14ac:dyDescent="0.2"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93"/>
      <c r="AB82" s="293"/>
      <c r="AC82" s="293"/>
      <c r="AD82" s="293"/>
      <c r="AE82" s="293"/>
      <c r="AF82" s="293"/>
      <c r="AG82" s="293"/>
      <c r="AH82" s="293"/>
    </row>
    <row r="83" spans="8:34" x14ac:dyDescent="0.2"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</row>
    <row r="84" spans="8:34" x14ac:dyDescent="0.2">
      <c r="H84" s="293"/>
      <c r="I84" s="293"/>
      <c r="J84" s="293"/>
      <c r="K84" s="293"/>
      <c r="L84" s="293"/>
      <c r="M84" s="293"/>
      <c r="N84" s="293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293"/>
      <c r="AA84" s="293"/>
      <c r="AB84" s="293"/>
      <c r="AC84" s="293"/>
      <c r="AD84" s="293"/>
      <c r="AE84" s="293"/>
      <c r="AF84" s="293"/>
      <c r="AG84" s="293"/>
      <c r="AH84" s="293"/>
    </row>
    <row r="85" spans="8:34" x14ac:dyDescent="0.2">
      <c r="H85" s="293"/>
      <c r="I85" s="293"/>
      <c r="J85" s="293"/>
      <c r="K85" s="293"/>
      <c r="L85" s="293"/>
      <c r="M85" s="293"/>
      <c r="N85" s="293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293"/>
      <c r="AA85" s="293"/>
      <c r="AB85" s="293"/>
      <c r="AC85" s="293"/>
      <c r="AD85" s="293"/>
      <c r="AE85" s="293"/>
      <c r="AF85" s="293"/>
      <c r="AG85" s="293"/>
      <c r="AH85" s="293"/>
    </row>
    <row r="86" spans="8:34" x14ac:dyDescent="0.2">
      <c r="H86" s="293"/>
      <c r="I86" s="293"/>
      <c r="J86" s="293"/>
      <c r="K86" s="293"/>
      <c r="L86" s="293"/>
      <c r="M86" s="293"/>
      <c r="N86" s="293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293"/>
      <c r="AA86" s="293"/>
      <c r="AB86" s="293"/>
      <c r="AC86" s="293"/>
      <c r="AD86" s="293"/>
      <c r="AE86" s="293"/>
      <c r="AF86" s="293"/>
      <c r="AG86" s="293"/>
      <c r="AH86" s="293"/>
    </row>
    <row r="87" spans="8:34" x14ac:dyDescent="0.2">
      <c r="H87" s="293"/>
      <c r="I87" s="293"/>
      <c r="J87" s="293"/>
      <c r="K87" s="293"/>
      <c r="L87" s="293"/>
      <c r="M87" s="293"/>
      <c r="N87" s="293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293"/>
      <c r="AA87" s="293"/>
      <c r="AB87" s="293"/>
      <c r="AC87" s="293"/>
      <c r="AD87" s="293"/>
      <c r="AE87" s="293"/>
      <c r="AF87" s="293"/>
      <c r="AG87" s="293"/>
      <c r="AH87" s="293"/>
    </row>
    <row r="88" spans="8:34" x14ac:dyDescent="0.2"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93"/>
      <c r="AB88" s="293"/>
      <c r="AC88" s="293"/>
      <c r="AD88" s="293"/>
      <c r="AE88" s="293"/>
      <c r="AF88" s="293"/>
      <c r="AG88" s="293"/>
      <c r="AH88" s="293"/>
    </row>
    <row r="89" spans="8:34" x14ac:dyDescent="0.2"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93"/>
      <c r="AB89" s="293"/>
      <c r="AC89" s="293"/>
      <c r="AD89" s="293"/>
      <c r="AE89" s="293"/>
      <c r="AF89" s="293"/>
      <c r="AG89" s="293"/>
      <c r="AH89" s="293"/>
    </row>
    <row r="90" spans="8:34" x14ac:dyDescent="0.2">
      <c r="H90" s="293"/>
      <c r="I90" s="293"/>
      <c r="J90" s="293"/>
      <c r="K90" s="293"/>
      <c r="L90" s="293"/>
      <c r="M90" s="293"/>
      <c r="N90" s="293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293"/>
      <c r="AA90" s="293"/>
      <c r="AB90" s="293"/>
      <c r="AC90" s="293"/>
      <c r="AD90" s="293"/>
      <c r="AE90" s="293"/>
      <c r="AF90" s="293"/>
      <c r="AG90" s="293"/>
      <c r="AH90" s="293"/>
    </row>
    <row r="91" spans="8:34" x14ac:dyDescent="0.2">
      <c r="H91" s="293"/>
      <c r="I91" s="293"/>
      <c r="J91" s="293"/>
      <c r="K91" s="293"/>
      <c r="L91" s="293"/>
      <c r="M91" s="293"/>
      <c r="N91" s="293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293"/>
      <c r="AA91" s="293"/>
      <c r="AB91" s="293"/>
      <c r="AC91" s="293"/>
      <c r="AD91" s="293"/>
      <c r="AE91" s="293"/>
      <c r="AF91" s="293"/>
      <c r="AG91" s="293"/>
      <c r="AH91" s="293"/>
    </row>
    <row r="92" spans="8:34" x14ac:dyDescent="0.2">
      <c r="H92" s="293"/>
      <c r="I92" s="293"/>
      <c r="J92" s="293"/>
      <c r="K92" s="293"/>
      <c r="L92" s="293"/>
      <c r="M92" s="293"/>
      <c r="N92" s="293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293"/>
      <c r="AA92" s="293"/>
      <c r="AB92" s="293"/>
      <c r="AC92" s="293"/>
      <c r="AD92" s="293"/>
      <c r="AE92" s="293"/>
      <c r="AF92" s="293"/>
      <c r="AG92" s="293"/>
      <c r="AH92" s="293"/>
    </row>
    <row r="93" spans="8:34" x14ac:dyDescent="0.2">
      <c r="H93" s="293"/>
      <c r="I93" s="293"/>
      <c r="J93" s="293"/>
      <c r="K93" s="293"/>
      <c r="L93" s="293"/>
      <c r="M93" s="293"/>
      <c r="N93" s="293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293"/>
      <c r="AA93" s="293"/>
      <c r="AB93" s="293"/>
      <c r="AC93" s="293"/>
      <c r="AD93" s="293"/>
      <c r="AE93" s="293"/>
      <c r="AF93" s="293"/>
      <c r="AG93" s="293"/>
      <c r="AH93" s="293"/>
    </row>
    <row r="94" spans="8:34" x14ac:dyDescent="0.2">
      <c r="H94" s="293"/>
      <c r="I94" s="293"/>
      <c r="J94" s="293"/>
      <c r="K94" s="293"/>
      <c r="L94" s="293"/>
      <c r="M94" s="293"/>
      <c r="N94" s="293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293"/>
      <c r="AA94" s="293"/>
      <c r="AB94" s="293"/>
      <c r="AC94" s="293"/>
      <c r="AD94" s="293"/>
      <c r="AE94" s="293"/>
      <c r="AF94" s="293"/>
      <c r="AG94" s="293"/>
      <c r="AH94" s="293"/>
    </row>
    <row r="95" spans="8:34" x14ac:dyDescent="0.2">
      <c r="H95" s="293"/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293"/>
      <c r="AA95" s="293"/>
      <c r="AB95" s="293"/>
      <c r="AC95" s="293"/>
      <c r="AD95" s="293"/>
      <c r="AE95" s="293"/>
      <c r="AF95" s="293"/>
      <c r="AG95" s="293"/>
      <c r="AH95" s="293"/>
    </row>
    <row r="96" spans="8:34" x14ac:dyDescent="0.2">
      <c r="H96" s="293"/>
      <c r="I96" s="293"/>
      <c r="J96" s="293"/>
      <c r="K96" s="293"/>
      <c r="L96" s="293"/>
      <c r="M96" s="293"/>
      <c r="N96" s="293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293"/>
      <c r="AA96" s="293"/>
      <c r="AB96" s="293"/>
      <c r="AC96" s="293"/>
      <c r="AD96" s="293"/>
      <c r="AE96" s="293"/>
      <c r="AF96" s="293"/>
      <c r="AG96" s="293"/>
      <c r="AH96" s="293"/>
    </row>
    <row r="97" spans="8:34" x14ac:dyDescent="0.2">
      <c r="H97" s="293"/>
      <c r="I97" s="293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</row>
    <row r="98" spans="8:34" x14ac:dyDescent="0.2"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93"/>
      <c r="AB98" s="293"/>
      <c r="AC98" s="293"/>
      <c r="AD98" s="293"/>
      <c r="AE98" s="293"/>
      <c r="AF98" s="293"/>
      <c r="AG98" s="293"/>
      <c r="AH98" s="293"/>
    </row>
    <row r="99" spans="8:34" x14ac:dyDescent="0.2"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</row>
    <row r="100" spans="8:34" x14ac:dyDescent="0.2">
      <c r="H100" s="293"/>
      <c r="I100" s="293"/>
      <c r="J100" s="293"/>
      <c r="K100" s="293"/>
      <c r="L100" s="293"/>
      <c r="M100" s="293"/>
      <c r="N100" s="293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293"/>
      <c r="AA100" s="293"/>
      <c r="AB100" s="293"/>
      <c r="AC100" s="293"/>
      <c r="AD100" s="293"/>
      <c r="AE100" s="293"/>
      <c r="AF100" s="293"/>
      <c r="AG100" s="293"/>
      <c r="AH100" s="293"/>
    </row>
    <row r="101" spans="8:34" x14ac:dyDescent="0.2">
      <c r="H101" s="293"/>
      <c r="I101" s="293"/>
      <c r="J101" s="293"/>
      <c r="K101" s="293"/>
      <c r="L101" s="293"/>
      <c r="M101" s="293"/>
      <c r="N101" s="293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293"/>
      <c r="AA101" s="293"/>
      <c r="AB101" s="293"/>
      <c r="AC101" s="293"/>
      <c r="AD101" s="293"/>
      <c r="AE101" s="293"/>
      <c r="AF101" s="293"/>
      <c r="AG101" s="293"/>
      <c r="AH101" s="293"/>
    </row>
    <row r="102" spans="8:34" x14ac:dyDescent="0.2">
      <c r="H102" s="293"/>
      <c r="I102" s="293"/>
      <c r="J102" s="293"/>
      <c r="K102" s="293"/>
      <c r="L102" s="293"/>
      <c r="M102" s="293"/>
      <c r="N102" s="293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293"/>
      <c r="AA102" s="293"/>
      <c r="AB102" s="293"/>
      <c r="AC102" s="293"/>
      <c r="AD102" s="293"/>
      <c r="AE102" s="293"/>
      <c r="AF102" s="293"/>
      <c r="AG102" s="293"/>
      <c r="AH102" s="293"/>
    </row>
    <row r="103" spans="8:34" x14ac:dyDescent="0.2">
      <c r="H103" s="293"/>
      <c r="I103" s="293"/>
      <c r="J103" s="293"/>
      <c r="K103" s="293"/>
      <c r="L103" s="293"/>
      <c r="M103" s="293"/>
      <c r="N103" s="293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293"/>
      <c r="AA103" s="293"/>
      <c r="AB103" s="293"/>
      <c r="AC103" s="293"/>
      <c r="AD103" s="293"/>
      <c r="AE103" s="293"/>
      <c r="AF103" s="293"/>
      <c r="AG103" s="293"/>
      <c r="AH103" s="293"/>
    </row>
    <row r="104" spans="8:34" x14ac:dyDescent="0.2"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</row>
    <row r="105" spans="8:34" x14ac:dyDescent="0.2"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93"/>
      <c r="AB105" s="293"/>
      <c r="AC105" s="293"/>
      <c r="AD105" s="293"/>
      <c r="AE105" s="293"/>
      <c r="AF105" s="293"/>
      <c r="AG105" s="293"/>
      <c r="AH105" s="293"/>
    </row>
    <row r="106" spans="8:34" x14ac:dyDescent="0.2"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293"/>
      <c r="AA106" s="293"/>
      <c r="AB106" s="293"/>
      <c r="AC106" s="293"/>
      <c r="AD106" s="293"/>
      <c r="AE106" s="293"/>
      <c r="AF106" s="293"/>
      <c r="AG106" s="293"/>
      <c r="AH106" s="293"/>
    </row>
    <row r="107" spans="8:34" x14ac:dyDescent="0.2"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293"/>
      <c r="AA107" s="293"/>
      <c r="AB107" s="293"/>
      <c r="AC107" s="293"/>
      <c r="AD107" s="293"/>
      <c r="AE107" s="293"/>
      <c r="AF107" s="293"/>
      <c r="AG107" s="293"/>
      <c r="AH107" s="293"/>
    </row>
    <row r="108" spans="8:34" x14ac:dyDescent="0.2"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293"/>
      <c r="AA108" s="293"/>
      <c r="AB108" s="293"/>
      <c r="AC108" s="293"/>
      <c r="AD108" s="293"/>
      <c r="AE108" s="293"/>
      <c r="AF108" s="293"/>
      <c r="AG108" s="293"/>
      <c r="AH108" s="293"/>
    </row>
    <row r="109" spans="8:34" x14ac:dyDescent="0.2">
      <c r="H109" s="293"/>
      <c r="I109" s="293"/>
      <c r="J109" s="293"/>
      <c r="K109" s="293"/>
      <c r="L109" s="293"/>
      <c r="M109" s="293"/>
      <c r="N109" s="293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293"/>
      <c r="AA109" s="293"/>
      <c r="AB109" s="293"/>
      <c r="AC109" s="293"/>
      <c r="AD109" s="293"/>
      <c r="AE109" s="293"/>
      <c r="AF109" s="293"/>
      <c r="AG109" s="293"/>
      <c r="AH109" s="293"/>
    </row>
    <row r="110" spans="8:34" x14ac:dyDescent="0.2">
      <c r="H110" s="293"/>
      <c r="I110" s="293"/>
      <c r="J110" s="293"/>
      <c r="K110" s="293"/>
      <c r="L110" s="293"/>
      <c r="M110" s="293"/>
      <c r="N110" s="293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293"/>
      <c r="AA110" s="293"/>
      <c r="AB110" s="293"/>
      <c r="AC110" s="293"/>
      <c r="AD110" s="293"/>
      <c r="AE110" s="293"/>
      <c r="AF110" s="293"/>
      <c r="AG110" s="293"/>
      <c r="AH110" s="293"/>
    </row>
    <row r="111" spans="8:34" x14ac:dyDescent="0.2">
      <c r="H111" s="293"/>
      <c r="I111" s="293"/>
      <c r="J111" s="293"/>
      <c r="K111" s="293"/>
      <c r="L111" s="293"/>
      <c r="M111" s="293"/>
      <c r="N111" s="293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293"/>
      <c r="AA111" s="293"/>
      <c r="AB111" s="293"/>
      <c r="AC111" s="293"/>
      <c r="AD111" s="293"/>
      <c r="AE111" s="293"/>
      <c r="AF111" s="293"/>
      <c r="AG111" s="293"/>
      <c r="AH111" s="293"/>
    </row>
    <row r="112" spans="8:34" x14ac:dyDescent="0.2">
      <c r="H112" s="293"/>
      <c r="I112" s="293"/>
      <c r="J112" s="293"/>
      <c r="K112" s="293"/>
      <c r="L112" s="293"/>
      <c r="M112" s="293"/>
      <c r="N112" s="293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293"/>
      <c r="AA112" s="293"/>
      <c r="AB112" s="293"/>
      <c r="AC112" s="293"/>
      <c r="AD112" s="293"/>
      <c r="AE112" s="293"/>
      <c r="AF112" s="293"/>
      <c r="AG112" s="293"/>
      <c r="AH112" s="293"/>
    </row>
    <row r="113" spans="8:34" x14ac:dyDescent="0.2"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93"/>
      <c r="AB113" s="293"/>
      <c r="AC113" s="293"/>
      <c r="AD113" s="293"/>
      <c r="AE113" s="293"/>
      <c r="AF113" s="293"/>
      <c r="AG113" s="293"/>
      <c r="AH113" s="293"/>
    </row>
    <row r="114" spans="8:34" x14ac:dyDescent="0.2">
      <c r="H114" s="293"/>
      <c r="I114" s="293"/>
      <c r="J114" s="293"/>
      <c r="K114" s="293"/>
      <c r="L114" s="293"/>
      <c r="M114" s="293"/>
      <c r="N114" s="293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293"/>
      <c r="AA114" s="293"/>
      <c r="AB114" s="293"/>
      <c r="AC114" s="293"/>
      <c r="AD114" s="293"/>
      <c r="AE114" s="293"/>
      <c r="AF114" s="293"/>
      <c r="AG114" s="293"/>
      <c r="AH114" s="293"/>
    </row>
    <row r="115" spans="8:34" x14ac:dyDescent="0.2">
      <c r="H115" s="293"/>
      <c r="I115" s="293"/>
      <c r="J115" s="293"/>
      <c r="K115" s="293"/>
      <c r="L115" s="293"/>
      <c r="M115" s="293"/>
      <c r="N115" s="293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293"/>
      <c r="AA115" s="293"/>
      <c r="AB115" s="293"/>
      <c r="AC115" s="293"/>
      <c r="AD115" s="293"/>
      <c r="AE115" s="293"/>
      <c r="AF115" s="293"/>
      <c r="AG115" s="293"/>
      <c r="AH115" s="293"/>
    </row>
    <row r="116" spans="8:34" x14ac:dyDescent="0.2">
      <c r="H116" s="293"/>
      <c r="I116" s="293"/>
      <c r="J116" s="293"/>
      <c r="K116" s="293"/>
      <c r="L116" s="293"/>
      <c r="M116" s="293"/>
      <c r="N116" s="293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293"/>
      <c r="AA116" s="293"/>
      <c r="AB116" s="293"/>
      <c r="AC116" s="293"/>
      <c r="AD116" s="293"/>
      <c r="AE116" s="293"/>
      <c r="AF116" s="293"/>
      <c r="AG116" s="293"/>
      <c r="AH116" s="293"/>
    </row>
    <row r="117" spans="8:34" x14ac:dyDescent="0.2"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93"/>
      <c r="AB117" s="293"/>
      <c r="AC117" s="293"/>
      <c r="AD117" s="293"/>
      <c r="AE117" s="293"/>
      <c r="AF117" s="293"/>
      <c r="AG117" s="293"/>
      <c r="AH117" s="293"/>
    </row>
    <row r="118" spans="8:34" x14ac:dyDescent="0.2">
      <c r="H118" s="293"/>
      <c r="I118" s="293"/>
      <c r="J118" s="293"/>
      <c r="K118" s="293"/>
      <c r="L118" s="293"/>
      <c r="M118" s="293"/>
      <c r="N118" s="293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293"/>
      <c r="AA118" s="293"/>
      <c r="AB118" s="293"/>
      <c r="AC118" s="293"/>
      <c r="AD118" s="293"/>
      <c r="AE118" s="293"/>
      <c r="AF118" s="293"/>
      <c r="AG118" s="293"/>
      <c r="AH118" s="293"/>
    </row>
    <row r="119" spans="8:34" x14ac:dyDescent="0.2">
      <c r="H119" s="293"/>
      <c r="I119" s="293"/>
      <c r="J119" s="293"/>
      <c r="K119" s="293"/>
      <c r="L119" s="293"/>
      <c r="M119" s="293"/>
      <c r="N119" s="293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293"/>
      <c r="AA119" s="293"/>
      <c r="AB119" s="293"/>
      <c r="AC119" s="293"/>
      <c r="AD119" s="293"/>
      <c r="AE119" s="293"/>
      <c r="AF119" s="293"/>
      <c r="AG119" s="293"/>
      <c r="AH119" s="293"/>
    </row>
    <row r="120" spans="8:34" x14ac:dyDescent="0.2">
      <c r="H120" s="293"/>
      <c r="I120" s="293"/>
      <c r="J120" s="293"/>
      <c r="K120" s="293"/>
      <c r="L120" s="293"/>
      <c r="M120" s="293"/>
      <c r="N120" s="293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293"/>
      <c r="AA120" s="293"/>
      <c r="AB120" s="293"/>
      <c r="AC120" s="293"/>
      <c r="AD120" s="293"/>
      <c r="AE120" s="293"/>
      <c r="AF120" s="293"/>
      <c r="AG120" s="293"/>
      <c r="AH120" s="293"/>
    </row>
    <row r="121" spans="8:34" x14ac:dyDescent="0.2"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93"/>
      <c r="AB121" s="293"/>
      <c r="AC121" s="293"/>
      <c r="AD121" s="293"/>
      <c r="AE121" s="293"/>
      <c r="AF121" s="293"/>
      <c r="AG121" s="293"/>
      <c r="AH121" s="293"/>
    </row>
    <row r="122" spans="8:34" x14ac:dyDescent="0.2"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93"/>
      <c r="AB122" s="293"/>
      <c r="AC122" s="293"/>
      <c r="AD122" s="293"/>
      <c r="AE122" s="293"/>
      <c r="AF122" s="293"/>
      <c r="AG122" s="293"/>
      <c r="AH122" s="293"/>
    </row>
    <row r="123" spans="8:34" x14ac:dyDescent="0.2">
      <c r="H123" s="293"/>
      <c r="I123" s="293"/>
      <c r="J123" s="293"/>
      <c r="K123" s="293"/>
      <c r="L123" s="293"/>
      <c r="M123" s="293"/>
      <c r="N123" s="293"/>
      <c r="O123" s="293"/>
      <c r="P123" s="293"/>
      <c r="Q123" s="293"/>
      <c r="R123" s="293"/>
      <c r="S123" s="293"/>
      <c r="T123" s="293"/>
      <c r="U123" s="293"/>
      <c r="V123" s="293"/>
      <c r="W123" s="293"/>
      <c r="X123" s="293"/>
      <c r="Y123" s="293"/>
      <c r="Z123" s="293"/>
      <c r="AA123" s="293"/>
      <c r="AB123" s="293"/>
      <c r="AC123" s="293"/>
      <c r="AD123" s="293"/>
      <c r="AE123" s="293"/>
      <c r="AF123" s="293"/>
      <c r="AG123" s="293"/>
      <c r="AH123" s="293"/>
    </row>
    <row r="124" spans="8:34" x14ac:dyDescent="0.2">
      <c r="H124" s="293"/>
      <c r="I124" s="293"/>
      <c r="J124" s="293"/>
      <c r="K124" s="293"/>
      <c r="L124" s="293"/>
      <c r="M124" s="293"/>
      <c r="N124" s="293"/>
      <c r="O124" s="293"/>
      <c r="P124" s="293"/>
      <c r="Q124" s="293"/>
      <c r="R124" s="293"/>
      <c r="S124" s="293"/>
      <c r="T124" s="293"/>
      <c r="U124" s="293"/>
      <c r="V124" s="293"/>
      <c r="W124" s="293"/>
      <c r="X124" s="293"/>
      <c r="Y124" s="293"/>
      <c r="Z124" s="293"/>
      <c r="AA124" s="293"/>
      <c r="AB124" s="293"/>
      <c r="AC124" s="293"/>
      <c r="AD124" s="293"/>
      <c r="AE124" s="293"/>
      <c r="AF124" s="293"/>
      <c r="AG124" s="293"/>
      <c r="AH124" s="293"/>
    </row>
    <row r="125" spans="8:34" x14ac:dyDescent="0.2"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</row>
    <row r="126" spans="8:34" x14ac:dyDescent="0.2">
      <c r="H126" s="293"/>
      <c r="I126" s="293"/>
      <c r="J126" s="293"/>
      <c r="K126" s="293"/>
      <c r="L126" s="293"/>
      <c r="M126" s="293"/>
      <c r="N126" s="293"/>
      <c r="O126" s="293"/>
      <c r="P126" s="293"/>
      <c r="Q126" s="293"/>
      <c r="R126" s="293"/>
      <c r="S126" s="293"/>
      <c r="T126" s="293"/>
      <c r="U126" s="293"/>
      <c r="V126" s="293"/>
      <c r="W126" s="293"/>
      <c r="X126" s="293"/>
      <c r="Y126" s="293"/>
      <c r="Z126" s="293"/>
      <c r="AA126" s="293"/>
      <c r="AB126" s="293"/>
      <c r="AC126" s="293"/>
      <c r="AD126" s="293"/>
      <c r="AE126" s="293"/>
      <c r="AF126" s="293"/>
      <c r="AG126" s="293"/>
      <c r="AH126" s="293"/>
    </row>
    <row r="127" spans="8:34" x14ac:dyDescent="0.2"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93"/>
      <c r="AB127" s="293"/>
      <c r="AC127" s="293"/>
      <c r="AD127" s="293"/>
      <c r="AE127" s="293"/>
      <c r="AF127" s="293"/>
      <c r="AG127" s="293"/>
      <c r="AH127" s="293"/>
    </row>
    <row r="128" spans="8:34" x14ac:dyDescent="0.2"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93"/>
      <c r="AB128" s="293"/>
      <c r="AC128" s="293"/>
      <c r="AD128" s="293"/>
      <c r="AE128" s="293"/>
      <c r="AF128" s="293"/>
      <c r="AG128" s="293"/>
      <c r="AH128" s="293"/>
    </row>
    <row r="129" spans="8:34" x14ac:dyDescent="0.2">
      <c r="H129" s="293"/>
      <c r="I129" s="293"/>
      <c r="J129" s="293"/>
      <c r="K129" s="293"/>
      <c r="L129" s="293"/>
      <c r="M129" s="293"/>
      <c r="N129" s="293"/>
      <c r="O129" s="293"/>
      <c r="P129" s="293"/>
      <c r="Q129" s="293"/>
      <c r="R129" s="293"/>
      <c r="S129" s="293"/>
      <c r="T129" s="293"/>
      <c r="U129" s="293"/>
      <c r="V129" s="293"/>
      <c r="W129" s="293"/>
      <c r="X129" s="293"/>
      <c r="Y129" s="293"/>
      <c r="Z129" s="293"/>
      <c r="AA129" s="293"/>
      <c r="AB129" s="293"/>
      <c r="AC129" s="293"/>
      <c r="AD129" s="293"/>
      <c r="AE129" s="293"/>
      <c r="AF129" s="293"/>
      <c r="AG129" s="293"/>
      <c r="AH129" s="293"/>
    </row>
    <row r="130" spans="8:34" x14ac:dyDescent="0.2">
      <c r="H130" s="293"/>
      <c r="I130" s="293"/>
      <c r="J130" s="293"/>
      <c r="K130" s="293"/>
      <c r="L130" s="293"/>
      <c r="M130" s="293"/>
      <c r="N130" s="293"/>
      <c r="O130" s="293"/>
      <c r="P130" s="293"/>
      <c r="Q130" s="293"/>
      <c r="R130" s="293"/>
      <c r="S130" s="293"/>
      <c r="T130" s="293"/>
      <c r="U130" s="293"/>
      <c r="V130" s="293"/>
      <c r="W130" s="293"/>
      <c r="X130" s="293"/>
      <c r="Y130" s="293"/>
      <c r="Z130" s="293"/>
      <c r="AA130" s="293"/>
      <c r="AB130" s="293"/>
      <c r="AC130" s="293"/>
      <c r="AD130" s="293"/>
      <c r="AE130" s="293"/>
      <c r="AF130" s="293"/>
      <c r="AG130" s="293"/>
      <c r="AH130" s="293"/>
    </row>
    <row r="131" spans="8:34" x14ac:dyDescent="0.2">
      <c r="H131" s="293"/>
      <c r="I131" s="293"/>
      <c r="J131" s="293"/>
      <c r="K131" s="293"/>
      <c r="L131" s="293"/>
      <c r="M131" s="293"/>
      <c r="N131" s="293"/>
      <c r="O131" s="293"/>
      <c r="P131" s="293"/>
      <c r="Q131" s="293"/>
      <c r="R131" s="293"/>
      <c r="S131" s="293"/>
      <c r="T131" s="293"/>
      <c r="U131" s="293"/>
      <c r="V131" s="293"/>
      <c r="W131" s="293"/>
      <c r="X131" s="293"/>
      <c r="Y131" s="293"/>
      <c r="Z131" s="293"/>
      <c r="AA131" s="293"/>
      <c r="AB131" s="293"/>
      <c r="AC131" s="293"/>
      <c r="AD131" s="293"/>
      <c r="AE131" s="293"/>
      <c r="AF131" s="293"/>
      <c r="AG131" s="293"/>
      <c r="AH131" s="293"/>
    </row>
    <row r="132" spans="8:34" x14ac:dyDescent="0.2">
      <c r="H132" s="293"/>
      <c r="I132" s="293"/>
      <c r="J132" s="293"/>
      <c r="K132" s="293"/>
      <c r="L132" s="293"/>
      <c r="M132" s="293"/>
      <c r="N132" s="293"/>
      <c r="O132" s="293"/>
      <c r="P132" s="293"/>
      <c r="Q132" s="293"/>
      <c r="R132" s="293"/>
      <c r="S132" s="293"/>
      <c r="T132" s="293"/>
      <c r="U132" s="293"/>
      <c r="V132" s="293"/>
      <c r="W132" s="293"/>
      <c r="X132" s="293"/>
      <c r="Y132" s="293"/>
      <c r="Z132" s="293"/>
      <c r="AA132" s="293"/>
      <c r="AB132" s="293"/>
      <c r="AC132" s="293"/>
      <c r="AD132" s="293"/>
      <c r="AE132" s="293"/>
      <c r="AF132" s="293"/>
      <c r="AG132" s="293"/>
      <c r="AH132" s="293"/>
    </row>
    <row r="133" spans="8:34" x14ac:dyDescent="0.2"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93"/>
      <c r="AB133" s="293"/>
      <c r="AC133" s="293"/>
      <c r="AD133" s="293"/>
      <c r="AE133" s="293"/>
      <c r="AF133" s="293"/>
      <c r="AG133" s="293"/>
      <c r="AH133" s="293"/>
    </row>
    <row r="134" spans="8:34" x14ac:dyDescent="0.2"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93"/>
      <c r="AB134" s="293"/>
      <c r="AC134" s="293"/>
      <c r="AD134" s="293"/>
      <c r="AE134" s="293"/>
      <c r="AF134" s="293"/>
      <c r="AG134" s="293"/>
      <c r="AH134" s="293"/>
    </row>
    <row r="135" spans="8:34" x14ac:dyDescent="0.2">
      <c r="H135" s="293"/>
      <c r="I135" s="293"/>
      <c r="J135" s="293"/>
      <c r="K135" s="293"/>
      <c r="L135" s="293"/>
      <c r="M135" s="293"/>
      <c r="N135" s="293"/>
      <c r="O135" s="293"/>
      <c r="P135" s="293"/>
      <c r="Q135" s="293"/>
      <c r="R135" s="293"/>
      <c r="S135" s="293"/>
      <c r="T135" s="293"/>
      <c r="U135" s="293"/>
      <c r="V135" s="293"/>
      <c r="W135" s="293"/>
      <c r="X135" s="293"/>
      <c r="Y135" s="293"/>
      <c r="Z135" s="293"/>
      <c r="AA135" s="293"/>
      <c r="AB135" s="293"/>
      <c r="AC135" s="293"/>
      <c r="AD135" s="293"/>
      <c r="AE135" s="293"/>
      <c r="AF135" s="293"/>
      <c r="AG135" s="293"/>
      <c r="AH135" s="293"/>
    </row>
    <row r="136" spans="8:34" x14ac:dyDescent="0.2">
      <c r="H136" s="293"/>
      <c r="I136" s="293"/>
      <c r="J136" s="293"/>
      <c r="K136" s="293"/>
      <c r="L136" s="293"/>
      <c r="M136" s="293"/>
      <c r="N136" s="293"/>
      <c r="O136" s="293"/>
      <c r="P136" s="293"/>
      <c r="Q136" s="293"/>
      <c r="R136" s="293"/>
      <c r="S136" s="293"/>
      <c r="T136" s="293"/>
      <c r="U136" s="293"/>
      <c r="V136" s="293"/>
      <c r="W136" s="293"/>
      <c r="X136" s="293"/>
      <c r="Y136" s="293"/>
      <c r="Z136" s="293"/>
      <c r="AA136" s="293"/>
      <c r="AB136" s="293"/>
      <c r="AC136" s="293"/>
      <c r="AD136" s="293"/>
      <c r="AE136" s="293"/>
      <c r="AF136" s="293"/>
      <c r="AG136" s="293"/>
      <c r="AH136" s="293"/>
    </row>
    <row r="137" spans="8:34" x14ac:dyDescent="0.2">
      <c r="H137" s="293"/>
      <c r="I137" s="293"/>
      <c r="J137" s="293"/>
      <c r="K137" s="293"/>
      <c r="L137" s="293"/>
      <c r="M137" s="293"/>
      <c r="N137" s="293"/>
      <c r="O137" s="293"/>
      <c r="P137" s="293"/>
      <c r="Q137" s="293"/>
      <c r="R137" s="293"/>
      <c r="S137" s="293"/>
      <c r="T137" s="293"/>
      <c r="U137" s="293"/>
      <c r="V137" s="293"/>
      <c r="W137" s="293"/>
      <c r="X137" s="293"/>
      <c r="Y137" s="293"/>
      <c r="Z137" s="293"/>
      <c r="AA137" s="293"/>
      <c r="AB137" s="293"/>
      <c r="AC137" s="293"/>
      <c r="AD137" s="293"/>
      <c r="AE137" s="293"/>
      <c r="AF137" s="293"/>
      <c r="AG137" s="293"/>
      <c r="AH137" s="293"/>
    </row>
    <row r="138" spans="8:34" x14ac:dyDescent="0.2">
      <c r="H138" s="293"/>
      <c r="I138" s="293"/>
      <c r="J138" s="293"/>
      <c r="K138" s="293"/>
      <c r="L138" s="293"/>
      <c r="M138" s="293"/>
      <c r="N138" s="293"/>
      <c r="O138" s="293"/>
      <c r="P138" s="293"/>
      <c r="Q138" s="293"/>
      <c r="R138" s="293"/>
      <c r="S138" s="293"/>
      <c r="T138" s="293"/>
      <c r="U138" s="293"/>
      <c r="V138" s="293"/>
      <c r="W138" s="293"/>
      <c r="X138" s="293"/>
      <c r="Y138" s="293"/>
      <c r="Z138" s="293"/>
      <c r="AA138" s="293"/>
      <c r="AB138" s="293"/>
      <c r="AC138" s="293"/>
      <c r="AD138" s="293"/>
      <c r="AE138" s="293"/>
      <c r="AF138" s="293"/>
      <c r="AG138" s="293"/>
      <c r="AH138" s="293"/>
    </row>
    <row r="139" spans="8:34" x14ac:dyDescent="0.2"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93"/>
      <c r="AB139" s="293"/>
      <c r="AC139" s="293"/>
      <c r="AD139" s="293"/>
      <c r="AE139" s="293"/>
      <c r="AF139" s="293"/>
      <c r="AG139" s="293"/>
      <c r="AH139" s="293"/>
    </row>
    <row r="140" spans="8:34" x14ac:dyDescent="0.2"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93"/>
      <c r="AB140" s="293"/>
      <c r="AC140" s="293"/>
      <c r="AD140" s="293"/>
      <c r="AE140" s="293"/>
      <c r="AF140" s="293"/>
      <c r="AG140" s="293"/>
      <c r="AH140" s="293"/>
    </row>
    <row r="141" spans="8:34" x14ac:dyDescent="0.2">
      <c r="H141" s="293"/>
      <c r="I141" s="293"/>
      <c r="J141" s="293"/>
      <c r="K141" s="293"/>
      <c r="L141" s="293"/>
      <c r="M141" s="293"/>
      <c r="N141" s="293"/>
      <c r="O141" s="293"/>
      <c r="P141" s="293"/>
      <c r="Q141" s="293"/>
      <c r="R141" s="293"/>
      <c r="S141" s="293"/>
      <c r="T141" s="293"/>
      <c r="U141" s="293"/>
      <c r="V141" s="293"/>
      <c r="W141" s="293"/>
      <c r="X141" s="293"/>
      <c r="Y141" s="293"/>
      <c r="Z141" s="293"/>
      <c r="AA141" s="293"/>
      <c r="AB141" s="293"/>
      <c r="AC141" s="293"/>
      <c r="AD141" s="293"/>
      <c r="AE141" s="293"/>
      <c r="AF141" s="293"/>
      <c r="AG141" s="293"/>
      <c r="AH141" s="293"/>
    </row>
    <row r="142" spans="8:34" x14ac:dyDescent="0.2">
      <c r="H142" s="293"/>
      <c r="I142" s="293"/>
      <c r="J142" s="293"/>
      <c r="K142" s="293"/>
      <c r="L142" s="293"/>
      <c r="M142" s="293"/>
      <c r="N142" s="293"/>
      <c r="O142" s="293"/>
      <c r="P142" s="293"/>
      <c r="Q142" s="293"/>
      <c r="R142" s="293"/>
      <c r="S142" s="293"/>
      <c r="T142" s="293"/>
      <c r="U142" s="293"/>
      <c r="V142" s="293"/>
      <c r="W142" s="293"/>
      <c r="X142" s="293"/>
      <c r="Y142" s="293"/>
      <c r="Z142" s="293"/>
      <c r="AA142" s="293"/>
      <c r="AB142" s="293"/>
      <c r="AC142" s="293"/>
      <c r="AD142" s="293"/>
      <c r="AE142" s="293"/>
      <c r="AF142" s="293"/>
      <c r="AG142" s="293"/>
      <c r="AH142" s="293"/>
    </row>
    <row r="143" spans="8:34" x14ac:dyDescent="0.2">
      <c r="H143" s="293"/>
      <c r="I143" s="293"/>
      <c r="J143" s="293"/>
      <c r="K143" s="293"/>
      <c r="L143" s="293"/>
      <c r="M143" s="293"/>
      <c r="N143" s="293"/>
      <c r="O143" s="293"/>
      <c r="P143" s="293"/>
      <c r="Q143" s="293"/>
      <c r="R143" s="293"/>
      <c r="S143" s="293"/>
      <c r="T143" s="293"/>
      <c r="U143" s="293"/>
      <c r="V143" s="293"/>
      <c r="W143" s="293"/>
      <c r="X143" s="293"/>
      <c r="Y143" s="293"/>
      <c r="Z143" s="293"/>
      <c r="AA143" s="293"/>
      <c r="AB143" s="293"/>
      <c r="AC143" s="293"/>
      <c r="AD143" s="293"/>
      <c r="AE143" s="293"/>
      <c r="AF143" s="293"/>
      <c r="AG143" s="293"/>
      <c r="AH143" s="293"/>
    </row>
    <row r="144" spans="8:34" x14ac:dyDescent="0.2"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93"/>
      <c r="AB144" s="293"/>
      <c r="AC144" s="293"/>
      <c r="AD144" s="293"/>
      <c r="AE144" s="293"/>
      <c r="AF144" s="293"/>
      <c r="AG144" s="293"/>
      <c r="AH144" s="293"/>
    </row>
    <row r="145" spans="8:34" x14ac:dyDescent="0.2"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93"/>
      <c r="AB145" s="293"/>
      <c r="AC145" s="293"/>
      <c r="AD145" s="293"/>
      <c r="AE145" s="293"/>
      <c r="AF145" s="293"/>
      <c r="AG145" s="293"/>
      <c r="AH145" s="293"/>
    </row>
    <row r="146" spans="8:34" x14ac:dyDescent="0.2">
      <c r="H146" s="293"/>
      <c r="I146" s="293"/>
      <c r="J146" s="293"/>
      <c r="K146" s="293"/>
      <c r="L146" s="293"/>
      <c r="M146" s="293"/>
      <c r="N146" s="293"/>
      <c r="O146" s="293"/>
      <c r="P146" s="293"/>
      <c r="Q146" s="293"/>
      <c r="R146" s="293"/>
      <c r="S146" s="293"/>
      <c r="T146" s="293"/>
      <c r="U146" s="293"/>
      <c r="V146" s="293"/>
      <c r="W146" s="293"/>
      <c r="X146" s="293"/>
      <c r="Y146" s="293"/>
      <c r="Z146" s="293"/>
      <c r="AA146" s="293"/>
      <c r="AB146" s="293"/>
      <c r="AC146" s="293"/>
      <c r="AD146" s="293"/>
      <c r="AE146" s="293"/>
      <c r="AF146" s="293"/>
      <c r="AG146" s="293"/>
      <c r="AH146" s="293"/>
    </row>
    <row r="147" spans="8:34" x14ac:dyDescent="0.2">
      <c r="H147" s="293"/>
      <c r="I147" s="293"/>
      <c r="J147" s="293"/>
      <c r="K147" s="293"/>
      <c r="L147" s="293"/>
      <c r="M147" s="293"/>
      <c r="N147" s="293"/>
      <c r="O147" s="293"/>
      <c r="P147" s="293"/>
      <c r="Q147" s="293"/>
      <c r="R147" s="293"/>
      <c r="S147" s="293"/>
      <c r="T147" s="293"/>
      <c r="U147" s="293"/>
      <c r="V147" s="293"/>
      <c r="W147" s="293"/>
      <c r="X147" s="293"/>
      <c r="Y147" s="293"/>
      <c r="Z147" s="293"/>
      <c r="AA147" s="293"/>
      <c r="AB147" s="293"/>
      <c r="AC147" s="293"/>
      <c r="AD147" s="293"/>
      <c r="AE147" s="293"/>
      <c r="AF147" s="293"/>
      <c r="AG147" s="293"/>
      <c r="AH147" s="293"/>
    </row>
    <row r="148" spans="8:34" x14ac:dyDescent="0.2">
      <c r="H148" s="293"/>
      <c r="I148" s="293"/>
      <c r="J148" s="293"/>
      <c r="K148" s="293"/>
      <c r="L148" s="293"/>
      <c r="M148" s="293"/>
      <c r="N148" s="293"/>
      <c r="O148" s="293"/>
      <c r="P148" s="293"/>
      <c r="Q148" s="293"/>
      <c r="R148" s="293"/>
      <c r="S148" s="293"/>
      <c r="T148" s="293"/>
      <c r="U148" s="293"/>
      <c r="V148" s="293"/>
      <c r="W148" s="293"/>
      <c r="X148" s="293"/>
      <c r="Y148" s="293"/>
      <c r="Z148" s="293"/>
      <c r="AA148" s="293"/>
      <c r="AB148" s="293"/>
      <c r="AC148" s="293"/>
      <c r="AD148" s="293"/>
      <c r="AE148" s="293"/>
      <c r="AF148" s="293"/>
      <c r="AG148" s="293"/>
      <c r="AH148" s="293"/>
    </row>
    <row r="149" spans="8:34" x14ac:dyDescent="0.2"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93"/>
      <c r="AB149" s="293"/>
      <c r="AC149" s="293"/>
      <c r="AD149" s="293"/>
      <c r="AE149" s="293"/>
      <c r="AF149" s="293"/>
      <c r="AG149" s="293"/>
      <c r="AH149" s="293"/>
    </row>
    <row r="150" spans="8:34" x14ac:dyDescent="0.2"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93"/>
      <c r="AB150" s="293"/>
      <c r="AC150" s="293"/>
      <c r="AD150" s="293"/>
      <c r="AE150" s="293"/>
      <c r="AF150" s="293"/>
      <c r="AG150" s="293"/>
      <c r="AH150" s="293"/>
    </row>
    <row r="151" spans="8:34" x14ac:dyDescent="0.2">
      <c r="H151" s="293"/>
      <c r="I151" s="293"/>
      <c r="J151" s="293"/>
      <c r="K151" s="293"/>
      <c r="L151" s="293"/>
      <c r="M151" s="293"/>
      <c r="N151" s="293"/>
      <c r="O151" s="293"/>
      <c r="P151" s="293"/>
      <c r="Q151" s="293"/>
      <c r="R151" s="293"/>
      <c r="S151" s="293"/>
      <c r="T151" s="293"/>
      <c r="U151" s="293"/>
      <c r="V151" s="293"/>
      <c r="W151" s="293"/>
      <c r="X151" s="293"/>
      <c r="Y151" s="293"/>
      <c r="Z151" s="293"/>
      <c r="AA151" s="293"/>
      <c r="AB151" s="293"/>
      <c r="AC151" s="293"/>
      <c r="AD151" s="293"/>
      <c r="AE151" s="293"/>
      <c r="AF151" s="293"/>
      <c r="AG151" s="293"/>
      <c r="AH151" s="293"/>
    </row>
    <row r="152" spans="8:34" x14ac:dyDescent="0.2">
      <c r="H152" s="293"/>
      <c r="I152" s="293"/>
      <c r="J152" s="293"/>
      <c r="K152" s="293"/>
      <c r="L152" s="293"/>
      <c r="M152" s="293"/>
      <c r="N152" s="293"/>
      <c r="O152" s="293"/>
      <c r="P152" s="293"/>
      <c r="Q152" s="293"/>
      <c r="R152" s="293"/>
      <c r="S152" s="293"/>
      <c r="T152" s="293"/>
      <c r="U152" s="293"/>
      <c r="V152" s="293"/>
      <c r="W152" s="293"/>
      <c r="X152" s="293"/>
      <c r="Y152" s="293"/>
      <c r="Z152" s="293"/>
      <c r="AA152" s="293"/>
      <c r="AB152" s="293"/>
      <c r="AC152" s="293"/>
      <c r="AD152" s="293"/>
      <c r="AE152" s="293"/>
      <c r="AF152" s="293"/>
      <c r="AG152" s="293"/>
      <c r="AH152" s="293"/>
    </row>
    <row r="153" spans="8:34" x14ac:dyDescent="0.2">
      <c r="H153" s="293"/>
      <c r="I153" s="293"/>
      <c r="J153" s="293"/>
      <c r="K153" s="293"/>
      <c r="L153" s="293"/>
      <c r="M153" s="293"/>
      <c r="N153" s="293"/>
      <c r="O153" s="293"/>
      <c r="P153" s="293"/>
      <c r="Q153" s="293"/>
      <c r="R153" s="293"/>
      <c r="S153" s="293"/>
      <c r="T153" s="293"/>
      <c r="U153" s="293"/>
      <c r="V153" s="293"/>
      <c r="W153" s="293"/>
      <c r="X153" s="293"/>
      <c r="Y153" s="293"/>
      <c r="Z153" s="293"/>
      <c r="AA153" s="293"/>
      <c r="AB153" s="293"/>
      <c r="AC153" s="293"/>
      <c r="AD153" s="293"/>
      <c r="AE153" s="293"/>
      <c r="AF153" s="293"/>
      <c r="AG153" s="293"/>
      <c r="AH153" s="293"/>
    </row>
    <row r="154" spans="8:34" x14ac:dyDescent="0.2"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93"/>
      <c r="AB154" s="293"/>
      <c r="AC154" s="293"/>
      <c r="AD154" s="293"/>
      <c r="AE154" s="293"/>
      <c r="AF154" s="293"/>
      <c r="AG154" s="293"/>
      <c r="AH154" s="293"/>
    </row>
    <row r="155" spans="8:34" x14ac:dyDescent="0.2"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93"/>
      <c r="AB155" s="293"/>
      <c r="AC155" s="293"/>
      <c r="AD155" s="293"/>
      <c r="AE155" s="293"/>
      <c r="AF155" s="293"/>
      <c r="AG155" s="293"/>
      <c r="AH155" s="293"/>
    </row>
    <row r="156" spans="8:34" x14ac:dyDescent="0.2">
      <c r="H156" s="293"/>
      <c r="I156" s="293"/>
      <c r="J156" s="293"/>
      <c r="K156" s="293"/>
      <c r="L156" s="293"/>
      <c r="M156" s="293"/>
      <c r="N156" s="293"/>
      <c r="O156" s="293"/>
      <c r="P156" s="293"/>
      <c r="Q156" s="293"/>
      <c r="R156" s="293"/>
      <c r="S156" s="293"/>
      <c r="T156" s="293"/>
      <c r="U156" s="293"/>
      <c r="V156" s="293"/>
      <c r="W156" s="293"/>
      <c r="X156" s="293"/>
      <c r="Y156" s="293"/>
      <c r="Z156" s="293"/>
      <c r="AA156" s="293"/>
      <c r="AB156" s="293"/>
      <c r="AC156" s="293"/>
      <c r="AD156" s="293"/>
      <c r="AE156" s="293"/>
      <c r="AF156" s="293"/>
      <c r="AG156" s="293"/>
      <c r="AH156" s="293"/>
    </row>
    <row r="157" spans="8:34" x14ac:dyDescent="0.2">
      <c r="H157" s="293"/>
      <c r="I157" s="293"/>
      <c r="J157" s="293"/>
      <c r="K157" s="293"/>
      <c r="L157" s="293"/>
      <c r="M157" s="293"/>
      <c r="N157" s="293"/>
      <c r="O157" s="293"/>
      <c r="P157" s="293"/>
      <c r="Q157" s="293"/>
      <c r="R157" s="293"/>
      <c r="S157" s="293"/>
      <c r="T157" s="293"/>
      <c r="U157" s="293"/>
      <c r="V157" s="293"/>
      <c r="W157" s="293"/>
      <c r="X157" s="293"/>
      <c r="Y157" s="293"/>
      <c r="Z157" s="293"/>
      <c r="AA157" s="293"/>
      <c r="AB157" s="293"/>
      <c r="AC157" s="293"/>
      <c r="AD157" s="293"/>
      <c r="AE157" s="293"/>
      <c r="AF157" s="293"/>
      <c r="AG157" s="293"/>
      <c r="AH157" s="293"/>
    </row>
    <row r="158" spans="8:34" x14ac:dyDescent="0.2">
      <c r="H158" s="293"/>
      <c r="I158" s="293"/>
      <c r="J158" s="293"/>
      <c r="K158" s="293"/>
      <c r="L158" s="293"/>
      <c r="M158" s="293"/>
      <c r="N158" s="293"/>
      <c r="O158" s="293"/>
      <c r="P158" s="293"/>
      <c r="Q158" s="293"/>
      <c r="R158" s="293"/>
      <c r="S158" s="293"/>
      <c r="T158" s="293"/>
      <c r="U158" s="293"/>
      <c r="V158" s="293"/>
      <c r="W158" s="293"/>
      <c r="X158" s="293"/>
      <c r="Y158" s="293"/>
      <c r="Z158" s="293"/>
      <c r="AA158" s="293"/>
      <c r="AB158" s="293"/>
      <c r="AC158" s="293"/>
      <c r="AD158" s="293"/>
      <c r="AE158" s="293"/>
      <c r="AF158" s="293"/>
      <c r="AG158" s="293"/>
      <c r="AH158" s="293"/>
    </row>
    <row r="159" spans="8:34" x14ac:dyDescent="0.2"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293"/>
      <c r="AB159" s="293"/>
      <c r="AC159" s="293"/>
      <c r="AD159" s="293"/>
      <c r="AE159" s="293"/>
      <c r="AF159" s="293"/>
      <c r="AG159" s="293"/>
      <c r="AH159" s="293"/>
    </row>
    <row r="160" spans="8:34" x14ac:dyDescent="0.2"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93"/>
      <c r="AB160" s="293"/>
      <c r="AC160" s="293"/>
      <c r="AD160" s="293"/>
      <c r="AE160" s="293"/>
      <c r="AF160" s="293"/>
      <c r="AG160" s="293"/>
      <c r="AH160" s="293"/>
    </row>
    <row r="161" spans="8:34" x14ac:dyDescent="0.2"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93"/>
      <c r="AB161" s="293"/>
      <c r="AC161" s="293"/>
      <c r="AD161" s="293"/>
      <c r="AE161" s="293"/>
      <c r="AF161" s="293"/>
      <c r="AG161" s="293"/>
      <c r="AH161" s="293"/>
    </row>
    <row r="162" spans="8:34" x14ac:dyDescent="0.2">
      <c r="H162" s="293"/>
      <c r="I162" s="293"/>
      <c r="J162" s="293"/>
      <c r="K162" s="293"/>
      <c r="L162" s="293"/>
      <c r="M162" s="293"/>
      <c r="N162" s="293"/>
      <c r="O162" s="293"/>
      <c r="P162" s="293"/>
      <c r="Q162" s="293"/>
      <c r="R162" s="293"/>
      <c r="S162" s="293"/>
      <c r="T162" s="293"/>
      <c r="U162" s="293"/>
      <c r="V162" s="293"/>
      <c r="W162" s="293"/>
      <c r="X162" s="293"/>
      <c r="Y162" s="293"/>
      <c r="Z162" s="293"/>
      <c r="AA162" s="293"/>
      <c r="AB162" s="293"/>
      <c r="AC162" s="293"/>
      <c r="AD162" s="293"/>
      <c r="AE162" s="293"/>
      <c r="AF162" s="293"/>
      <c r="AG162" s="293"/>
      <c r="AH162" s="293"/>
    </row>
    <row r="163" spans="8:34" x14ac:dyDescent="0.2">
      <c r="H163" s="293"/>
      <c r="I163" s="293"/>
      <c r="J163" s="293"/>
      <c r="K163" s="293"/>
      <c r="L163" s="293"/>
      <c r="M163" s="293"/>
      <c r="N163" s="293"/>
      <c r="O163" s="293"/>
      <c r="P163" s="293"/>
      <c r="Q163" s="293"/>
      <c r="R163" s="293"/>
      <c r="S163" s="293"/>
      <c r="T163" s="293"/>
      <c r="U163" s="293"/>
      <c r="V163" s="293"/>
      <c r="W163" s="293"/>
      <c r="X163" s="293"/>
      <c r="Y163" s="293"/>
      <c r="Z163" s="293"/>
      <c r="AA163" s="293"/>
      <c r="AB163" s="293"/>
      <c r="AC163" s="293"/>
      <c r="AD163" s="293"/>
      <c r="AE163" s="293"/>
      <c r="AF163" s="293"/>
      <c r="AG163" s="293"/>
      <c r="AH163" s="293"/>
    </row>
    <row r="164" spans="8:34" x14ac:dyDescent="0.2">
      <c r="H164" s="293"/>
      <c r="I164" s="293"/>
      <c r="J164" s="293"/>
      <c r="K164" s="293"/>
      <c r="L164" s="293"/>
      <c r="M164" s="293"/>
      <c r="N164" s="293"/>
      <c r="O164" s="293"/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</row>
    <row r="165" spans="8:34" x14ac:dyDescent="0.2">
      <c r="H165" s="293"/>
      <c r="I165" s="293"/>
      <c r="J165" s="293"/>
      <c r="K165" s="293"/>
      <c r="L165" s="293"/>
      <c r="M165" s="293"/>
      <c r="N165" s="293"/>
      <c r="O165" s="293"/>
      <c r="P165" s="293"/>
      <c r="Q165" s="293"/>
      <c r="R165" s="293"/>
      <c r="S165" s="293"/>
      <c r="T165" s="293"/>
      <c r="U165" s="293"/>
      <c r="V165" s="293"/>
      <c r="W165" s="293"/>
      <c r="X165" s="293"/>
      <c r="Y165" s="293"/>
      <c r="Z165" s="293"/>
      <c r="AA165" s="293"/>
      <c r="AB165" s="293"/>
      <c r="AC165" s="293"/>
      <c r="AD165" s="293"/>
      <c r="AE165" s="293"/>
      <c r="AF165" s="293"/>
      <c r="AG165" s="293"/>
      <c r="AH165" s="293"/>
    </row>
    <row r="166" spans="8:34" x14ac:dyDescent="0.2"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293"/>
      <c r="AB166" s="293"/>
      <c r="AC166" s="293"/>
      <c r="AD166" s="293"/>
      <c r="AE166" s="293"/>
      <c r="AF166" s="293"/>
      <c r="AG166" s="293"/>
      <c r="AH166" s="293"/>
    </row>
    <row r="167" spans="8:34" x14ac:dyDescent="0.2"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93"/>
      <c r="AB167" s="293"/>
      <c r="AC167" s="293"/>
      <c r="AD167" s="293"/>
      <c r="AE167" s="293"/>
      <c r="AF167" s="293"/>
      <c r="AG167" s="293"/>
      <c r="AH167" s="293"/>
    </row>
    <row r="168" spans="8:34" x14ac:dyDescent="0.2"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93"/>
      <c r="AB168" s="293"/>
      <c r="AC168" s="293"/>
      <c r="AD168" s="293"/>
      <c r="AE168" s="293"/>
      <c r="AF168" s="293"/>
      <c r="AG168" s="293"/>
      <c r="AH168" s="293"/>
    </row>
    <row r="169" spans="8:34" x14ac:dyDescent="0.2">
      <c r="H169" s="293"/>
      <c r="I169" s="293"/>
      <c r="J169" s="293"/>
      <c r="K169" s="293"/>
      <c r="L169" s="293"/>
      <c r="M169" s="293"/>
      <c r="N169" s="293"/>
      <c r="O169" s="293"/>
      <c r="P169" s="293"/>
      <c r="Q169" s="293"/>
      <c r="R169" s="293"/>
      <c r="S169" s="293"/>
      <c r="T169" s="293"/>
      <c r="U169" s="293"/>
      <c r="V169" s="293"/>
      <c r="W169" s="293"/>
      <c r="X169" s="293"/>
      <c r="Y169" s="293"/>
      <c r="Z169" s="293"/>
      <c r="AA169" s="293"/>
      <c r="AB169" s="293"/>
      <c r="AC169" s="293"/>
      <c r="AD169" s="293"/>
      <c r="AE169" s="293"/>
      <c r="AF169" s="293"/>
      <c r="AG169" s="293"/>
      <c r="AH169" s="293"/>
    </row>
    <row r="170" spans="8:34" x14ac:dyDescent="0.2">
      <c r="H170" s="293"/>
      <c r="I170" s="293"/>
      <c r="J170" s="293"/>
      <c r="K170" s="293"/>
      <c r="L170" s="293"/>
      <c r="M170" s="293"/>
      <c r="N170" s="293"/>
      <c r="O170" s="293"/>
      <c r="P170" s="293"/>
      <c r="Q170" s="293"/>
      <c r="R170" s="293"/>
      <c r="S170" s="293"/>
      <c r="T170" s="293"/>
      <c r="U170" s="293"/>
      <c r="V170" s="293"/>
      <c r="W170" s="293"/>
      <c r="X170" s="293"/>
      <c r="Y170" s="293"/>
      <c r="Z170" s="293"/>
      <c r="AA170" s="293"/>
      <c r="AB170" s="293"/>
      <c r="AC170" s="293"/>
      <c r="AD170" s="293"/>
      <c r="AE170" s="293"/>
      <c r="AF170" s="293"/>
      <c r="AG170" s="293"/>
      <c r="AH170" s="293"/>
    </row>
    <row r="171" spans="8:34" x14ac:dyDescent="0.2">
      <c r="H171" s="293"/>
      <c r="I171" s="293"/>
      <c r="J171" s="293"/>
      <c r="K171" s="293"/>
      <c r="L171" s="293"/>
      <c r="M171" s="293"/>
      <c r="N171" s="293"/>
      <c r="O171" s="293"/>
      <c r="P171" s="293"/>
      <c r="Q171" s="293"/>
      <c r="R171" s="293"/>
      <c r="S171" s="293"/>
      <c r="T171" s="293"/>
      <c r="U171" s="293"/>
      <c r="V171" s="293"/>
      <c r="W171" s="293"/>
      <c r="X171" s="293"/>
      <c r="Y171" s="293"/>
      <c r="Z171" s="293"/>
      <c r="AA171" s="293"/>
      <c r="AB171" s="293"/>
      <c r="AC171" s="293"/>
      <c r="AD171" s="293"/>
      <c r="AE171" s="293"/>
      <c r="AF171" s="293"/>
      <c r="AG171" s="293"/>
      <c r="AH171" s="293"/>
    </row>
    <row r="172" spans="8:34" x14ac:dyDescent="0.2">
      <c r="H172" s="293"/>
      <c r="I172" s="293"/>
      <c r="J172" s="293"/>
      <c r="K172" s="293"/>
      <c r="L172" s="293"/>
      <c r="M172" s="293"/>
      <c r="N172" s="293"/>
      <c r="O172" s="293"/>
      <c r="P172" s="293"/>
      <c r="Q172" s="293"/>
      <c r="R172" s="293"/>
      <c r="S172" s="293"/>
      <c r="T172" s="293"/>
      <c r="U172" s="293"/>
      <c r="V172" s="293"/>
      <c r="W172" s="293"/>
      <c r="X172" s="293"/>
      <c r="Y172" s="293"/>
      <c r="Z172" s="293"/>
      <c r="AA172" s="293"/>
      <c r="AB172" s="293"/>
      <c r="AC172" s="293"/>
      <c r="AD172" s="293"/>
      <c r="AE172" s="293"/>
      <c r="AF172" s="293"/>
      <c r="AG172" s="293"/>
      <c r="AH172" s="293"/>
    </row>
    <row r="173" spans="8:34" x14ac:dyDescent="0.2">
      <c r="H173" s="293"/>
      <c r="I173" s="293"/>
      <c r="J173" s="293"/>
      <c r="K173" s="293"/>
      <c r="L173" s="293"/>
      <c r="M173" s="293"/>
      <c r="N173" s="293"/>
      <c r="O173" s="293"/>
      <c r="P173" s="293"/>
      <c r="Q173" s="293"/>
      <c r="R173" s="293"/>
      <c r="S173" s="293"/>
      <c r="T173" s="293"/>
      <c r="U173" s="293"/>
      <c r="V173" s="293"/>
      <c r="W173" s="293"/>
      <c r="X173" s="293"/>
      <c r="Y173" s="293"/>
      <c r="Z173" s="293"/>
      <c r="AA173" s="293"/>
      <c r="AB173" s="293"/>
      <c r="AC173" s="293"/>
      <c r="AD173" s="293"/>
      <c r="AE173" s="293"/>
      <c r="AF173" s="293"/>
      <c r="AG173" s="293"/>
      <c r="AH173" s="293"/>
    </row>
    <row r="174" spans="8:34" x14ac:dyDescent="0.2"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93"/>
      <c r="AB174" s="293"/>
      <c r="AC174" s="293"/>
      <c r="AD174" s="293"/>
      <c r="AE174" s="293"/>
      <c r="AF174" s="293"/>
      <c r="AG174" s="293"/>
      <c r="AH174" s="293"/>
    </row>
    <row r="175" spans="8:34" x14ac:dyDescent="0.2">
      <c r="H175" s="293"/>
      <c r="I175" s="293"/>
      <c r="J175" s="293"/>
      <c r="K175" s="293"/>
      <c r="L175" s="293"/>
      <c r="M175" s="293"/>
      <c r="N175" s="293"/>
      <c r="O175" s="293"/>
      <c r="P175" s="293"/>
      <c r="Q175" s="293"/>
      <c r="R175" s="293"/>
      <c r="S175" s="293"/>
      <c r="T175" s="293"/>
      <c r="U175" s="293"/>
      <c r="V175" s="293"/>
      <c r="W175" s="293"/>
      <c r="X175" s="293"/>
      <c r="Y175" s="293"/>
      <c r="Z175" s="293"/>
      <c r="AA175" s="293"/>
      <c r="AB175" s="293"/>
      <c r="AC175" s="293"/>
      <c r="AD175" s="293"/>
      <c r="AE175" s="293"/>
      <c r="AF175" s="293"/>
      <c r="AG175" s="293"/>
      <c r="AH175" s="293"/>
    </row>
    <row r="176" spans="8:34" x14ac:dyDescent="0.2">
      <c r="H176" s="293"/>
      <c r="I176" s="293"/>
      <c r="J176" s="293"/>
      <c r="K176" s="293"/>
      <c r="L176" s="293"/>
      <c r="M176" s="293"/>
      <c r="N176" s="293"/>
      <c r="O176" s="293"/>
      <c r="P176" s="293"/>
      <c r="Q176" s="293"/>
      <c r="R176" s="293"/>
      <c r="S176" s="293"/>
      <c r="T176" s="293"/>
      <c r="U176" s="293"/>
      <c r="V176" s="293"/>
      <c r="W176" s="293"/>
      <c r="X176" s="293"/>
      <c r="Y176" s="293"/>
      <c r="Z176" s="293"/>
      <c r="AA176" s="293"/>
      <c r="AB176" s="293"/>
      <c r="AC176" s="293"/>
      <c r="AD176" s="293"/>
      <c r="AE176" s="293"/>
      <c r="AF176" s="293"/>
      <c r="AG176" s="293"/>
      <c r="AH176" s="293"/>
    </row>
    <row r="177" spans="8:34" x14ac:dyDescent="0.2">
      <c r="H177" s="293"/>
      <c r="I177" s="293"/>
      <c r="J177" s="293"/>
      <c r="K177" s="293"/>
      <c r="L177" s="293"/>
      <c r="M177" s="293"/>
      <c r="N177" s="293"/>
      <c r="O177" s="293"/>
      <c r="P177" s="293"/>
      <c r="Q177" s="293"/>
      <c r="R177" s="293"/>
      <c r="S177" s="293"/>
      <c r="T177" s="293"/>
      <c r="U177" s="293"/>
      <c r="V177" s="293"/>
      <c r="W177" s="293"/>
      <c r="X177" s="293"/>
      <c r="Y177" s="293"/>
      <c r="Z177" s="293"/>
      <c r="AA177" s="293"/>
      <c r="AB177" s="293"/>
      <c r="AC177" s="293"/>
      <c r="AD177" s="293"/>
      <c r="AE177" s="293"/>
      <c r="AF177" s="293"/>
      <c r="AG177" s="293"/>
      <c r="AH177" s="293"/>
    </row>
    <row r="178" spans="8:34" x14ac:dyDescent="0.2"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293"/>
      <c r="AB178" s="293"/>
      <c r="AC178" s="293"/>
      <c r="AD178" s="293"/>
      <c r="AE178" s="293"/>
      <c r="AF178" s="293"/>
      <c r="AG178" s="293"/>
      <c r="AH178" s="293"/>
    </row>
    <row r="179" spans="8:34" x14ac:dyDescent="0.2"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93"/>
      <c r="AB179" s="293"/>
      <c r="AC179" s="293"/>
      <c r="AD179" s="293"/>
      <c r="AE179" s="293"/>
      <c r="AF179" s="293"/>
      <c r="AG179" s="293"/>
      <c r="AH179" s="293"/>
    </row>
    <row r="180" spans="8:34" x14ac:dyDescent="0.2"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93"/>
      <c r="AB180" s="293"/>
      <c r="AC180" s="293"/>
      <c r="AD180" s="293"/>
      <c r="AE180" s="293"/>
      <c r="AF180" s="293"/>
      <c r="AG180" s="293"/>
      <c r="AH180" s="293"/>
    </row>
    <row r="181" spans="8:34" x14ac:dyDescent="0.2">
      <c r="H181" s="293"/>
      <c r="I181" s="293"/>
      <c r="J181" s="293"/>
      <c r="K181" s="293"/>
      <c r="L181" s="293"/>
      <c r="M181" s="293"/>
      <c r="N181" s="293"/>
      <c r="O181" s="293"/>
      <c r="P181" s="293"/>
      <c r="Q181" s="293"/>
      <c r="R181" s="293"/>
      <c r="S181" s="293"/>
      <c r="T181" s="293"/>
      <c r="U181" s="293"/>
      <c r="V181" s="293"/>
      <c r="W181" s="293"/>
      <c r="X181" s="293"/>
      <c r="Y181" s="293"/>
      <c r="Z181" s="293"/>
      <c r="AA181" s="293"/>
      <c r="AB181" s="293"/>
      <c r="AC181" s="293"/>
      <c r="AD181" s="293"/>
      <c r="AE181" s="293"/>
      <c r="AF181" s="293"/>
      <c r="AG181" s="293"/>
      <c r="AH181" s="293"/>
    </row>
    <row r="182" spans="8:34" x14ac:dyDescent="0.2">
      <c r="H182" s="293"/>
      <c r="I182" s="293"/>
      <c r="J182" s="293"/>
      <c r="K182" s="293"/>
      <c r="L182" s="293"/>
      <c r="M182" s="293"/>
      <c r="N182" s="293"/>
      <c r="O182" s="293"/>
      <c r="P182" s="293"/>
      <c r="Q182" s="293"/>
      <c r="R182" s="293"/>
      <c r="S182" s="293"/>
      <c r="T182" s="293"/>
      <c r="U182" s="293"/>
      <c r="V182" s="293"/>
      <c r="W182" s="293"/>
      <c r="X182" s="293"/>
      <c r="Y182" s="293"/>
      <c r="Z182" s="293"/>
      <c r="AA182" s="293"/>
      <c r="AB182" s="293"/>
      <c r="AC182" s="293"/>
      <c r="AD182" s="293"/>
      <c r="AE182" s="293"/>
      <c r="AF182" s="293"/>
      <c r="AG182" s="293"/>
      <c r="AH182" s="293"/>
    </row>
    <row r="183" spans="8:34" x14ac:dyDescent="0.2">
      <c r="H183" s="293"/>
      <c r="I183" s="293"/>
      <c r="J183" s="293"/>
      <c r="K183" s="293"/>
      <c r="L183" s="293"/>
      <c r="M183" s="293"/>
      <c r="N183" s="293"/>
      <c r="O183" s="293"/>
      <c r="P183" s="293"/>
      <c r="Q183" s="293"/>
      <c r="R183" s="293"/>
      <c r="S183" s="293"/>
      <c r="T183" s="293"/>
      <c r="U183" s="293"/>
      <c r="V183" s="293"/>
      <c r="W183" s="293"/>
      <c r="X183" s="293"/>
      <c r="Y183" s="293"/>
      <c r="Z183" s="293"/>
      <c r="AA183" s="293"/>
      <c r="AB183" s="293"/>
      <c r="AC183" s="293"/>
      <c r="AD183" s="293"/>
      <c r="AE183" s="293"/>
      <c r="AF183" s="293"/>
      <c r="AG183" s="293"/>
      <c r="AH183" s="293"/>
    </row>
    <row r="184" spans="8:34" x14ac:dyDescent="0.2"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93"/>
      <c r="AB184" s="293"/>
      <c r="AC184" s="293"/>
      <c r="AD184" s="293"/>
      <c r="AE184" s="293"/>
      <c r="AF184" s="293"/>
      <c r="AG184" s="293"/>
      <c r="AH184" s="293"/>
    </row>
    <row r="185" spans="8:34" x14ac:dyDescent="0.2">
      <c r="H185" s="293"/>
      <c r="I185" s="293"/>
      <c r="J185" s="293"/>
      <c r="K185" s="293"/>
      <c r="L185" s="293"/>
      <c r="M185" s="293"/>
      <c r="N185" s="293"/>
      <c r="O185" s="293"/>
      <c r="P185" s="293"/>
      <c r="Q185" s="293"/>
      <c r="R185" s="293"/>
      <c r="S185" s="293"/>
      <c r="T185" s="293"/>
      <c r="U185" s="293"/>
      <c r="V185" s="293"/>
      <c r="W185" s="293"/>
      <c r="X185" s="293"/>
      <c r="Y185" s="293"/>
      <c r="Z185" s="293"/>
      <c r="AA185" s="293"/>
      <c r="AB185" s="293"/>
      <c r="AC185" s="293"/>
      <c r="AD185" s="293"/>
      <c r="AE185" s="293"/>
      <c r="AF185" s="293"/>
      <c r="AG185" s="293"/>
      <c r="AH185" s="293"/>
    </row>
    <row r="186" spans="8:34" x14ac:dyDescent="0.2">
      <c r="H186" s="293"/>
      <c r="I186" s="293"/>
      <c r="J186" s="293"/>
      <c r="K186" s="293"/>
      <c r="L186" s="293"/>
      <c r="M186" s="293"/>
      <c r="N186" s="293"/>
      <c r="O186" s="293"/>
      <c r="P186" s="293"/>
      <c r="Q186" s="293"/>
      <c r="R186" s="293"/>
      <c r="S186" s="293"/>
      <c r="T186" s="293"/>
      <c r="U186" s="293"/>
      <c r="V186" s="293"/>
      <c r="W186" s="293"/>
      <c r="X186" s="293"/>
      <c r="Y186" s="293"/>
      <c r="Z186" s="293"/>
      <c r="AA186" s="293"/>
      <c r="AB186" s="293"/>
      <c r="AC186" s="293"/>
      <c r="AD186" s="293"/>
      <c r="AE186" s="293"/>
      <c r="AF186" s="293"/>
      <c r="AG186" s="293"/>
      <c r="AH186" s="293"/>
    </row>
    <row r="187" spans="8:34" x14ac:dyDescent="0.2">
      <c r="H187" s="293"/>
      <c r="I187" s="293"/>
      <c r="J187" s="293"/>
      <c r="K187" s="293"/>
      <c r="L187" s="293"/>
      <c r="M187" s="293"/>
      <c r="N187" s="293"/>
      <c r="O187" s="293"/>
      <c r="P187" s="293"/>
      <c r="Q187" s="293"/>
      <c r="R187" s="293"/>
      <c r="S187" s="293"/>
      <c r="T187" s="293"/>
      <c r="U187" s="293"/>
      <c r="V187" s="293"/>
      <c r="W187" s="293"/>
      <c r="X187" s="293"/>
      <c r="Y187" s="293"/>
      <c r="Z187" s="293"/>
      <c r="AA187" s="293"/>
      <c r="AB187" s="293"/>
      <c r="AC187" s="293"/>
      <c r="AD187" s="293"/>
      <c r="AE187" s="293"/>
      <c r="AF187" s="293"/>
      <c r="AG187" s="293"/>
      <c r="AH187" s="293"/>
    </row>
    <row r="188" spans="8:34" x14ac:dyDescent="0.2"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293"/>
      <c r="AA188" s="293"/>
      <c r="AB188" s="293"/>
      <c r="AC188" s="293"/>
      <c r="AD188" s="293"/>
      <c r="AE188" s="293"/>
      <c r="AF188" s="293"/>
      <c r="AG188" s="293"/>
      <c r="AH188" s="293"/>
    </row>
    <row r="189" spans="8:34" x14ac:dyDescent="0.2">
      <c r="H189" s="293"/>
      <c r="I189" s="293"/>
      <c r="J189" s="293"/>
      <c r="K189" s="293"/>
      <c r="L189" s="293"/>
      <c r="M189" s="293"/>
      <c r="N189" s="293"/>
      <c r="O189" s="293"/>
      <c r="P189" s="293"/>
      <c r="Q189" s="293"/>
      <c r="R189" s="293"/>
      <c r="S189" s="293"/>
      <c r="T189" s="293"/>
      <c r="U189" s="293"/>
      <c r="V189" s="293"/>
      <c r="W189" s="293"/>
      <c r="X189" s="293"/>
      <c r="Y189" s="293"/>
      <c r="Z189" s="293"/>
      <c r="AA189" s="293"/>
      <c r="AB189" s="293"/>
      <c r="AC189" s="293"/>
      <c r="AD189" s="293"/>
      <c r="AE189" s="293"/>
      <c r="AF189" s="293"/>
      <c r="AG189" s="293"/>
      <c r="AH189" s="293"/>
    </row>
    <row r="190" spans="8:34" x14ac:dyDescent="0.2">
      <c r="H190" s="293"/>
      <c r="I190" s="293"/>
      <c r="J190" s="293"/>
      <c r="K190" s="293"/>
      <c r="L190" s="293"/>
      <c r="M190" s="293"/>
      <c r="N190" s="293"/>
      <c r="O190" s="293"/>
      <c r="P190" s="293"/>
      <c r="Q190" s="293"/>
      <c r="R190" s="293"/>
      <c r="S190" s="293"/>
      <c r="T190" s="293"/>
      <c r="U190" s="293"/>
      <c r="V190" s="293"/>
      <c r="W190" s="293"/>
      <c r="X190" s="293"/>
      <c r="Y190" s="293"/>
      <c r="Z190" s="293"/>
      <c r="AA190" s="293"/>
      <c r="AB190" s="293"/>
      <c r="AC190" s="293"/>
      <c r="AD190" s="293"/>
      <c r="AE190" s="293"/>
      <c r="AF190" s="293"/>
      <c r="AG190" s="293"/>
      <c r="AH190" s="293"/>
    </row>
    <row r="191" spans="8:34" x14ac:dyDescent="0.2"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93"/>
      <c r="AB191" s="293"/>
      <c r="AC191" s="293"/>
      <c r="AD191" s="293"/>
      <c r="AE191" s="293"/>
      <c r="AF191" s="293"/>
      <c r="AG191" s="293"/>
      <c r="AH191" s="293"/>
    </row>
    <row r="192" spans="8:34" x14ac:dyDescent="0.2"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93"/>
      <c r="AB192" s="293"/>
      <c r="AC192" s="293"/>
      <c r="AD192" s="293"/>
      <c r="AE192" s="293"/>
      <c r="AF192" s="293"/>
      <c r="AG192" s="293"/>
      <c r="AH192" s="293"/>
    </row>
    <row r="193" spans="8:34" x14ac:dyDescent="0.2">
      <c r="H193" s="293"/>
      <c r="I193" s="293"/>
      <c r="J193" s="293"/>
      <c r="K193" s="293"/>
      <c r="L193" s="293"/>
      <c r="M193" s="293"/>
      <c r="N193" s="293"/>
      <c r="O193" s="293"/>
      <c r="P193" s="293"/>
      <c r="Q193" s="293"/>
      <c r="R193" s="293"/>
      <c r="S193" s="293"/>
      <c r="T193" s="293"/>
      <c r="U193" s="293"/>
      <c r="V193" s="293"/>
      <c r="W193" s="293"/>
      <c r="X193" s="293"/>
      <c r="Y193" s="293"/>
      <c r="Z193" s="293"/>
      <c r="AA193" s="293"/>
      <c r="AB193" s="293"/>
      <c r="AC193" s="293"/>
      <c r="AD193" s="293"/>
      <c r="AE193" s="293"/>
      <c r="AF193" s="293"/>
      <c r="AG193" s="293"/>
      <c r="AH193" s="293"/>
    </row>
    <row r="194" spans="8:34" x14ac:dyDescent="0.2">
      <c r="H194" s="293"/>
      <c r="I194" s="293"/>
      <c r="J194" s="293"/>
      <c r="K194" s="293"/>
      <c r="L194" s="293"/>
      <c r="M194" s="293"/>
      <c r="N194" s="293"/>
      <c r="O194" s="293"/>
      <c r="P194" s="293"/>
      <c r="Q194" s="293"/>
      <c r="R194" s="293"/>
      <c r="S194" s="293"/>
      <c r="T194" s="293"/>
      <c r="U194" s="293"/>
      <c r="V194" s="293"/>
      <c r="W194" s="293"/>
      <c r="X194" s="293"/>
      <c r="Y194" s="293"/>
      <c r="Z194" s="293"/>
      <c r="AA194" s="293"/>
      <c r="AB194" s="293"/>
      <c r="AC194" s="293"/>
      <c r="AD194" s="293"/>
      <c r="AE194" s="293"/>
      <c r="AF194" s="293"/>
      <c r="AG194" s="293"/>
      <c r="AH194" s="293"/>
    </row>
    <row r="195" spans="8:34" x14ac:dyDescent="0.2">
      <c r="H195" s="293"/>
      <c r="I195" s="293"/>
      <c r="J195" s="293"/>
      <c r="K195" s="293"/>
      <c r="L195" s="293"/>
      <c r="M195" s="293"/>
      <c r="N195" s="293"/>
      <c r="O195" s="293"/>
      <c r="P195" s="293"/>
      <c r="Q195" s="293"/>
      <c r="R195" s="293"/>
      <c r="S195" s="293"/>
      <c r="T195" s="293"/>
      <c r="U195" s="293"/>
      <c r="V195" s="293"/>
      <c r="W195" s="293"/>
      <c r="X195" s="293"/>
      <c r="Y195" s="293"/>
      <c r="Z195" s="293"/>
      <c r="AA195" s="293"/>
      <c r="AB195" s="293"/>
      <c r="AC195" s="293"/>
      <c r="AD195" s="293"/>
      <c r="AE195" s="293"/>
      <c r="AF195" s="293"/>
      <c r="AG195" s="293"/>
      <c r="AH195" s="293"/>
    </row>
    <row r="196" spans="8:34" x14ac:dyDescent="0.2">
      <c r="H196" s="293"/>
      <c r="I196" s="293"/>
      <c r="J196" s="293"/>
      <c r="K196" s="293"/>
      <c r="L196" s="293"/>
      <c r="M196" s="293"/>
      <c r="N196" s="293"/>
      <c r="O196" s="293"/>
      <c r="P196" s="293"/>
      <c r="Q196" s="293"/>
      <c r="R196" s="293"/>
      <c r="S196" s="293"/>
      <c r="T196" s="293"/>
      <c r="U196" s="293"/>
      <c r="V196" s="293"/>
      <c r="W196" s="293"/>
      <c r="X196" s="293"/>
      <c r="Y196" s="293"/>
      <c r="Z196" s="293"/>
      <c r="AA196" s="293"/>
      <c r="AB196" s="293"/>
      <c r="AC196" s="293"/>
      <c r="AD196" s="293"/>
      <c r="AE196" s="293"/>
      <c r="AF196" s="293"/>
      <c r="AG196" s="293"/>
      <c r="AH196" s="293"/>
    </row>
    <row r="197" spans="8:34" x14ac:dyDescent="0.2">
      <c r="H197" s="293"/>
      <c r="I197" s="293"/>
      <c r="J197" s="293"/>
      <c r="K197" s="293"/>
      <c r="L197" s="293"/>
      <c r="M197" s="293"/>
      <c r="N197" s="293"/>
      <c r="O197" s="293"/>
      <c r="P197" s="293"/>
      <c r="Q197" s="293"/>
      <c r="R197" s="293"/>
      <c r="S197" s="293"/>
      <c r="T197" s="293"/>
      <c r="U197" s="293"/>
      <c r="V197" s="293"/>
      <c r="W197" s="293"/>
      <c r="X197" s="293"/>
      <c r="Y197" s="293"/>
      <c r="Z197" s="293"/>
      <c r="AA197" s="293"/>
      <c r="AB197" s="293"/>
      <c r="AC197" s="293"/>
      <c r="AD197" s="293"/>
      <c r="AE197" s="293"/>
      <c r="AF197" s="293"/>
      <c r="AG197" s="293"/>
      <c r="AH197" s="293"/>
    </row>
    <row r="198" spans="8:34" x14ac:dyDescent="0.2">
      <c r="H198" s="293"/>
      <c r="I198" s="293"/>
      <c r="J198" s="293"/>
      <c r="K198" s="293"/>
      <c r="L198" s="293"/>
      <c r="M198" s="293"/>
      <c r="N198" s="293"/>
      <c r="O198" s="293"/>
      <c r="P198" s="293"/>
      <c r="Q198" s="293"/>
      <c r="R198" s="293"/>
      <c r="S198" s="293"/>
      <c r="T198" s="293"/>
      <c r="U198" s="293"/>
      <c r="V198" s="293"/>
      <c r="W198" s="293"/>
      <c r="X198" s="293"/>
      <c r="Y198" s="293"/>
      <c r="Z198" s="293"/>
      <c r="AA198" s="293"/>
      <c r="AB198" s="293"/>
      <c r="AC198" s="293"/>
      <c r="AD198" s="293"/>
      <c r="AE198" s="293"/>
      <c r="AF198" s="293"/>
      <c r="AG198" s="293"/>
      <c r="AH198" s="293"/>
    </row>
    <row r="199" spans="8:34" x14ac:dyDescent="0.2"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93"/>
      <c r="AB199" s="293"/>
      <c r="AC199" s="293"/>
      <c r="AD199" s="293"/>
      <c r="AE199" s="293"/>
      <c r="AF199" s="293"/>
      <c r="AG199" s="293"/>
      <c r="AH199" s="293"/>
    </row>
    <row r="200" spans="8:34" x14ac:dyDescent="0.2"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93"/>
      <c r="AB200" s="293"/>
      <c r="AC200" s="293"/>
      <c r="AD200" s="293"/>
      <c r="AE200" s="293"/>
      <c r="AF200" s="293"/>
      <c r="AG200" s="293"/>
      <c r="AH200" s="293"/>
    </row>
    <row r="201" spans="8:34" x14ac:dyDescent="0.2">
      <c r="H201" s="293"/>
      <c r="I201" s="293"/>
      <c r="J201" s="293"/>
      <c r="K201" s="293"/>
      <c r="L201" s="293"/>
      <c r="M201" s="293"/>
      <c r="N201" s="293"/>
      <c r="O201" s="293"/>
      <c r="P201" s="293"/>
      <c r="Q201" s="293"/>
      <c r="R201" s="293"/>
      <c r="S201" s="293"/>
      <c r="T201" s="293"/>
      <c r="U201" s="293"/>
      <c r="V201" s="293"/>
      <c r="W201" s="293"/>
      <c r="X201" s="293"/>
      <c r="Y201" s="293"/>
      <c r="Z201" s="293"/>
      <c r="AA201" s="293"/>
      <c r="AB201" s="293"/>
      <c r="AC201" s="293"/>
      <c r="AD201" s="293"/>
      <c r="AE201" s="293"/>
      <c r="AF201" s="293"/>
      <c r="AG201" s="293"/>
      <c r="AH201" s="293"/>
    </row>
    <row r="202" spans="8:34" x14ac:dyDescent="0.2">
      <c r="H202" s="293"/>
      <c r="I202" s="293"/>
      <c r="J202" s="293"/>
      <c r="K202" s="293"/>
      <c r="L202" s="293"/>
      <c r="M202" s="293"/>
      <c r="N202" s="293"/>
      <c r="O202" s="293"/>
      <c r="P202" s="293"/>
      <c r="Q202" s="293"/>
      <c r="R202" s="293"/>
      <c r="S202" s="293"/>
      <c r="T202" s="293"/>
      <c r="U202" s="293"/>
      <c r="V202" s="293"/>
      <c r="W202" s="293"/>
      <c r="X202" s="293"/>
      <c r="Y202" s="293"/>
      <c r="Z202" s="293"/>
      <c r="AA202" s="293"/>
      <c r="AB202" s="293"/>
      <c r="AC202" s="293"/>
      <c r="AD202" s="293"/>
      <c r="AE202" s="293"/>
      <c r="AF202" s="293"/>
      <c r="AG202" s="293"/>
      <c r="AH202" s="293"/>
    </row>
    <row r="203" spans="8:34" x14ac:dyDescent="0.2">
      <c r="H203" s="293"/>
      <c r="I203" s="293"/>
      <c r="J203" s="293"/>
      <c r="K203" s="293"/>
      <c r="L203" s="293"/>
      <c r="M203" s="293"/>
      <c r="N203" s="293"/>
      <c r="O203" s="293"/>
      <c r="P203" s="293"/>
      <c r="Q203" s="293"/>
      <c r="R203" s="293"/>
      <c r="S203" s="293"/>
      <c r="T203" s="293"/>
      <c r="U203" s="293"/>
      <c r="V203" s="293"/>
      <c r="W203" s="293"/>
      <c r="X203" s="293"/>
      <c r="Y203" s="293"/>
      <c r="Z203" s="293"/>
      <c r="AA203" s="293"/>
      <c r="AB203" s="293"/>
      <c r="AC203" s="293"/>
      <c r="AD203" s="293"/>
      <c r="AE203" s="293"/>
      <c r="AF203" s="293"/>
      <c r="AG203" s="293"/>
      <c r="AH203" s="293"/>
    </row>
    <row r="204" spans="8:34" x14ac:dyDescent="0.2">
      <c r="H204" s="293"/>
      <c r="I204" s="293"/>
      <c r="J204" s="293"/>
      <c r="K204" s="293"/>
      <c r="L204" s="293"/>
      <c r="M204" s="293"/>
      <c r="N204" s="293"/>
      <c r="O204" s="293"/>
      <c r="P204" s="293"/>
      <c r="Q204" s="293"/>
      <c r="R204" s="293"/>
      <c r="S204" s="293"/>
      <c r="T204" s="293"/>
      <c r="U204" s="293"/>
      <c r="V204" s="293"/>
      <c r="W204" s="293"/>
      <c r="X204" s="293"/>
      <c r="Y204" s="293"/>
      <c r="Z204" s="293"/>
      <c r="AA204" s="293"/>
      <c r="AB204" s="293"/>
      <c r="AC204" s="293"/>
      <c r="AD204" s="293"/>
      <c r="AE204" s="293"/>
      <c r="AF204" s="293"/>
      <c r="AG204" s="293"/>
      <c r="AH204" s="293"/>
    </row>
    <row r="205" spans="8:34" x14ac:dyDescent="0.2">
      <c r="H205" s="293"/>
      <c r="I205" s="293"/>
      <c r="J205" s="293"/>
      <c r="K205" s="293"/>
      <c r="L205" s="293"/>
      <c r="M205" s="293"/>
      <c r="N205" s="293"/>
      <c r="O205" s="293"/>
      <c r="P205" s="293"/>
      <c r="Q205" s="293"/>
      <c r="R205" s="293"/>
      <c r="S205" s="293"/>
      <c r="T205" s="293"/>
      <c r="U205" s="293"/>
      <c r="V205" s="293"/>
      <c r="W205" s="293"/>
      <c r="X205" s="293"/>
      <c r="Y205" s="293"/>
      <c r="Z205" s="293"/>
      <c r="AA205" s="293"/>
      <c r="AB205" s="293"/>
      <c r="AC205" s="293"/>
      <c r="AD205" s="293"/>
      <c r="AE205" s="293"/>
      <c r="AF205" s="293"/>
      <c r="AG205" s="293"/>
      <c r="AH205" s="293"/>
    </row>
    <row r="206" spans="8:34" x14ac:dyDescent="0.2">
      <c r="H206" s="293"/>
      <c r="I206" s="293"/>
      <c r="J206" s="293"/>
      <c r="K206" s="293"/>
      <c r="L206" s="293"/>
      <c r="M206" s="293"/>
      <c r="N206" s="293"/>
      <c r="O206" s="293"/>
      <c r="P206" s="293"/>
      <c r="Q206" s="293"/>
      <c r="R206" s="293"/>
      <c r="S206" s="293"/>
      <c r="T206" s="293"/>
      <c r="U206" s="293"/>
      <c r="V206" s="293"/>
      <c r="W206" s="293"/>
      <c r="X206" s="293"/>
      <c r="Y206" s="293"/>
      <c r="Z206" s="293"/>
      <c r="AA206" s="293"/>
      <c r="AB206" s="293"/>
      <c r="AC206" s="293"/>
      <c r="AD206" s="293"/>
      <c r="AE206" s="293"/>
      <c r="AF206" s="293"/>
      <c r="AG206" s="293"/>
      <c r="AH206" s="293"/>
    </row>
    <row r="207" spans="8:34" x14ac:dyDescent="0.2"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93"/>
      <c r="AB207" s="293"/>
      <c r="AC207" s="293"/>
      <c r="AD207" s="293"/>
      <c r="AE207" s="293"/>
      <c r="AF207" s="293"/>
      <c r="AG207" s="293"/>
      <c r="AH207" s="293"/>
    </row>
    <row r="208" spans="8:34" x14ac:dyDescent="0.2"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93"/>
      <c r="AB208" s="293"/>
      <c r="AC208" s="293"/>
      <c r="AD208" s="293"/>
      <c r="AE208" s="293"/>
      <c r="AF208" s="293"/>
      <c r="AG208" s="293"/>
      <c r="AH208" s="293"/>
    </row>
    <row r="209" spans="8:34" x14ac:dyDescent="0.2"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</row>
    <row r="210" spans="8:34" x14ac:dyDescent="0.2">
      <c r="H210" s="293"/>
      <c r="I210" s="293"/>
      <c r="J210" s="293"/>
      <c r="K210" s="293"/>
      <c r="L210" s="293"/>
      <c r="M210" s="293"/>
      <c r="N210" s="293"/>
      <c r="O210" s="293"/>
      <c r="P210" s="293"/>
      <c r="Q210" s="293"/>
      <c r="R210" s="293"/>
      <c r="S210" s="293"/>
      <c r="T210" s="293"/>
      <c r="U210" s="293"/>
      <c r="V210" s="293"/>
      <c r="W210" s="293"/>
      <c r="X210" s="293"/>
      <c r="Y210" s="293"/>
      <c r="Z210" s="293"/>
      <c r="AA210" s="293"/>
      <c r="AB210" s="293"/>
      <c r="AC210" s="293"/>
      <c r="AD210" s="293"/>
      <c r="AE210" s="293"/>
      <c r="AF210" s="293"/>
      <c r="AG210" s="293"/>
      <c r="AH210" s="293"/>
    </row>
    <row r="211" spans="8:34" x14ac:dyDescent="0.2">
      <c r="H211" s="293"/>
      <c r="I211" s="293"/>
      <c r="J211" s="293"/>
      <c r="K211" s="293"/>
      <c r="L211" s="293"/>
      <c r="M211" s="293"/>
      <c r="N211" s="293"/>
      <c r="O211" s="293"/>
      <c r="P211" s="293"/>
      <c r="Q211" s="293"/>
      <c r="R211" s="293"/>
      <c r="S211" s="293"/>
      <c r="T211" s="293"/>
      <c r="U211" s="293"/>
      <c r="V211" s="293"/>
      <c r="W211" s="293"/>
      <c r="X211" s="293"/>
      <c r="Y211" s="293"/>
      <c r="Z211" s="293"/>
      <c r="AA211" s="293"/>
      <c r="AB211" s="293"/>
      <c r="AC211" s="293"/>
      <c r="AD211" s="293"/>
      <c r="AE211" s="293"/>
      <c r="AF211" s="293"/>
      <c r="AG211" s="293"/>
      <c r="AH211" s="293"/>
    </row>
    <row r="212" spans="8:34" x14ac:dyDescent="0.2"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93"/>
      <c r="AB212" s="293"/>
      <c r="AC212" s="293"/>
      <c r="AD212" s="293"/>
      <c r="AE212" s="293"/>
      <c r="AF212" s="293"/>
      <c r="AG212" s="293"/>
      <c r="AH212" s="293"/>
    </row>
    <row r="213" spans="8:34" x14ac:dyDescent="0.2"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93"/>
      <c r="AB213" s="293"/>
      <c r="AC213" s="293"/>
      <c r="AD213" s="293"/>
      <c r="AE213" s="293"/>
      <c r="AF213" s="293"/>
      <c r="AG213" s="293"/>
      <c r="AH213" s="293"/>
    </row>
    <row r="214" spans="8:34" x14ac:dyDescent="0.2">
      <c r="H214" s="293"/>
      <c r="I214" s="293"/>
      <c r="J214" s="293"/>
      <c r="K214" s="293"/>
      <c r="L214" s="293"/>
      <c r="M214" s="293"/>
      <c r="N214" s="293"/>
      <c r="O214" s="293"/>
      <c r="P214" s="293"/>
      <c r="Q214" s="293"/>
      <c r="R214" s="293"/>
      <c r="S214" s="293"/>
      <c r="T214" s="293"/>
      <c r="U214" s="293"/>
      <c r="V214" s="293"/>
      <c r="W214" s="293"/>
      <c r="X214" s="293"/>
      <c r="Y214" s="293"/>
      <c r="Z214" s="293"/>
      <c r="AA214" s="293"/>
      <c r="AB214" s="293"/>
      <c r="AC214" s="293"/>
      <c r="AD214" s="293"/>
      <c r="AE214" s="293"/>
      <c r="AF214" s="293"/>
      <c r="AG214" s="293"/>
      <c r="AH214" s="293"/>
    </row>
    <row r="215" spans="8:34" x14ac:dyDescent="0.2">
      <c r="H215" s="293"/>
      <c r="I215" s="293"/>
      <c r="J215" s="293"/>
      <c r="K215" s="293"/>
      <c r="L215" s="293"/>
      <c r="M215" s="293"/>
      <c r="N215" s="293"/>
      <c r="O215" s="293"/>
      <c r="P215" s="293"/>
      <c r="Q215" s="293"/>
      <c r="R215" s="293"/>
      <c r="S215" s="293"/>
      <c r="T215" s="293"/>
      <c r="U215" s="293"/>
      <c r="V215" s="293"/>
      <c r="W215" s="293"/>
      <c r="X215" s="293"/>
      <c r="Y215" s="293"/>
      <c r="Z215" s="293"/>
      <c r="AA215" s="293"/>
      <c r="AB215" s="293"/>
      <c r="AC215" s="293"/>
      <c r="AD215" s="293"/>
      <c r="AE215" s="293"/>
      <c r="AF215" s="293"/>
      <c r="AG215" s="293"/>
      <c r="AH215" s="293"/>
    </row>
    <row r="216" spans="8:34" x14ac:dyDescent="0.2">
      <c r="H216" s="293"/>
      <c r="I216" s="293"/>
      <c r="J216" s="293"/>
      <c r="K216" s="293"/>
      <c r="L216" s="293"/>
      <c r="M216" s="293"/>
      <c r="N216" s="293"/>
      <c r="O216" s="293"/>
      <c r="P216" s="293"/>
      <c r="Q216" s="293"/>
      <c r="R216" s="293"/>
      <c r="S216" s="293"/>
      <c r="T216" s="293"/>
      <c r="U216" s="293"/>
      <c r="V216" s="293"/>
      <c r="W216" s="293"/>
      <c r="X216" s="293"/>
      <c r="Y216" s="293"/>
      <c r="Z216" s="293"/>
      <c r="AA216" s="293"/>
      <c r="AB216" s="293"/>
      <c r="AC216" s="293"/>
      <c r="AD216" s="293"/>
      <c r="AE216" s="293"/>
      <c r="AF216" s="293"/>
      <c r="AG216" s="293"/>
      <c r="AH216" s="293"/>
    </row>
    <row r="217" spans="8:34" x14ac:dyDescent="0.2"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93"/>
      <c r="AB217" s="293"/>
      <c r="AC217" s="293"/>
      <c r="AD217" s="293"/>
      <c r="AE217" s="293"/>
      <c r="AF217" s="293"/>
      <c r="AG217" s="293"/>
      <c r="AH217" s="293"/>
    </row>
    <row r="218" spans="8:34" x14ac:dyDescent="0.2">
      <c r="H218" s="293"/>
      <c r="I218" s="293"/>
      <c r="J218" s="293"/>
      <c r="K218" s="293"/>
      <c r="L218" s="293"/>
      <c r="M218" s="293"/>
      <c r="N218" s="293"/>
      <c r="O218" s="293"/>
      <c r="P218" s="293"/>
      <c r="Q218" s="293"/>
      <c r="R218" s="293"/>
      <c r="S218" s="293"/>
      <c r="T218" s="293"/>
      <c r="U218" s="293"/>
      <c r="V218" s="293"/>
      <c r="W218" s="293"/>
      <c r="X218" s="293"/>
      <c r="Y218" s="293"/>
      <c r="Z218" s="293"/>
      <c r="AA218" s="293"/>
      <c r="AB218" s="293"/>
      <c r="AC218" s="293"/>
      <c r="AD218" s="293"/>
      <c r="AE218" s="293"/>
      <c r="AF218" s="293"/>
      <c r="AG218" s="293"/>
      <c r="AH218" s="293"/>
    </row>
    <row r="219" spans="8:34" x14ac:dyDescent="0.2">
      <c r="H219" s="293"/>
      <c r="I219" s="293"/>
      <c r="J219" s="293"/>
      <c r="K219" s="293"/>
      <c r="L219" s="293"/>
      <c r="M219" s="293"/>
      <c r="N219" s="293"/>
      <c r="O219" s="293"/>
      <c r="P219" s="293"/>
      <c r="Q219" s="293"/>
      <c r="R219" s="293"/>
      <c r="S219" s="293"/>
      <c r="T219" s="293"/>
      <c r="U219" s="293"/>
      <c r="V219" s="293"/>
      <c r="W219" s="293"/>
      <c r="X219" s="293"/>
      <c r="Y219" s="293"/>
      <c r="Z219" s="293"/>
      <c r="AA219" s="293"/>
      <c r="AB219" s="293"/>
      <c r="AC219" s="293"/>
      <c r="AD219" s="293"/>
      <c r="AE219" s="293"/>
      <c r="AF219" s="293"/>
      <c r="AG219" s="293"/>
      <c r="AH219" s="293"/>
    </row>
    <row r="220" spans="8:34" x14ac:dyDescent="0.2">
      <c r="H220" s="293"/>
      <c r="I220" s="293"/>
      <c r="J220" s="293"/>
      <c r="K220" s="293"/>
      <c r="L220" s="293"/>
      <c r="M220" s="293"/>
      <c r="N220" s="293"/>
      <c r="O220" s="293"/>
      <c r="P220" s="293"/>
      <c r="Q220" s="293"/>
      <c r="R220" s="293"/>
      <c r="S220" s="293"/>
      <c r="T220" s="293"/>
      <c r="U220" s="293"/>
      <c r="V220" s="293"/>
      <c r="W220" s="293"/>
      <c r="X220" s="293"/>
      <c r="Y220" s="293"/>
      <c r="Z220" s="293"/>
      <c r="AA220" s="293"/>
      <c r="AB220" s="293"/>
      <c r="AC220" s="293"/>
      <c r="AD220" s="293"/>
      <c r="AE220" s="293"/>
      <c r="AF220" s="293"/>
      <c r="AG220" s="293"/>
      <c r="AH220" s="293"/>
    </row>
    <row r="221" spans="8:34" x14ac:dyDescent="0.2">
      <c r="H221" s="293"/>
      <c r="I221" s="293"/>
      <c r="J221" s="293"/>
      <c r="K221" s="293"/>
      <c r="L221" s="293"/>
      <c r="M221" s="293"/>
      <c r="N221" s="293"/>
      <c r="O221" s="293"/>
      <c r="P221" s="293"/>
      <c r="Q221" s="293"/>
      <c r="R221" s="293"/>
      <c r="S221" s="293"/>
      <c r="T221" s="293"/>
      <c r="U221" s="293"/>
      <c r="V221" s="293"/>
      <c r="W221" s="293"/>
      <c r="X221" s="293"/>
      <c r="Y221" s="293"/>
      <c r="Z221" s="293"/>
      <c r="AA221" s="293"/>
      <c r="AB221" s="293"/>
      <c r="AC221" s="293"/>
      <c r="AD221" s="293"/>
      <c r="AE221" s="293"/>
      <c r="AF221" s="293"/>
      <c r="AG221" s="293"/>
      <c r="AH221" s="293"/>
    </row>
    <row r="222" spans="8:34" x14ac:dyDescent="0.2">
      <c r="H222" s="293"/>
      <c r="I222" s="293"/>
      <c r="J222" s="293"/>
      <c r="K222" s="293"/>
      <c r="L222" s="293"/>
      <c r="M222" s="293"/>
      <c r="N222" s="293"/>
      <c r="O222" s="293"/>
      <c r="P222" s="293"/>
      <c r="Q222" s="293"/>
      <c r="R222" s="293"/>
      <c r="S222" s="293"/>
      <c r="T222" s="293"/>
      <c r="U222" s="293"/>
      <c r="V222" s="293"/>
      <c r="W222" s="293"/>
      <c r="X222" s="293"/>
      <c r="Y222" s="293"/>
      <c r="Z222" s="293"/>
      <c r="AA222" s="293"/>
      <c r="AB222" s="293"/>
      <c r="AC222" s="293"/>
      <c r="AD222" s="293"/>
      <c r="AE222" s="293"/>
      <c r="AF222" s="293"/>
      <c r="AG222" s="293"/>
      <c r="AH222" s="293"/>
    </row>
    <row r="223" spans="8:34" x14ac:dyDescent="0.2"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93"/>
      <c r="AB223" s="293"/>
      <c r="AC223" s="293"/>
      <c r="AD223" s="293"/>
      <c r="AE223" s="293"/>
      <c r="AF223" s="293"/>
      <c r="AG223" s="293"/>
      <c r="AH223" s="293"/>
    </row>
    <row r="224" spans="8:34" x14ac:dyDescent="0.2"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93"/>
      <c r="AB224" s="293"/>
      <c r="AC224" s="293"/>
      <c r="AD224" s="293"/>
      <c r="AE224" s="293"/>
      <c r="AF224" s="293"/>
      <c r="AG224" s="293"/>
      <c r="AH224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E49" sqref="E49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50" t="s">
        <v>213</v>
      </c>
      <c r="C3" s="208"/>
      <c r="D3" s="450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-17128</v>
      </c>
      <c r="C37" s="24">
        <f>SUM(C6:C36)</f>
        <v>-12904</v>
      </c>
      <c r="D37" s="24">
        <f>SUM(D6:D36)</f>
        <v>-16688</v>
      </c>
      <c r="E37" s="24">
        <f>SUM(E6:E36)</f>
        <v>-16000</v>
      </c>
      <c r="F37" s="24">
        <f>SUM(F6:F36)</f>
        <v>4912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+summary!I4</f>
        <v>2.2000000000000002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10806.400000000001</v>
      </c>
      <c r="G39" s="447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7">
        <v>37256</v>
      </c>
      <c r="C40" s="322"/>
      <c r="D40" s="262"/>
      <c r="E40" s="262"/>
      <c r="F40" s="531">
        <v>-133395.24</v>
      </c>
      <c r="G40" s="447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7">
        <v>37264</v>
      </c>
      <c r="C41" s="322"/>
      <c r="D41" s="262"/>
      <c r="E41" s="262"/>
      <c r="F41" s="104">
        <f>+F40+F39</f>
        <v>-122588.84</v>
      </c>
      <c r="G41" s="447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32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37264</v>
      </c>
      <c r="B47" s="32"/>
      <c r="C47" s="32"/>
      <c r="D47" s="355">
        <f>+F37</f>
        <v>4912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-38500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>
      <selection activeCell="D11" sqref="D11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50" t="s">
        <v>221</v>
      </c>
      <c r="C3" s="208"/>
      <c r="D3" s="450" t="s">
        <v>223</v>
      </c>
      <c r="E3" s="207"/>
      <c r="F3" s="450" t="s">
        <v>225</v>
      </c>
      <c r="G3" s="207"/>
      <c r="H3" s="450" t="s">
        <v>227</v>
      </c>
      <c r="I3" s="207"/>
      <c r="J3" s="450" t="s">
        <v>229</v>
      </c>
      <c r="K3" s="207"/>
      <c r="L3" s="450" t="s">
        <v>231</v>
      </c>
      <c r="M3" s="207"/>
      <c r="N3" s="450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-2152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-8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/>
      <c r="C12" s="24"/>
      <c r="D12" s="51"/>
      <c r="E12" s="24"/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0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0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-13111</v>
      </c>
      <c r="C37" s="24">
        <f t="shared" si="1"/>
        <v>-12810</v>
      </c>
      <c r="D37" s="24">
        <f t="shared" si="1"/>
        <v>-4</v>
      </c>
      <c r="E37" s="24">
        <f t="shared" si="1"/>
        <v>-150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155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+summary!I4</f>
        <v>2.2000000000000002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7"/>
      <c r="P39" s="104">
        <f>+P38*P37</f>
        <v>341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7">
        <v>37256</v>
      </c>
      <c r="E40" s="14"/>
      <c r="O40" s="447"/>
      <c r="P40" s="531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7">
        <v>37262</v>
      </c>
      <c r="E41" s="14"/>
      <c r="O41" s="447"/>
      <c r="P41" s="104">
        <f>+P40+P39</f>
        <v>94330.4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32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37262</v>
      </c>
      <c r="B47" s="32"/>
      <c r="C47" s="32"/>
      <c r="D47" s="355">
        <f>+P37</f>
        <v>155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39225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297</v>
      </c>
      <c r="C3" s="87"/>
      <c r="D3" s="87"/>
    </row>
    <row r="4" spans="1:4" x14ac:dyDescent="0.2">
      <c r="A4" s="3"/>
      <c r="B4" s="331" t="s">
        <v>296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-108879</v>
      </c>
      <c r="C37" s="11">
        <f>SUM(C6:C36)</f>
        <v>-112000</v>
      </c>
      <c r="D37" s="25">
        <f>SUM(D6:D36)</f>
        <v>-3121</v>
      </c>
    </row>
    <row r="38" spans="1:4" x14ac:dyDescent="0.2">
      <c r="A38" s="26"/>
      <c r="C38" s="14"/>
      <c r="D38" s="329">
        <f>+summary!I4</f>
        <v>2.2000000000000002</v>
      </c>
    </row>
    <row r="39" spans="1:4" x14ac:dyDescent="0.2">
      <c r="D39" s="138">
        <f>+D38*D37</f>
        <v>-6866.2000000000007</v>
      </c>
    </row>
    <row r="40" spans="1:4" x14ac:dyDescent="0.2">
      <c r="A40" s="57">
        <v>37256</v>
      </c>
      <c r="C40" s="15"/>
      <c r="D40" s="537">
        <v>-15514.53</v>
      </c>
    </row>
    <row r="41" spans="1:4" x14ac:dyDescent="0.2">
      <c r="A41" s="57">
        <v>37264</v>
      </c>
      <c r="C41" s="48"/>
      <c r="D41" s="138">
        <f>+D40+D39</f>
        <v>-22380.730000000003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5596</v>
      </c>
    </row>
    <row r="47" spans="1:4" x14ac:dyDescent="0.2">
      <c r="A47" s="49">
        <f>+A41</f>
        <v>37264</v>
      </c>
      <c r="B47" s="32"/>
      <c r="C47" s="32"/>
      <c r="D47" s="355">
        <f>+D37</f>
        <v>-3121</v>
      </c>
    </row>
    <row r="48" spans="1:4" x14ac:dyDescent="0.2">
      <c r="A48" s="32"/>
      <c r="B48" s="32"/>
      <c r="C48" s="32"/>
      <c r="D48" s="14">
        <f>+D47+D46</f>
        <v>2475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D49" sqref="D4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322</v>
      </c>
      <c r="C3" s="87"/>
      <c r="D3" s="87"/>
    </row>
    <row r="4" spans="1:4" x14ac:dyDescent="0.2">
      <c r="A4" s="3"/>
      <c r="B4" s="331" t="s">
        <v>323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9">
        <f>+summary!I5</f>
        <v>2.2200000000000002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37">
        <v>43180.07</v>
      </c>
    </row>
    <row r="41" spans="1:4" x14ac:dyDescent="0.2">
      <c r="A41" s="57">
        <v>37263</v>
      </c>
      <c r="C41" s="48"/>
      <c r="D41" s="138">
        <f>+D40+D39</f>
        <v>43180.07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32">
        <v>14850</v>
      </c>
    </row>
    <row r="47" spans="1:4" x14ac:dyDescent="0.2">
      <c r="A47" s="49">
        <f>+A41</f>
        <v>37263</v>
      </c>
      <c r="B47" s="32"/>
      <c r="C47" s="32"/>
      <c r="D47" s="355">
        <f>+D37</f>
        <v>0</v>
      </c>
    </row>
    <row r="48" spans="1:4" x14ac:dyDescent="0.2">
      <c r="A48" s="32"/>
      <c r="B48" s="32"/>
      <c r="C48" s="32"/>
      <c r="D48" s="14">
        <f>+D47+D46</f>
        <v>14850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30" workbookViewId="0">
      <selection activeCell="C39" sqref="C3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146090</v>
      </c>
      <c r="C15" s="11">
        <v>145561</v>
      </c>
      <c r="D15" s="25">
        <f t="shared" si="0"/>
        <v>-529</v>
      </c>
    </row>
    <row r="16" spans="1:4" x14ac:dyDescent="0.2">
      <c r="A16" s="10">
        <v>10</v>
      </c>
      <c r="B16" s="11"/>
      <c r="C16" s="11"/>
      <c r="D16" s="25">
        <f t="shared" si="0"/>
        <v>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1332895</v>
      </c>
      <c r="C38" s="11">
        <f>SUM(C7:C37)</f>
        <v>1318832</v>
      </c>
      <c r="D38" s="11">
        <f>SUM(D7:D37)</f>
        <v>-14063</v>
      </c>
    </row>
    <row r="39" spans="1:8" x14ac:dyDescent="0.2">
      <c r="A39" s="26"/>
      <c r="C39" s="14"/>
      <c r="D39" s="106">
        <f>+summary!I3</f>
        <v>2.15</v>
      </c>
    </row>
    <row r="40" spans="1:8" x14ac:dyDescent="0.2">
      <c r="D40" s="138">
        <f>+D39*D38</f>
        <v>-30235.449999999997</v>
      </c>
      <c r="H40">
        <v>20</v>
      </c>
    </row>
    <row r="41" spans="1:8" x14ac:dyDescent="0.2">
      <c r="A41" s="57">
        <v>37256</v>
      </c>
      <c r="C41" s="15"/>
      <c r="D41" s="550">
        <v>47594.94</v>
      </c>
      <c r="H41">
        <v>530</v>
      </c>
    </row>
    <row r="42" spans="1:8" x14ac:dyDescent="0.2">
      <c r="A42" s="57">
        <v>37265</v>
      </c>
      <c r="D42" s="322">
        <f>+D41+D40</f>
        <v>17359.490000000005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32">
        <v>20411</v>
      </c>
    </row>
    <row r="48" spans="1:8" x14ac:dyDescent="0.2">
      <c r="A48" s="49">
        <f>+A42</f>
        <v>37265</v>
      </c>
      <c r="B48" s="32"/>
      <c r="C48" s="32"/>
      <c r="D48" s="355">
        <f>+D38</f>
        <v>-14063</v>
      </c>
    </row>
    <row r="49" spans="1:4" x14ac:dyDescent="0.2">
      <c r="A49" s="32"/>
      <c r="B49" s="32"/>
      <c r="C49" s="32"/>
      <c r="D49" s="14">
        <f>+D48+D47</f>
        <v>6348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7" sqref="C3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-1589321</v>
      </c>
      <c r="C35" s="11">
        <f>SUM(C4:C34)</f>
        <v>-1638591</v>
      </c>
      <c r="D35" s="11">
        <f>SUM(D4:D34)</f>
        <v>-49270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9">
        <v>59071</v>
      </c>
    </row>
    <row r="39" spans="1:30" x14ac:dyDescent="0.2">
      <c r="A39" s="12"/>
      <c r="D39" s="51"/>
    </row>
    <row r="40" spans="1:30" x14ac:dyDescent="0.2">
      <c r="A40" s="245">
        <v>37266</v>
      </c>
      <c r="D40" s="51">
        <f>+D38+D35</f>
        <v>9801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9"/>
      <c r="K44"/>
    </row>
    <row r="45" spans="1:30" x14ac:dyDescent="0.2">
      <c r="A45" s="49">
        <f>+A38</f>
        <v>37256</v>
      </c>
      <c r="B45" s="32"/>
      <c r="C45" s="32"/>
      <c r="D45" s="558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37266</v>
      </c>
      <c r="B46" s="32"/>
      <c r="C46" s="32"/>
      <c r="D46" s="380">
        <f>+D35*'by type_area'!J4</f>
        <v>-108394.00000000001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-188937.15000000002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7" workbookViewId="0">
      <selection activeCell="C37" sqref="C3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/>
      <c r="C14" s="11"/>
      <c r="D14" s="11"/>
      <c r="E14" s="11"/>
      <c r="F14" s="25">
        <f t="shared" si="0"/>
        <v>0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-5314991</v>
      </c>
      <c r="C35" s="11">
        <f>SUM(C4:C34)</f>
        <v>-5345396</v>
      </c>
      <c r="D35" s="11">
        <f>SUM(D4:D34)</f>
        <v>0</v>
      </c>
      <c r="E35" s="11">
        <f>SUM(E4:E34)</f>
        <v>0</v>
      </c>
      <c r="F35" s="11">
        <f>SUM(F4:F34)</f>
        <v>-30405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41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37266</v>
      </c>
      <c r="D40" s="246"/>
      <c r="E40" s="246"/>
      <c r="F40" s="51">
        <f>+F38+F35</f>
        <v>74015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6"/>
      <c r="AG42" s="296"/>
      <c r="AH42" s="296"/>
      <c r="AI42" s="296"/>
      <c r="AJ42" s="296"/>
      <c r="AK42" s="296"/>
      <c r="AL42" s="296"/>
      <c r="AM42" s="296"/>
      <c r="AN42" s="296"/>
      <c r="AO42" s="296"/>
      <c r="AP42" s="296"/>
      <c r="AQ42" s="296"/>
      <c r="AR42" s="296"/>
      <c r="AS42" s="296"/>
    </row>
    <row r="43" spans="1:45" ht="15.75" x14ac:dyDescent="0.25">
      <c r="A43" s="53"/>
      <c r="B43" s="11"/>
      <c r="C43" s="11"/>
      <c r="D43" s="246"/>
      <c r="E43" s="246"/>
      <c r="F43" s="317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7"/>
      <c r="AG43" s="296"/>
      <c r="AH43" s="296"/>
      <c r="AI43" s="298"/>
      <c r="AJ43" s="297"/>
      <c r="AK43" s="296"/>
      <c r="AL43" s="296"/>
      <c r="AM43" s="298"/>
      <c r="AN43" s="297"/>
      <c r="AO43" s="296"/>
      <c r="AP43" s="296"/>
      <c r="AQ43" s="296"/>
      <c r="AR43" s="296"/>
      <c r="AS43" s="296"/>
    </row>
    <row r="44" spans="1:45" x14ac:dyDescent="0.2">
      <c r="A44" s="32" t="s">
        <v>150</v>
      </c>
      <c r="B44" s="32"/>
      <c r="C44" s="32"/>
      <c r="D44" s="479"/>
      <c r="E44" s="246"/>
      <c r="F44" s="246"/>
      <c r="G44" s="246"/>
      <c r="K44"/>
      <c r="AF44" s="296"/>
      <c r="AG44" s="296"/>
      <c r="AH44" s="296"/>
      <c r="AI44" s="296"/>
      <c r="AJ44" s="296"/>
      <c r="AK44" s="296"/>
      <c r="AL44" s="296"/>
      <c r="AM44" s="296"/>
      <c r="AN44" s="296"/>
      <c r="AO44" s="296"/>
      <c r="AP44" s="296"/>
      <c r="AQ44" s="296"/>
      <c r="AR44" s="296"/>
      <c r="AS44" s="296"/>
    </row>
    <row r="45" spans="1:45" x14ac:dyDescent="0.2">
      <c r="A45" s="49">
        <f>+A38</f>
        <v>37256</v>
      </c>
      <c r="B45" s="32"/>
      <c r="C45" s="32"/>
      <c r="D45" s="558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9"/>
      <c r="AG45" s="299"/>
      <c r="AH45" s="296"/>
      <c r="AI45" s="300"/>
      <c r="AJ45" s="299"/>
      <c r="AK45" s="299"/>
      <c r="AL45" s="296"/>
      <c r="AM45" s="300"/>
      <c r="AN45" s="299"/>
      <c r="AO45" s="299"/>
      <c r="AP45" s="296"/>
      <c r="AQ45" s="296"/>
      <c r="AR45" s="296"/>
      <c r="AS45" s="296"/>
    </row>
    <row r="46" spans="1:45" x14ac:dyDescent="0.2">
      <c r="A46" s="49">
        <f>+A40</f>
        <v>37266</v>
      </c>
      <c r="B46" s="32"/>
      <c r="C46" s="32"/>
      <c r="D46" s="480">
        <f>+F35*'by type_area'!J4</f>
        <v>-66891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01"/>
      <c r="AG46" s="301"/>
      <c r="AH46" s="302"/>
      <c r="AI46" s="303"/>
      <c r="AJ46" s="301"/>
      <c r="AK46" s="301"/>
      <c r="AL46" s="302"/>
      <c r="AM46" s="303"/>
      <c r="AN46" s="301"/>
      <c r="AO46" s="301"/>
      <c r="AP46" s="302"/>
      <c r="AQ46" s="296"/>
      <c r="AR46" s="296"/>
      <c r="AS46" s="296"/>
    </row>
    <row r="47" spans="1:45" x14ac:dyDescent="0.2">
      <c r="A47" s="32"/>
      <c r="B47" s="32"/>
      <c r="C47" s="32"/>
      <c r="D47" s="478">
        <f>+D46+D45</f>
        <v>265026</v>
      </c>
      <c r="E47" s="246"/>
      <c r="F47" s="481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01"/>
      <c r="AG47" s="301"/>
      <c r="AH47" s="302"/>
      <c r="AI47" s="303"/>
      <c r="AJ47" s="301"/>
      <c r="AK47" s="301"/>
      <c r="AL47" s="302"/>
      <c r="AM47" s="303"/>
      <c r="AN47" s="301"/>
      <c r="AO47" s="301"/>
      <c r="AP47" s="302"/>
      <c r="AQ47" s="296"/>
      <c r="AR47" s="296"/>
      <c r="AS47" s="296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01"/>
      <c r="AG48" s="301"/>
      <c r="AH48" s="302"/>
      <c r="AI48" s="303"/>
      <c r="AJ48" s="301"/>
      <c r="AK48" s="301"/>
      <c r="AL48" s="302"/>
      <c r="AM48" s="303"/>
      <c r="AN48" s="301"/>
      <c r="AO48" s="301"/>
      <c r="AP48" s="302"/>
      <c r="AQ48" s="296"/>
      <c r="AR48" s="296"/>
      <c r="AS48" s="296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01"/>
      <c r="AG49" s="301"/>
      <c r="AH49" s="302"/>
      <c r="AI49" s="303"/>
      <c r="AJ49" s="301"/>
      <c r="AK49" s="301"/>
      <c r="AL49" s="302"/>
      <c r="AM49" s="303"/>
      <c r="AN49" s="301"/>
      <c r="AO49" s="301"/>
      <c r="AP49" s="302"/>
      <c r="AQ49" s="296"/>
      <c r="AR49" s="296"/>
      <c r="AS49" s="296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01"/>
      <c r="AG50" s="301"/>
      <c r="AH50" s="302"/>
      <c r="AI50" s="303"/>
      <c r="AJ50" s="301"/>
      <c r="AK50" s="301"/>
      <c r="AL50" s="302"/>
      <c r="AM50" s="303"/>
      <c r="AN50" s="301"/>
      <c r="AO50" s="301"/>
      <c r="AP50" s="302"/>
      <c r="AQ50" s="296"/>
      <c r="AR50" s="296"/>
      <c r="AS50" s="296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01"/>
      <c r="AG51" s="301"/>
      <c r="AH51" s="302"/>
      <c r="AI51" s="303"/>
      <c r="AJ51" s="301"/>
      <c r="AK51" s="301"/>
      <c r="AL51" s="302"/>
      <c r="AM51" s="303"/>
      <c r="AN51" s="301"/>
      <c r="AO51" s="301"/>
      <c r="AP51" s="302"/>
      <c r="AQ51" s="296"/>
      <c r="AR51" s="296"/>
      <c r="AS51" s="296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01"/>
      <c r="AG52" s="301"/>
      <c r="AH52" s="302"/>
      <c r="AI52" s="303"/>
      <c r="AJ52" s="301"/>
      <c r="AK52" s="301"/>
      <c r="AL52" s="302"/>
      <c r="AM52" s="303"/>
      <c r="AN52" s="301"/>
      <c r="AO52" s="301"/>
      <c r="AP52" s="302"/>
      <c r="AQ52" s="296"/>
      <c r="AR52" s="296"/>
      <c r="AS52" s="296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01"/>
      <c r="AG53" s="301"/>
      <c r="AH53" s="302"/>
      <c r="AI53" s="303"/>
      <c r="AJ53" s="301"/>
      <c r="AK53" s="301"/>
      <c r="AL53" s="302"/>
      <c r="AM53" s="303"/>
      <c r="AN53" s="301"/>
      <c r="AO53" s="301"/>
      <c r="AP53" s="302"/>
      <c r="AQ53" s="296"/>
      <c r="AR53" s="296"/>
      <c r="AS53" s="296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01"/>
      <c r="AG54" s="301"/>
      <c r="AH54" s="302"/>
      <c r="AI54" s="303"/>
      <c r="AJ54" s="301"/>
      <c r="AK54" s="301"/>
      <c r="AL54" s="302"/>
      <c r="AM54" s="303"/>
      <c r="AN54" s="301"/>
      <c r="AO54" s="301"/>
      <c r="AP54" s="302"/>
      <c r="AQ54" s="296"/>
      <c r="AR54" s="296"/>
      <c r="AS54" s="296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01"/>
      <c r="AG55" s="301"/>
      <c r="AH55" s="302"/>
      <c r="AI55" s="303"/>
      <c r="AJ55" s="301"/>
      <c r="AK55" s="301"/>
      <c r="AL55" s="302"/>
      <c r="AM55" s="303"/>
      <c r="AN55" s="301"/>
      <c r="AO55" s="301"/>
      <c r="AP55" s="302"/>
      <c r="AQ55" s="296"/>
      <c r="AR55" s="296"/>
      <c r="AS55" s="296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01"/>
      <c r="AG56" s="301"/>
      <c r="AH56" s="302"/>
      <c r="AI56" s="303"/>
      <c r="AJ56" s="301"/>
      <c r="AK56" s="301"/>
      <c r="AL56" s="302"/>
      <c r="AM56" s="303"/>
      <c r="AN56" s="301"/>
      <c r="AO56" s="301"/>
      <c r="AP56" s="302"/>
      <c r="AQ56" s="296"/>
      <c r="AR56" s="296"/>
      <c r="AS56" s="296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01"/>
      <c r="AG57" s="301"/>
      <c r="AH57" s="302"/>
      <c r="AI57" s="303"/>
      <c r="AJ57" s="301"/>
      <c r="AK57" s="301"/>
      <c r="AL57" s="302"/>
      <c r="AM57" s="303"/>
      <c r="AN57" s="301"/>
      <c r="AO57" s="301"/>
      <c r="AP57" s="302"/>
      <c r="AQ57" s="296"/>
      <c r="AR57" s="296"/>
      <c r="AS57" s="296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01"/>
      <c r="AG58" s="301"/>
      <c r="AH58" s="302"/>
      <c r="AI58" s="303"/>
      <c r="AJ58" s="301"/>
      <c r="AK58" s="301"/>
      <c r="AL58" s="302"/>
      <c r="AM58" s="303"/>
      <c r="AN58" s="301"/>
      <c r="AO58" s="301"/>
      <c r="AP58" s="302"/>
      <c r="AQ58" s="296"/>
      <c r="AR58" s="296"/>
      <c r="AS58" s="296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01"/>
      <c r="AG59" s="301"/>
      <c r="AH59" s="302"/>
      <c r="AI59" s="303"/>
      <c r="AJ59" s="301"/>
      <c r="AK59" s="301"/>
      <c r="AL59" s="302"/>
      <c r="AM59" s="303"/>
      <c r="AN59" s="301"/>
      <c r="AO59" s="301"/>
      <c r="AP59" s="302"/>
      <c r="AQ59" s="296"/>
      <c r="AR59" s="296"/>
      <c r="AS59" s="296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01"/>
      <c r="AG60" s="301"/>
      <c r="AH60" s="302"/>
      <c r="AI60" s="303"/>
      <c r="AJ60" s="301"/>
      <c r="AK60" s="301"/>
      <c r="AL60" s="302"/>
      <c r="AM60" s="303"/>
      <c r="AN60" s="301"/>
      <c r="AO60" s="301"/>
      <c r="AP60" s="302"/>
      <c r="AQ60" s="296"/>
      <c r="AR60" s="296"/>
      <c r="AS60" s="296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01"/>
      <c r="AG61" s="301"/>
      <c r="AH61" s="302"/>
      <c r="AI61" s="303"/>
      <c r="AJ61" s="301"/>
      <c r="AK61" s="301"/>
      <c r="AL61" s="302"/>
      <c r="AM61" s="303"/>
      <c r="AN61" s="301"/>
      <c r="AO61" s="301"/>
      <c r="AP61" s="302"/>
      <c r="AQ61" s="296"/>
      <c r="AR61" s="296"/>
      <c r="AS61" s="296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01"/>
      <c r="AG62" s="301"/>
      <c r="AH62" s="302"/>
      <c r="AI62" s="303"/>
      <c r="AJ62" s="301"/>
      <c r="AK62" s="301"/>
      <c r="AL62" s="302"/>
      <c r="AM62" s="303"/>
      <c r="AN62" s="301"/>
      <c r="AO62" s="301"/>
      <c r="AP62" s="302"/>
      <c r="AQ62" s="296"/>
      <c r="AR62" s="296"/>
      <c r="AS62" s="296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01"/>
      <c r="AG63" s="301"/>
      <c r="AH63" s="302"/>
      <c r="AI63" s="303"/>
      <c r="AJ63" s="301"/>
      <c r="AK63" s="301"/>
      <c r="AL63" s="302"/>
      <c r="AM63" s="303"/>
      <c r="AN63" s="301"/>
      <c r="AO63" s="301"/>
      <c r="AP63" s="302"/>
      <c r="AQ63" s="296"/>
      <c r="AR63" s="296"/>
      <c r="AS63" s="296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01"/>
      <c r="AG64" s="301"/>
      <c r="AH64" s="302"/>
      <c r="AI64" s="303"/>
      <c r="AJ64" s="301"/>
      <c r="AK64" s="301"/>
      <c r="AL64" s="302"/>
      <c r="AM64" s="303"/>
      <c r="AN64" s="301"/>
      <c r="AO64" s="301"/>
      <c r="AP64" s="302"/>
      <c r="AQ64" s="296"/>
      <c r="AR64" s="296"/>
      <c r="AS64" s="296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01"/>
      <c r="AG65" s="301"/>
      <c r="AH65" s="302"/>
      <c r="AI65" s="303"/>
      <c r="AJ65" s="301"/>
      <c r="AK65" s="301"/>
      <c r="AL65" s="302"/>
      <c r="AM65" s="303"/>
      <c r="AN65" s="301"/>
      <c r="AO65" s="301"/>
      <c r="AP65" s="302"/>
      <c r="AQ65" s="296"/>
      <c r="AR65" s="296"/>
      <c r="AS65" s="296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01"/>
      <c r="AG66" s="301"/>
      <c r="AH66" s="302"/>
      <c r="AI66" s="303"/>
      <c r="AJ66" s="301"/>
      <c r="AK66" s="301"/>
      <c r="AL66" s="302"/>
      <c r="AM66" s="303"/>
      <c r="AN66" s="301"/>
      <c r="AO66" s="301"/>
      <c r="AP66" s="302"/>
      <c r="AQ66" s="296"/>
      <c r="AR66" s="296"/>
      <c r="AS66" s="296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01"/>
      <c r="AG67" s="301"/>
      <c r="AH67" s="302"/>
      <c r="AI67" s="303"/>
      <c r="AJ67" s="301"/>
      <c r="AK67" s="301"/>
      <c r="AL67" s="302"/>
      <c r="AM67" s="303"/>
      <c r="AN67" s="301"/>
      <c r="AO67" s="301"/>
      <c r="AP67" s="302"/>
      <c r="AQ67" s="296"/>
      <c r="AR67" s="296"/>
      <c r="AS67" s="296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01"/>
      <c r="AG68" s="301"/>
      <c r="AH68" s="302"/>
      <c r="AI68" s="303"/>
      <c r="AJ68" s="301"/>
      <c r="AK68" s="301"/>
      <c r="AL68" s="302"/>
      <c r="AM68" s="303"/>
      <c r="AN68" s="301"/>
      <c r="AO68" s="301"/>
      <c r="AP68" s="302"/>
      <c r="AQ68" s="296"/>
      <c r="AR68" s="296"/>
      <c r="AS68" s="296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01"/>
      <c r="AG69" s="301"/>
      <c r="AH69" s="302"/>
      <c r="AI69" s="303"/>
      <c r="AJ69" s="301"/>
      <c r="AK69" s="301"/>
      <c r="AL69" s="302"/>
      <c r="AM69" s="303"/>
      <c r="AN69" s="301"/>
      <c r="AO69" s="301"/>
      <c r="AP69" s="302"/>
      <c r="AQ69" s="296"/>
      <c r="AR69" s="296"/>
      <c r="AS69" s="296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01"/>
      <c r="AG70" s="301"/>
      <c r="AH70" s="302"/>
      <c r="AI70" s="303"/>
      <c r="AJ70" s="301"/>
      <c r="AK70" s="301"/>
      <c r="AL70" s="302"/>
      <c r="AM70" s="303"/>
      <c r="AN70" s="301"/>
      <c r="AO70" s="301"/>
      <c r="AP70" s="302"/>
      <c r="AQ70" s="296"/>
      <c r="AR70" s="296"/>
      <c r="AS70" s="296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01"/>
      <c r="AG71" s="301"/>
      <c r="AH71" s="302"/>
      <c r="AI71" s="303"/>
      <c r="AJ71" s="301"/>
      <c r="AK71" s="301"/>
      <c r="AL71" s="302"/>
      <c r="AM71" s="303"/>
      <c r="AN71" s="301"/>
      <c r="AO71" s="301"/>
      <c r="AP71" s="302"/>
      <c r="AQ71" s="296"/>
      <c r="AR71" s="296"/>
      <c r="AS71" s="296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01"/>
      <c r="AG72" s="301"/>
      <c r="AH72" s="302"/>
      <c r="AI72" s="303"/>
      <c r="AJ72" s="301"/>
      <c r="AK72" s="301"/>
      <c r="AL72" s="302"/>
      <c r="AM72" s="303"/>
      <c r="AN72" s="301"/>
      <c r="AO72" s="301"/>
      <c r="AP72" s="302"/>
      <c r="AQ72" s="296"/>
      <c r="AR72" s="296"/>
      <c r="AS72" s="296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01"/>
      <c r="AG73" s="301"/>
      <c r="AH73" s="302"/>
      <c r="AI73" s="303"/>
      <c r="AJ73" s="301"/>
      <c r="AK73" s="301"/>
      <c r="AL73" s="302"/>
      <c r="AM73" s="303"/>
      <c r="AN73" s="301"/>
      <c r="AO73" s="301"/>
      <c r="AP73" s="302"/>
      <c r="AQ73" s="296"/>
      <c r="AR73" s="296"/>
      <c r="AS73" s="296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01"/>
      <c r="AG74" s="301"/>
      <c r="AH74" s="302"/>
      <c r="AI74" s="303"/>
      <c r="AJ74" s="301"/>
      <c r="AK74" s="301"/>
      <c r="AL74" s="302"/>
      <c r="AM74" s="303"/>
      <c r="AN74" s="301"/>
      <c r="AO74" s="301"/>
      <c r="AP74" s="302"/>
      <c r="AQ74" s="296"/>
      <c r="AR74" s="296"/>
      <c r="AS74" s="296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01"/>
      <c r="AG75" s="301"/>
      <c r="AH75" s="302"/>
      <c r="AI75" s="303"/>
      <c r="AJ75" s="301"/>
      <c r="AK75" s="301"/>
      <c r="AL75" s="302"/>
      <c r="AM75" s="303"/>
      <c r="AN75" s="301"/>
      <c r="AO75" s="301"/>
      <c r="AP75" s="302"/>
      <c r="AQ75" s="296"/>
      <c r="AR75" s="296"/>
      <c r="AS75" s="296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01"/>
      <c r="AG76" s="301"/>
      <c r="AH76" s="302"/>
      <c r="AI76" s="303"/>
      <c r="AJ76" s="301"/>
      <c r="AK76" s="301"/>
      <c r="AL76" s="302"/>
      <c r="AM76" s="303"/>
      <c r="AN76" s="301"/>
      <c r="AO76" s="301"/>
      <c r="AP76" s="302"/>
      <c r="AQ76" s="296"/>
      <c r="AR76" s="296"/>
      <c r="AS76" s="296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01"/>
      <c r="AG77" s="301"/>
      <c r="AH77" s="301"/>
      <c r="AI77" s="303"/>
      <c r="AJ77" s="301"/>
      <c r="AK77" s="301"/>
      <c r="AL77" s="301"/>
      <c r="AM77" s="303"/>
      <c r="AN77" s="301"/>
      <c r="AO77" s="301"/>
      <c r="AP77" s="301"/>
      <c r="AQ77" s="296"/>
      <c r="AR77" s="296"/>
      <c r="AS77" s="296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6"/>
      <c r="AG78" s="302"/>
      <c r="AH78" s="304"/>
      <c r="AI78" s="305"/>
      <c r="AJ78" s="296"/>
      <c r="AK78" s="302"/>
      <c r="AL78" s="304"/>
      <c r="AM78" s="305"/>
      <c r="AN78" s="296"/>
      <c r="AO78" s="302"/>
      <c r="AP78" s="304"/>
      <c r="AQ78" s="296"/>
      <c r="AR78" s="296"/>
      <c r="AS78" s="296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6"/>
      <c r="AG79" s="296"/>
      <c r="AH79" s="306"/>
      <c r="AI79" s="296"/>
      <c r="AJ79" s="296"/>
      <c r="AK79" s="296"/>
      <c r="AL79" s="306"/>
      <c r="AM79" s="296"/>
      <c r="AN79" s="296"/>
      <c r="AO79" s="296"/>
      <c r="AP79" s="306"/>
      <c r="AQ79" s="296"/>
      <c r="AR79" s="296"/>
      <c r="AS79" s="296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6"/>
      <c r="AG80" s="296"/>
      <c r="AH80" s="306"/>
      <c r="AI80" s="307"/>
      <c r="AJ80" s="296"/>
      <c r="AK80" s="296"/>
      <c r="AL80" s="306"/>
      <c r="AM80" s="307"/>
      <c r="AN80" s="296"/>
      <c r="AO80" s="296"/>
      <c r="AP80" s="306"/>
      <c r="AQ80" s="296"/>
      <c r="AR80" s="296"/>
      <c r="AS80" s="296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6"/>
      <c r="AG81" s="296"/>
      <c r="AH81" s="306"/>
      <c r="AI81" s="304"/>
      <c r="AJ81" s="296"/>
      <c r="AK81" s="296"/>
      <c r="AL81" s="306"/>
      <c r="AM81" s="304"/>
      <c r="AN81" s="296"/>
      <c r="AO81" s="296"/>
      <c r="AP81" s="306"/>
      <c r="AQ81" s="296"/>
      <c r="AR81" s="296"/>
      <c r="AS81" s="296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6"/>
      <c r="AG82" s="296"/>
      <c r="AH82" s="306"/>
      <c r="AI82" s="307"/>
      <c r="AJ82" s="296"/>
      <c r="AK82" s="296"/>
      <c r="AL82" s="306"/>
      <c r="AM82" s="307"/>
      <c r="AN82" s="296"/>
      <c r="AO82" s="296"/>
      <c r="AP82" s="306"/>
      <c r="AQ82" s="296"/>
      <c r="AR82" s="296"/>
      <c r="AS82" s="296"/>
    </row>
    <row r="83" spans="4:45" x14ac:dyDescent="0.2">
      <c r="AE83" s="32"/>
      <c r="AF83" s="296"/>
      <c r="AG83" s="296"/>
      <c r="AH83" s="296"/>
      <c r="AI83" s="296"/>
      <c r="AJ83" s="296"/>
      <c r="AK83" s="296"/>
      <c r="AL83" s="296"/>
      <c r="AM83" s="296"/>
      <c r="AN83" s="296"/>
      <c r="AO83" s="296"/>
      <c r="AP83" s="296"/>
      <c r="AQ83" s="296"/>
      <c r="AR83" s="296"/>
      <c r="AS83" s="296"/>
    </row>
    <row r="84" spans="4:45" x14ac:dyDescent="0.2">
      <c r="AE84" s="32"/>
      <c r="AF84" s="296"/>
      <c r="AG84" s="296"/>
      <c r="AH84" s="296"/>
      <c r="AI84" s="296"/>
      <c r="AJ84" s="296"/>
      <c r="AK84" s="296"/>
      <c r="AL84" s="296"/>
      <c r="AM84" s="296"/>
      <c r="AN84" s="296"/>
      <c r="AO84" s="296"/>
      <c r="AP84" s="296"/>
      <c r="AQ84" s="296"/>
      <c r="AR84" s="296"/>
      <c r="AS84" s="296"/>
    </row>
    <row r="85" spans="4:45" x14ac:dyDescent="0.2">
      <c r="AF85" s="296"/>
      <c r="AG85" s="296"/>
      <c r="AH85" s="296"/>
      <c r="AI85" s="296"/>
      <c r="AJ85" s="296"/>
      <c r="AK85" s="296"/>
      <c r="AL85" s="296"/>
      <c r="AM85" s="296"/>
      <c r="AN85" s="296"/>
      <c r="AO85" s="296"/>
      <c r="AP85" s="296"/>
      <c r="AQ85" s="296"/>
      <c r="AR85" s="296"/>
      <c r="AS85" s="296"/>
    </row>
    <row r="86" spans="4:45" x14ac:dyDescent="0.2">
      <c r="AF86" s="296"/>
      <c r="AG86" s="296"/>
      <c r="AH86" s="296"/>
      <c r="AI86" s="296"/>
      <c r="AJ86" s="296"/>
      <c r="AK86" s="296"/>
      <c r="AL86" s="296"/>
      <c r="AM86" s="296"/>
      <c r="AN86" s="296"/>
      <c r="AO86" s="296"/>
      <c r="AP86" s="296"/>
      <c r="AQ86" s="296"/>
      <c r="AR86" s="296"/>
      <c r="AS86" s="296"/>
    </row>
    <row r="87" spans="4:45" x14ac:dyDescent="0.2">
      <c r="AF87" s="296"/>
      <c r="AG87" s="296"/>
      <c r="AH87" s="296"/>
      <c r="AI87" s="296"/>
      <c r="AJ87" s="296"/>
      <c r="AK87" s="296"/>
      <c r="AL87" s="296"/>
      <c r="AM87" s="296"/>
      <c r="AN87" s="296"/>
      <c r="AO87" s="296"/>
      <c r="AP87" s="296"/>
      <c r="AQ87" s="296"/>
      <c r="AR87" s="296"/>
      <c r="AS87" s="296"/>
    </row>
    <row r="88" spans="4:45" x14ac:dyDescent="0.2">
      <c r="AF88" s="296"/>
      <c r="AG88" s="296"/>
      <c r="AH88" s="296"/>
      <c r="AI88" s="296"/>
      <c r="AJ88" s="296"/>
      <c r="AK88" s="296"/>
      <c r="AL88" s="296"/>
      <c r="AM88" s="296"/>
      <c r="AN88" s="296"/>
      <c r="AO88" s="296"/>
      <c r="AP88" s="296"/>
      <c r="AQ88" s="296"/>
      <c r="AR88" s="296"/>
      <c r="AS88" s="296"/>
    </row>
    <row r="89" spans="4:45" x14ac:dyDescent="0.2">
      <c r="AF89" s="296"/>
      <c r="AG89" s="296"/>
      <c r="AH89" s="296"/>
      <c r="AI89" s="296"/>
      <c r="AJ89" s="296"/>
      <c r="AK89" s="296"/>
      <c r="AL89" s="296"/>
      <c r="AM89" s="296"/>
      <c r="AN89" s="296"/>
      <c r="AO89" s="296"/>
      <c r="AP89" s="296"/>
      <c r="AQ89" s="296"/>
      <c r="AR89" s="296"/>
      <c r="AS89" s="296"/>
    </row>
    <row r="90" spans="4:45" x14ac:dyDescent="0.2">
      <c r="AF90" s="296"/>
      <c r="AG90" s="296"/>
      <c r="AH90" s="296"/>
      <c r="AI90" s="296"/>
      <c r="AJ90" s="296"/>
      <c r="AK90" s="296"/>
      <c r="AL90" s="296"/>
      <c r="AM90" s="296"/>
      <c r="AN90" s="296"/>
      <c r="AO90" s="296"/>
      <c r="AP90" s="296"/>
      <c r="AQ90" s="296"/>
      <c r="AR90" s="296"/>
      <c r="AS90" s="296"/>
    </row>
    <row r="91" spans="4:45" x14ac:dyDescent="0.2">
      <c r="AF91" s="296"/>
      <c r="AG91" s="296"/>
      <c r="AH91" s="296"/>
      <c r="AI91" s="296"/>
      <c r="AJ91" s="296"/>
      <c r="AK91" s="296"/>
      <c r="AL91" s="296"/>
      <c r="AM91" s="296"/>
      <c r="AN91" s="296"/>
      <c r="AO91" s="296"/>
      <c r="AP91" s="296"/>
      <c r="AQ91" s="296"/>
      <c r="AR91" s="296"/>
      <c r="AS91" s="296"/>
    </row>
    <row r="92" spans="4:45" x14ac:dyDescent="0.2">
      <c r="AF92" s="296"/>
      <c r="AG92" s="296"/>
      <c r="AH92" s="296"/>
      <c r="AI92" s="296"/>
      <c r="AJ92" s="296"/>
      <c r="AK92" s="296"/>
      <c r="AL92" s="296"/>
      <c r="AM92" s="296"/>
      <c r="AN92" s="296"/>
      <c r="AO92" s="296"/>
      <c r="AP92" s="296"/>
      <c r="AQ92" s="296"/>
      <c r="AR92" s="296"/>
      <c r="AS92" s="296"/>
    </row>
    <row r="93" spans="4:45" x14ac:dyDescent="0.2">
      <c r="AF93" s="296"/>
      <c r="AG93" s="296"/>
      <c r="AH93" s="296"/>
      <c r="AI93" s="296"/>
      <c r="AJ93" s="296"/>
      <c r="AK93" s="296"/>
      <c r="AL93" s="296"/>
      <c r="AM93" s="296"/>
      <c r="AN93" s="296"/>
      <c r="AO93" s="296"/>
      <c r="AP93" s="296"/>
      <c r="AQ93" s="296"/>
      <c r="AR93" s="296"/>
      <c r="AS93" s="296"/>
    </row>
    <row r="94" spans="4:45" x14ac:dyDescent="0.2">
      <c r="AF94" s="296"/>
      <c r="AG94" s="296"/>
      <c r="AH94" s="296"/>
      <c r="AI94" s="296"/>
      <c r="AJ94" s="296"/>
      <c r="AK94" s="296"/>
      <c r="AL94" s="296"/>
      <c r="AM94" s="296"/>
      <c r="AN94" s="296"/>
      <c r="AO94" s="296"/>
      <c r="AP94" s="296"/>
      <c r="AQ94" s="296"/>
      <c r="AR94" s="296"/>
      <c r="AS94" s="296"/>
    </row>
    <row r="95" spans="4:45" x14ac:dyDescent="0.2">
      <c r="AF95" s="296"/>
      <c r="AG95" s="296"/>
      <c r="AH95" s="296"/>
      <c r="AI95" s="296"/>
      <c r="AJ95" s="296"/>
      <c r="AK95" s="296"/>
      <c r="AL95" s="296"/>
      <c r="AM95" s="296"/>
      <c r="AN95" s="296"/>
      <c r="AO95" s="296"/>
      <c r="AP95" s="296"/>
      <c r="AQ95" s="296"/>
      <c r="AR95" s="296"/>
      <c r="AS95" s="296"/>
    </row>
    <row r="96" spans="4:45" x14ac:dyDescent="0.2">
      <c r="AF96" s="296"/>
      <c r="AG96" s="296"/>
      <c r="AH96" s="296"/>
      <c r="AI96" s="296"/>
      <c r="AJ96" s="296"/>
      <c r="AK96" s="296"/>
      <c r="AL96" s="296"/>
      <c r="AM96" s="296"/>
      <c r="AN96" s="296"/>
      <c r="AO96" s="296"/>
      <c r="AP96" s="296"/>
      <c r="AQ96" s="296"/>
      <c r="AR96" s="296"/>
      <c r="AS96" s="296"/>
    </row>
    <row r="97" spans="32:45" x14ac:dyDescent="0.2">
      <c r="AF97" s="296"/>
      <c r="AG97" s="296"/>
      <c r="AH97" s="296"/>
      <c r="AI97" s="296"/>
      <c r="AJ97" s="296"/>
      <c r="AK97" s="296"/>
      <c r="AL97" s="296"/>
      <c r="AM97" s="296"/>
      <c r="AN97" s="296"/>
      <c r="AO97" s="296"/>
      <c r="AP97" s="296"/>
      <c r="AQ97" s="296"/>
      <c r="AR97" s="296"/>
      <c r="AS97" s="296"/>
    </row>
    <row r="98" spans="32:45" x14ac:dyDescent="0.2">
      <c r="AF98" s="296"/>
      <c r="AG98" s="296"/>
      <c r="AH98" s="296"/>
      <c r="AI98" s="296"/>
      <c r="AJ98" s="296"/>
      <c r="AK98" s="296"/>
      <c r="AL98" s="296"/>
      <c r="AM98" s="296"/>
      <c r="AN98" s="296"/>
      <c r="AO98" s="296"/>
      <c r="AP98" s="296"/>
      <c r="AQ98" s="296"/>
      <c r="AR98" s="296"/>
      <c r="AS98" s="296"/>
    </row>
    <row r="99" spans="32:45" x14ac:dyDescent="0.2">
      <c r="AF99" s="296"/>
      <c r="AG99" s="296"/>
      <c r="AH99" s="296"/>
      <c r="AI99" s="296"/>
      <c r="AJ99" s="296"/>
      <c r="AK99" s="296"/>
      <c r="AL99" s="296"/>
      <c r="AM99" s="296"/>
      <c r="AN99" s="296"/>
      <c r="AO99" s="296"/>
      <c r="AP99" s="296"/>
      <c r="AQ99" s="296"/>
      <c r="AR99" s="296"/>
      <c r="AS99" s="296"/>
    </row>
    <row r="100" spans="32:45" x14ac:dyDescent="0.2">
      <c r="AF100" s="296"/>
      <c r="AG100" s="296"/>
      <c r="AH100" s="296"/>
      <c r="AI100" s="296"/>
      <c r="AJ100" s="296"/>
      <c r="AK100" s="296"/>
      <c r="AL100" s="296"/>
      <c r="AM100" s="296"/>
      <c r="AN100" s="296"/>
      <c r="AO100" s="296"/>
      <c r="AP100" s="296"/>
      <c r="AQ100" s="296"/>
      <c r="AR100" s="296"/>
      <c r="AS100" s="296"/>
    </row>
    <row r="101" spans="32:45" x14ac:dyDescent="0.2">
      <c r="AF101" s="296"/>
      <c r="AG101" s="296"/>
      <c r="AH101" s="296"/>
      <c r="AI101" s="296"/>
      <c r="AJ101" s="296"/>
      <c r="AK101" s="296"/>
      <c r="AL101" s="296"/>
      <c r="AM101" s="296"/>
      <c r="AN101" s="296"/>
      <c r="AO101" s="296"/>
      <c r="AP101" s="296"/>
      <c r="AQ101" s="296"/>
      <c r="AR101" s="296"/>
      <c r="AS101" s="296"/>
    </row>
    <row r="102" spans="32:45" x14ac:dyDescent="0.2">
      <c r="AF102" s="296"/>
      <c r="AG102" s="296"/>
      <c r="AH102" s="296"/>
      <c r="AI102" s="296"/>
      <c r="AJ102" s="296"/>
      <c r="AK102" s="296"/>
      <c r="AL102" s="296"/>
      <c r="AM102" s="296"/>
      <c r="AN102" s="296"/>
      <c r="AO102" s="296"/>
      <c r="AP102" s="296"/>
      <c r="AQ102" s="296"/>
      <c r="AR102" s="296"/>
      <c r="AS102" s="296"/>
    </row>
    <row r="103" spans="32:45" x14ac:dyDescent="0.2"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/>
      <c r="AR103" s="296"/>
      <c r="AS103" s="296"/>
    </row>
    <row r="104" spans="32:45" x14ac:dyDescent="0.2">
      <c r="AF104" s="296"/>
      <c r="AG104" s="296"/>
      <c r="AH104" s="296"/>
      <c r="AI104" s="296"/>
      <c r="AJ104" s="296"/>
      <c r="AK104" s="296"/>
      <c r="AL104" s="296"/>
      <c r="AM104" s="296"/>
      <c r="AN104" s="296"/>
      <c r="AO104" s="296"/>
      <c r="AP104" s="296"/>
      <c r="AQ104" s="296"/>
      <c r="AR104" s="296"/>
      <c r="AS104" s="296"/>
    </row>
    <row r="105" spans="32:45" x14ac:dyDescent="0.2">
      <c r="AF105" s="296"/>
      <c r="AG105" s="296"/>
      <c r="AH105" s="296"/>
      <c r="AI105" s="296"/>
      <c r="AJ105" s="296"/>
      <c r="AK105" s="296"/>
      <c r="AL105" s="296"/>
      <c r="AM105" s="296"/>
      <c r="AN105" s="296"/>
      <c r="AO105" s="296"/>
      <c r="AP105" s="296"/>
      <c r="AQ105" s="296"/>
      <c r="AR105" s="296"/>
      <c r="AS105" s="29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7"/>
  <sheetViews>
    <sheetView topLeftCell="A21" workbookViewId="0">
      <selection activeCell="E38" sqref="E38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27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8" t="s">
        <v>49</v>
      </c>
      <c r="Q3" s="529" t="s">
        <v>15</v>
      </c>
      <c r="R3" s="530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2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/>
      <c r="C13" s="11"/>
      <c r="D13" s="11"/>
      <c r="E13" s="129"/>
      <c r="F13" s="11"/>
      <c r="G13" s="11"/>
      <c r="H13" s="11">
        <f t="shared" si="0"/>
        <v>0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12" x14ac:dyDescent="0.2">
      <c r="A17" s="41">
        <v>16</v>
      </c>
      <c r="B17" s="129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7"/>
      <c r="L17" s="11"/>
      <c r="M17" s="11"/>
      <c r="N17" s="11"/>
      <c r="O17" s="11"/>
      <c r="P17" s="14">
        <f>SUM(P4:P16)</f>
        <v>113457</v>
      </c>
      <c r="R17" s="15">
        <f>SUM(R4:R16)</f>
        <v>465052.54</v>
      </c>
    </row>
    <row r="18" spans="1:18" ht="12.75" x14ac:dyDescent="0.2">
      <c r="A18" s="41">
        <v>17</v>
      </c>
      <c r="B18" s="129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55"/>
      <c r="L18" s="34"/>
      <c r="M18" s="34"/>
      <c r="N18" s="34"/>
      <c r="O18" s="34"/>
    </row>
    <row r="19" spans="1:18" x14ac:dyDescent="0.2">
      <c r="A19" s="41">
        <v>18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519"/>
      <c r="L19" s="11"/>
      <c r="M19" s="11"/>
      <c r="N19" s="11"/>
      <c r="O19" s="2"/>
      <c r="R19" s="15">
        <v>-591014.35</v>
      </c>
    </row>
    <row r="20" spans="1:18" x14ac:dyDescent="0.2">
      <c r="A20" s="41">
        <v>19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19"/>
      <c r="L20" s="11"/>
      <c r="M20" s="11"/>
      <c r="N20" s="11"/>
      <c r="O20" s="2"/>
      <c r="R20" s="15">
        <f>+R19+R17</f>
        <v>-125961.81</v>
      </c>
    </row>
    <row r="21" spans="1:18" x14ac:dyDescent="0.2">
      <c r="A21" s="41">
        <v>20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19"/>
      <c r="L21" s="11"/>
      <c r="M21" s="11"/>
      <c r="N21" s="11"/>
      <c r="O21" s="2"/>
    </row>
    <row r="22" spans="1:18" x14ac:dyDescent="0.2">
      <c r="A22" s="41">
        <v>21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19"/>
      <c r="L22" s="11"/>
      <c r="M22" s="11"/>
      <c r="N22" s="11"/>
      <c r="O22" s="2"/>
    </row>
    <row r="23" spans="1:18" x14ac:dyDescent="0.2">
      <c r="A23" s="41">
        <v>22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19"/>
      <c r="L23" s="11"/>
      <c r="M23" s="11"/>
      <c r="N23" s="11"/>
      <c r="O23" s="2"/>
    </row>
    <row r="24" spans="1:18" x14ac:dyDescent="0.2">
      <c r="A24" s="41">
        <v>23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19"/>
      <c r="L24" s="11"/>
      <c r="M24" s="11"/>
      <c r="N24" s="11"/>
      <c r="O24" s="2"/>
    </row>
    <row r="25" spans="1:18" x14ac:dyDescent="0.2">
      <c r="A25" s="41">
        <v>24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19"/>
      <c r="L25" s="11"/>
      <c r="M25" s="11"/>
      <c r="N25" s="11"/>
      <c r="O25" s="2"/>
    </row>
    <row r="26" spans="1:18" x14ac:dyDescent="0.2">
      <c r="A26" s="41">
        <v>25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9"/>
      <c r="L26" s="11"/>
      <c r="M26" s="11"/>
      <c r="N26" s="11"/>
    </row>
    <row r="27" spans="1:18" x14ac:dyDescent="0.2">
      <c r="A27" s="41">
        <v>26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9"/>
      <c r="L27" s="11"/>
      <c r="M27" s="11"/>
      <c r="N27" s="11"/>
    </row>
    <row r="28" spans="1:18" x14ac:dyDescent="0.2">
      <c r="A28" s="41">
        <v>27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9"/>
      <c r="L28" s="11"/>
      <c r="M28" s="11"/>
      <c r="N28" s="11"/>
    </row>
    <row r="29" spans="1:18" x14ac:dyDescent="0.2">
      <c r="A29" s="41">
        <v>28</v>
      </c>
      <c r="B29" s="11"/>
      <c r="C29" s="11"/>
      <c r="D29" s="129"/>
      <c r="E29" s="11"/>
      <c r="F29" s="11"/>
      <c r="G29" s="11"/>
      <c r="H29" s="11">
        <f t="shared" si="0"/>
        <v>0</v>
      </c>
      <c r="I29" s="11"/>
      <c r="J29" s="102"/>
      <c r="K29" s="519"/>
      <c r="L29" s="11"/>
      <c r="M29" s="11"/>
      <c r="N29" s="11"/>
    </row>
    <row r="30" spans="1:18" x14ac:dyDescent="0.2">
      <c r="A30" s="41">
        <v>29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9"/>
      <c r="L30" s="11"/>
      <c r="M30" s="11"/>
      <c r="N30" s="11"/>
    </row>
    <row r="31" spans="1:18" x14ac:dyDescent="0.2">
      <c r="A31" s="41">
        <v>30</v>
      </c>
      <c r="B31" s="11"/>
      <c r="C31" s="11"/>
      <c r="D31" s="11"/>
      <c r="E31" s="11"/>
      <c r="F31" s="11"/>
      <c r="G31" s="11"/>
      <c r="H31" s="11">
        <f t="shared" si="0"/>
        <v>0</v>
      </c>
      <c r="J31" s="104"/>
      <c r="K31" s="37"/>
    </row>
    <row r="32" spans="1:18" x14ac:dyDescent="0.2">
      <c r="A32" s="41">
        <v>31</v>
      </c>
      <c r="B32" s="42"/>
      <c r="C32" s="42"/>
      <c r="D32" s="42"/>
      <c r="E32" s="42"/>
      <c r="F32" s="42"/>
      <c r="G32" s="42"/>
      <c r="H32" s="42">
        <f t="shared" si="0"/>
        <v>0</v>
      </c>
      <c r="I32" s="11"/>
      <c r="J32" s="102"/>
      <c r="K32" s="519"/>
      <c r="L32" s="11"/>
      <c r="M32" s="11"/>
      <c r="N32" s="11"/>
    </row>
    <row r="33" spans="1:15" x14ac:dyDescent="0.2">
      <c r="A33" s="41"/>
      <c r="B33" s="11">
        <f t="shared" ref="B33:H33" si="3">SUM(B4:B32)</f>
        <v>-926758</v>
      </c>
      <c r="C33" s="44">
        <f t="shared" si="3"/>
        <v>-337712</v>
      </c>
      <c r="D33" s="11">
        <f t="shared" si="3"/>
        <v>0</v>
      </c>
      <c r="E33" s="44">
        <f t="shared" si="3"/>
        <v>-592561</v>
      </c>
      <c r="F33" s="11">
        <f t="shared" si="3"/>
        <v>0</v>
      </c>
      <c r="G33" s="11">
        <f t="shared" si="3"/>
        <v>0</v>
      </c>
      <c r="H33" s="11">
        <f t="shared" si="3"/>
        <v>-3515</v>
      </c>
      <c r="I33" s="11"/>
      <c r="J33" s="102"/>
      <c r="K33" s="519"/>
      <c r="L33" s="11"/>
      <c r="M33" s="11"/>
      <c r="N33" s="11"/>
    </row>
    <row r="34" spans="1:15" x14ac:dyDescent="0.2">
      <c r="A34" s="45"/>
      <c r="B34" s="16"/>
      <c r="C34" s="24"/>
      <c r="D34" s="24"/>
      <c r="E34" s="24"/>
      <c r="F34" s="24"/>
      <c r="G34" s="24"/>
      <c r="H34" s="46">
        <f>+summary!I4</f>
        <v>2.2000000000000002</v>
      </c>
      <c r="I34" s="11"/>
      <c r="J34" s="102"/>
      <c r="K34" s="519"/>
      <c r="L34" s="11"/>
      <c r="M34" s="11"/>
      <c r="N34" s="11"/>
    </row>
    <row r="35" spans="1:15" x14ac:dyDescent="0.2">
      <c r="B35" s="16"/>
      <c r="C35" s="14"/>
      <c r="D35" s="15"/>
      <c r="E35" s="15"/>
      <c r="F35" s="15"/>
      <c r="G35" s="15"/>
      <c r="H35" s="137">
        <f>+H34*H33</f>
        <v>-7733.0000000000009</v>
      </c>
      <c r="I35" s="11"/>
      <c r="J35" s="102"/>
      <c r="K35" s="519"/>
      <c r="L35" s="11"/>
      <c r="M35" s="11"/>
      <c r="N35" s="11"/>
    </row>
    <row r="36" spans="1:15" x14ac:dyDescent="0.2">
      <c r="C36" s="24"/>
      <c r="D36" s="47"/>
      <c r="E36" s="482">
        <v>37256</v>
      </c>
      <c r="F36" s="479"/>
      <c r="G36" s="265"/>
      <c r="H36" s="501">
        <v>-68258</v>
      </c>
      <c r="I36" s="262"/>
      <c r="J36" s="102"/>
      <c r="K36" s="520"/>
      <c r="L36" s="14"/>
      <c r="M36" s="14"/>
      <c r="N36" s="16"/>
    </row>
    <row r="37" spans="1:15" x14ac:dyDescent="0.2">
      <c r="C37" s="14"/>
      <c r="D37" s="47"/>
      <c r="E37" s="263">
        <v>37265</v>
      </c>
      <c r="F37" s="479"/>
      <c r="G37" s="479"/>
      <c r="H37" s="322">
        <f>+H36+H35</f>
        <v>-75991</v>
      </c>
      <c r="I37" s="262"/>
      <c r="J37" s="102"/>
      <c r="L37" s="15"/>
      <c r="M37" s="15"/>
      <c r="N37" s="46"/>
    </row>
    <row r="38" spans="1:15" x14ac:dyDescent="0.2">
      <c r="C38" s="14"/>
      <c r="D38" s="50"/>
      <c r="E38" s="483"/>
      <c r="F38" s="263"/>
      <c r="G38" s="483"/>
      <c r="H38" s="111"/>
      <c r="I38" s="51"/>
      <c r="J38" s="102"/>
      <c r="K38" s="521"/>
      <c r="L38" s="47"/>
      <c r="M38" s="48"/>
      <c r="N38" s="46"/>
    </row>
    <row r="39" spans="1:15" x14ac:dyDescent="0.2">
      <c r="C39" s="14"/>
      <c r="D39" s="50"/>
      <c r="E39" s="483"/>
      <c r="F39" s="263"/>
      <c r="G39" s="483"/>
      <c r="H39" s="111"/>
      <c r="I39" s="51"/>
      <c r="J39" s="102"/>
      <c r="L39" s="47"/>
      <c r="M39" s="47"/>
      <c r="N39" s="24"/>
    </row>
    <row r="40" spans="1:15" x14ac:dyDescent="0.2">
      <c r="A40" s="101"/>
      <c r="B40" s="11"/>
      <c r="C40" s="11"/>
      <c r="D40" s="11"/>
      <c r="E40" s="129"/>
      <c r="F40" s="129"/>
      <c r="G40" s="129"/>
      <c r="H40" s="129"/>
      <c r="I40" s="262"/>
      <c r="J40" s="102"/>
      <c r="K40" s="522"/>
      <c r="L40" s="50"/>
      <c r="M40" s="50"/>
      <c r="N40" s="106"/>
    </row>
    <row r="41" spans="1:15" x14ac:dyDescent="0.2">
      <c r="A41" s="101"/>
      <c r="B41" s="11"/>
      <c r="C41" s="11"/>
      <c r="D41" s="11"/>
      <c r="E41" s="129"/>
      <c r="F41" s="129"/>
      <c r="G41" s="129"/>
      <c r="H41" s="129"/>
      <c r="I41" s="262"/>
      <c r="J41" s="102"/>
      <c r="K41" s="522"/>
      <c r="L41" s="50"/>
      <c r="M41" s="50"/>
      <c r="N41" s="106"/>
    </row>
    <row r="42" spans="1:15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</row>
    <row r="43" spans="1:15" x14ac:dyDescent="0.2">
      <c r="A43" s="101"/>
      <c r="B43" s="32" t="s">
        <v>149</v>
      </c>
      <c r="E43" s="249"/>
      <c r="F43" s="129"/>
      <c r="G43" s="129"/>
      <c r="H43" s="129"/>
      <c r="I43" s="262"/>
      <c r="J43" s="102"/>
    </row>
    <row r="44" spans="1:15" x14ac:dyDescent="0.2">
      <c r="A44" s="101"/>
      <c r="B44" s="49">
        <f>+E36</f>
        <v>37256</v>
      </c>
      <c r="E44" s="491">
        <v>-5084</v>
      </c>
      <c r="F44" s="129"/>
      <c r="G44" s="129"/>
      <c r="H44" s="129">
        <f>27452*2.81</f>
        <v>77140.12</v>
      </c>
      <c r="I44" s="262"/>
      <c r="J44" s="102"/>
      <c r="L44" s="2"/>
    </row>
    <row r="45" spans="1:15" x14ac:dyDescent="0.2">
      <c r="A45" s="101"/>
      <c r="B45" s="49">
        <f>+E37</f>
        <v>37265</v>
      </c>
      <c r="E45" s="464">
        <f>+H33</f>
        <v>-3515</v>
      </c>
      <c r="F45" s="129"/>
      <c r="G45" s="129"/>
      <c r="H45" s="129"/>
      <c r="I45" s="262"/>
      <c r="J45" s="102"/>
      <c r="L45" s="2"/>
    </row>
    <row r="46" spans="1:15" x14ac:dyDescent="0.2">
      <c r="A46" s="101"/>
      <c r="E46" s="262">
        <f>+E45+E44</f>
        <v>-8599</v>
      </c>
      <c r="F46" s="129"/>
      <c r="G46" s="129"/>
      <c r="H46" s="129"/>
      <c r="I46" s="262"/>
      <c r="J46" s="102"/>
      <c r="K46" s="523"/>
      <c r="L46" s="38"/>
      <c r="M46" s="4"/>
    </row>
    <row r="47" spans="1:15" ht="12.75" x14ac:dyDescent="0.2">
      <c r="A47" s="101"/>
      <c r="B47" s="139"/>
      <c r="C47" s="119"/>
      <c r="D47" s="140"/>
      <c r="E47" s="484"/>
      <c r="F47" s="129"/>
      <c r="G47" s="129"/>
      <c r="H47" s="129"/>
      <c r="I47" s="485"/>
      <c r="J47" s="102"/>
      <c r="K47" s="524"/>
      <c r="L47" s="6"/>
      <c r="M47" s="6"/>
    </row>
    <row r="48" spans="1:15" x14ac:dyDescent="0.2">
      <c r="A48" s="101"/>
      <c r="B48" s="11"/>
      <c r="C48" s="11"/>
      <c r="D48" s="11"/>
      <c r="E48" s="11"/>
      <c r="F48" s="11"/>
      <c r="G48" s="11"/>
      <c r="H48" s="11"/>
      <c r="I48" s="11"/>
      <c r="J48" s="102"/>
      <c r="K48" s="519"/>
      <c r="L48" s="11"/>
      <c r="M48" s="11"/>
      <c r="N48" s="11"/>
      <c r="O48" s="16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11"/>
      <c r="J49" s="102"/>
      <c r="K49" s="519"/>
      <c r="L49" s="11"/>
      <c r="M49" s="11"/>
      <c r="N49" s="11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9"/>
      <c r="L50" s="11"/>
      <c r="M50" s="11"/>
      <c r="N50" s="11"/>
    </row>
    <row r="51" spans="1:15" x14ac:dyDescent="0.2">
      <c r="A51" s="101"/>
      <c r="B51" s="11"/>
      <c r="C51" s="11"/>
      <c r="D51" s="11"/>
      <c r="E51" s="103"/>
      <c r="F51" s="11"/>
      <c r="G51" s="11"/>
      <c r="H51" s="11"/>
      <c r="I51" s="11"/>
      <c r="J51" s="102"/>
      <c r="K51" s="519"/>
      <c r="L51" s="11"/>
      <c r="M51" s="11"/>
      <c r="N51" s="11"/>
    </row>
    <row r="52" spans="1:15" x14ac:dyDescent="0.2">
      <c r="A52" s="101"/>
      <c r="B52" s="11"/>
      <c r="C52" s="11"/>
      <c r="D52" s="11"/>
      <c r="E52" s="103"/>
      <c r="F52" s="11"/>
      <c r="G52" s="11"/>
      <c r="H52" s="11"/>
      <c r="I52" s="11"/>
      <c r="J52" s="102"/>
      <c r="K52" s="519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519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519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9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9"/>
      <c r="L56" s="11"/>
      <c r="M56" s="11"/>
      <c r="N56" s="11"/>
    </row>
    <row r="57" spans="1:15" x14ac:dyDescent="0.2">
      <c r="A57" s="107"/>
      <c r="B57" s="11"/>
      <c r="C57" s="11"/>
      <c r="D57" s="11"/>
      <c r="E57" s="11"/>
      <c r="F57" s="11"/>
      <c r="G57" s="11"/>
      <c r="H57" s="11"/>
      <c r="I57" s="11"/>
      <c r="J57" s="102"/>
      <c r="K57" s="519"/>
      <c r="L57" s="11"/>
      <c r="M57" s="11"/>
      <c r="N57" s="11"/>
    </row>
    <row r="58" spans="1:15" x14ac:dyDescent="0.2">
      <c r="A58" s="107"/>
      <c r="B58" s="11"/>
      <c r="C58" s="11"/>
      <c r="D58" s="11"/>
      <c r="E58" s="11"/>
      <c r="F58" s="11"/>
      <c r="G58" s="11"/>
      <c r="H58" s="11"/>
      <c r="I58" s="11"/>
      <c r="J58" s="102"/>
      <c r="K58" s="519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9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9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9"/>
      <c r="L61" s="11"/>
      <c r="M61" s="11"/>
      <c r="N61" s="11"/>
    </row>
    <row r="62" spans="1:15" x14ac:dyDescent="0.2">
      <c r="A62" s="107"/>
      <c r="B62" s="11"/>
      <c r="C62" s="11"/>
      <c r="D62" s="108"/>
      <c r="E62" s="11"/>
      <c r="F62" s="11"/>
      <c r="G62" s="11"/>
      <c r="H62" s="11"/>
      <c r="I62" s="11"/>
      <c r="J62" s="102"/>
      <c r="K62" s="519"/>
      <c r="L62" s="11"/>
      <c r="M62" s="11"/>
      <c r="N62" s="11"/>
      <c r="O62" s="16"/>
    </row>
    <row r="63" spans="1:15" x14ac:dyDescent="0.2">
      <c r="A63" s="101"/>
      <c r="B63" s="11"/>
      <c r="C63" s="11"/>
      <c r="D63" s="108"/>
      <c r="E63" s="11"/>
      <c r="F63" s="11"/>
      <c r="G63" s="11"/>
      <c r="H63" s="11"/>
      <c r="I63" s="11"/>
      <c r="J63" s="102"/>
      <c r="K63" s="519"/>
      <c r="L63" s="11"/>
      <c r="M63" s="11"/>
      <c r="N63" s="11"/>
    </row>
    <row r="64" spans="1:15" x14ac:dyDescent="0.2">
      <c r="A64" s="101"/>
      <c r="B64" s="11"/>
      <c r="C64" s="11"/>
      <c r="D64" s="11"/>
      <c r="E64" s="11"/>
      <c r="F64" s="11"/>
      <c r="G64" s="11"/>
      <c r="H64" s="11"/>
      <c r="I64" s="11"/>
      <c r="J64" s="102"/>
      <c r="K64" s="519"/>
      <c r="L64" s="11"/>
      <c r="M64" s="11"/>
      <c r="N64" s="11"/>
    </row>
    <row r="65" spans="1:14" x14ac:dyDescent="0.2">
      <c r="A65" s="101"/>
      <c r="B65" s="11"/>
      <c r="C65" s="11"/>
      <c r="D65" s="11"/>
      <c r="E65" s="11"/>
      <c r="F65" s="11"/>
      <c r="G65" s="11"/>
      <c r="H65" s="11"/>
      <c r="I65" s="11"/>
      <c r="J65" s="102"/>
      <c r="K65" s="519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9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9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J68" s="102"/>
      <c r="K68" s="519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J69" s="102"/>
      <c r="K69" s="519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9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9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9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9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I74" s="11"/>
      <c r="J74" s="102"/>
      <c r="K74" s="519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I75" s="11"/>
      <c r="J75" s="102"/>
      <c r="K75" s="519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9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9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9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9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281"/>
      <c r="L80" s="24"/>
      <c r="M80" s="24"/>
      <c r="N80" s="25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L81" s="15"/>
      <c r="M81" s="15"/>
      <c r="N81" s="46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521"/>
      <c r="L82" s="47"/>
      <c r="M82" s="48"/>
      <c r="N82" s="46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47"/>
      <c r="M83" s="47"/>
      <c r="N83" s="24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22"/>
      <c r="L84" s="50"/>
      <c r="M84" s="50"/>
      <c r="N84" s="10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522"/>
      <c r="L85" s="50"/>
      <c r="M85" s="50"/>
      <c r="N85" s="106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J86" s="102"/>
    </row>
    <row r="87" spans="1:14" x14ac:dyDescent="0.2">
      <c r="A87" s="41"/>
      <c r="B87" s="11"/>
      <c r="C87" s="11"/>
      <c r="D87" s="11"/>
      <c r="E87" s="11"/>
      <c r="F87" s="11"/>
      <c r="G87" s="11"/>
      <c r="H87" s="11"/>
      <c r="J87" s="104"/>
      <c r="L87" s="2"/>
    </row>
    <row r="88" spans="1:14" x14ac:dyDescent="0.2">
      <c r="A88" s="45"/>
      <c r="C88" s="14"/>
      <c r="D88" s="14"/>
      <c r="E88" s="14"/>
      <c r="F88" s="14"/>
      <c r="G88" s="14"/>
      <c r="H88" s="16"/>
      <c r="J88" s="38"/>
      <c r="K88" s="523"/>
      <c r="L88" s="38"/>
      <c r="M88" s="4"/>
    </row>
    <row r="89" spans="1:14" x14ac:dyDescent="0.2">
      <c r="C89" s="15"/>
      <c r="D89" s="15"/>
      <c r="E89" s="15"/>
      <c r="F89" s="15"/>
      <c r="G89" s="15"/>
      <c r="H89" s="46"/>
      <c r="I89" s="40"/>
      <c r="J89" s="6"/>
      <c r="K89" s="524"/>
      <c r="L89" s="6"/>
      <c r="M89" s="6"/>
    </row>
    <row r="90" spans="1:14" x14ac:dyDescent="0.2">
      <c r="I90" s="11"/>
      <c r="J90" s="11"/>
      <c r="K90" s="519"/>
      <c r="L90" s="11"/>
      <c r="M90" s="11"/>
      <c r="N90" s="11"/>
    </row>
    <row r="91" spans="1:14" x14ac:dyDescent="0.2">
      <c r="G91" s="41"/>
      <c r="H91" s="11"/>
      <c r="I91" s="11"/>
      <c r="J91" s="11"/>
      <c r="K91" s="519"/>
      <c r="L91" s="11"/>
      <c r="M91" s="11"/>
      <c r="N91" s="11"/>
    </row>
    <row r="92" spans="1:14" x14ac:dyDescent="0.2">
      <c r="G92" s="41"/>
      <c r="H92" s="11"/>
      <c r="I92" s="11"/>
      <c r="J92" s="11"/>
      <c r="K92" s="519"/>
      <c r="L92" s="11"/>
      <c r="M92" s="11"/>
      <c r="N92" s="11"/>
    </row>
    <row r="93" spans="1:14" x14ac:dyDescent="0.2">
      <c r="G93" s="41"/>
      <c r="H93" s="11"/>
      <c r="I93" s="11"/>
      <c r="J93" s="11"/>
      <c r="K93" s="519"/>
      <c r="L93" s="11"/>
      <c r="M93" s="11"/>
      <c r="N93" s="11"/>
    </row>
    <row r="94" spans="1:14" x14ac:dyDescent="0.2">
      <c r="G94" s="41"/>
      <c r="H94" s="11"/>
      <c r="I94" s="11"/>
      <c r="J94" s="11"/>
      <c r="K94" s="519"/>
      <c r="L94" s="11"/>
      <c r="M94" s="11"/>
      <c r="N94" s="11"/>
    </row>
    <row r="95" spans="1:14" x14ac:dyDescent="0.2">
      <c r="G95" s="41"/>
      <c r="H95" s="11"/>
      <c r="I95" s="11"/>
      <c r="J95" s="11"/>
      <c r="K95" s="519"/>
      <c r="L95" s="11"/>
      <c r="M95" s="11"/>
      <c r="N95" s="11"/>
    </row>
    <row r="96" spans="1:14" x14ac:dyDescent="0.2">
      <c r="G96" s="41"/>
      <c r="H96" s="11"/>
      <c r="I96" s="11"/>
      <c r="J96" s="11"/>
      <c r="K96" s="519"/>
      <c r="L96" s="11"/>
      <c r="M96" s="11"/>
      <c r="N96" s="11"/>
    </row>
    <row r="97" spans="7:14" x14ac:dyDescent="0.2">
      <c r="G97" s="41"/>
      <c r="H97" s="11"/>
      <c r="I97" s="11"/>
      <c r="J97" s="11"/>
      <c r="K97" s="519"/>
      <c r="L97" s="11"/>
      <c r="M97" s="11"/>
      <c r="N97" s="11"/>
    </row>
    <row r="98" spans="7:14" x14ac:dyDescent="0.2">
      <c r="G98" s="41"/>
      <c r="H98" s="11"/>
      <c r="I98" s="11"/>
      <c r="J98" s="11"/>
      <c r="K98" s="519"/>
      <c r="L98" s="11"/>
      <c r="M98" s="11"/>
      <c r="N98" s="11"/>
    </row>
    <row r="99" spans="7:14" x14ac:dyDescent="0.2">
      <c r="G99" s="41"/>
      <c r="H99" s="11"/>
      <c r="I99" s="11"/>
      <c r="J99" s="11"/>
      <c r="K99" s="519"/>
      <c r="L99" s="11"/>
      <c r="M99" s="11"/>
      <c r="N99" s="11"/>
    </row>
    <row r="100" spans="7:14" x14ac:dyDescent="0.2">
      <c r="G100" s="41"/>
      <c r="H100" s="11"/>
      <c r="I100" s="11"/>
      <c r="J100" s="11"/>
      <c r="K100" s="519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9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9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9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9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9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9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9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9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9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9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9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9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9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9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9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9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9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9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9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9"/>
      <c r="L120" s="11"/>
      <c r="M120" s="11"/>
      <c r="N120" s="11"/>
    </row>
    <row r="121" spans="7:14" x14ac:dyDescent="0.2">
      <c r="G121" s="45"/>
      <c r="I121" s="24"/>
      <c r="J121" s="24"/>
      <c r="K121" s="281"/>
      <c r="L121" s="24"/>
      <c r="M121" s="24"/>
      <c r="N121" s="25"/>
    </row>
    <row r="122" spans="7:14" x14ac:dyDescent="0.2">
      <c r="J122" s="15"/>
      <c r="L122" s="15"/>
      <c r="M122" s="15"/>
      <c r="N122" s="46"/>
    </row>
    <row r="123" spans="7:14" x14ac:dyDescent="0.2">
      <c r="I123" s="24"/>
      <c r="J123" s="47"/>
      <c r="K123" s="521"/>
      <c r="L123" s="47"/>
      <c r="M123" s="48"/>
      <c r="N123" s="46"/>
    </row>
    <row r="124" spans="7:14" x14ac:dyDescent="0.2">
      <c r="J124" s="47"/>
      <c r="L124" s="47"/>
      <c r="M124" s="47"/>
      <c r="N124" s="24"/>
    </row>
    <row r="125" spans="7:14" x14ac:dyDescent="0.2">
      <c r="G125" s="57"/>
      <c r="J125" s="50"/>
      <c r="K125" s="522"/>
      <c r="L125" s="50"/>
      <c r="M125" s="50"/>
      <c r="N125" s="106"/>
    </row>
    <row r="126" spans="7:14" x14ac:dyDescent="0.2">
      <c r="G126" s="57"/>
      <c r="J126" s="50"/>
      <c r="K126" s="522"/>
      <c r="L126" s="50"/>
      <c r="M126" s="50"/>
      <c r="N126" s="109"/>
    </row>
    <row r="130" spans="7:14" x14ac:dyDescent="0.2">
      <c r="G130" s="37"/>
      <c r="L130" s="2"/>
    </row>
    <row r="131" spans="7:14" x14ac:dyDescent="0.2">
      <c r="G131" s="2"/>
      <c r="H131" s="2"/>
      <c r="J131" s="38"/>
      <c r="K131" s="523"/>
      <c r="L131" s="38"/>
      <c r="M131" s="4"/>
    </row>
    <row r="132" spans="7:14" x14ac:dyDescent="0.2">
      <c r="G132" s="39"/>
      <c r="H132" s="6"/>
      <c r="I132" s="40"/>
      <c r="J132" s="6"/>
      <c r="K132" s="524"/>
      <c r="L132" s="6"/>
      <c r="M132" s="6"/>
    </row>
    <row r="133" spans="7:14" x14ac:dyDescent="0.2">
      <c r="G133" s="41"/>
      <c r="H133" s="11"/>
      <c r="I133" s="11"/>
      <c r="J133" s="11"/>
      <c r="K133" s="519"/>
      <c r="L133" s="11"/>
      <c r="M133" s="11"/>
      <c r="N133" s="11"/>
    </row>
    <row r="134" spans="7:14" x14ac:dyDescent="0.2">
      <c r="G134" s="41"/>
      <c r="H134" s="11"/>
      <c r="I134" s="11"/>
      <c r="J134" s="11"/>
      <c r="K134" s="519"/>
      <c r="L134" s="11"/>
      <c r="M134" s="11"/>
      <c r="N134" s="11"/>
    </row>
    <row r="135" spans="7:14" x14ac:dyDescent="0.2">
      <c r="G135" s="41"/>
      <c r="H135" s="11"/>
      <c r="I135" s="11"/>
      <c r="J135" s="11"/>
      <c r="K135" s="519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9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9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9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9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9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9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9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9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9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9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9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9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9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9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9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9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9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9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9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9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9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9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9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9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9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9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9"/>
      <c r="L162" s="11"/>
      <c r="M162" s="11"/>
      <c r="N162" s="11"/>
    </row>
    <row r="163" spans="7:14" x14ac:dyDescent="0.2">
      <c r="G163" s="41"/>
      <c r="H163" s="42"/>
      <c r="I163" s="42"/>
      <c r="J163" s="42"/>
      <c r="K163" s="525"/>
      <c r="L163" s="42"/>
      <c r="M163" s="42"/>
      <c r="N163" s="42"/>
    </row>
    <row r="164" spans="7:14" x14ac:dyDescent="0.2">
      <c r="G164" s="41"/>
      <c r="H164" s="11"/>
      <c r="I164" s="44"/>
      <c r="J164" s="11"/>
      <c r="K164" s="526"/>
      <c r="L164" s="11"/>
      <c r="M164" s="11"/>
      <c r="N164" s="11"/>
    </row>
    <row r="165" spans="7:14" x14ac:dyDescent="0.2">
      <c r="G165" s="45"/>
      <c r="I165" s="24"/>
      <c r="J165" s="24"/>
      <c r="K165" s="281"/>
      <c r="L165" s="24"/>
      <c r="M165" s="24"/>
      <c r="N165" s="25"/>
    </row>
    <row r="166" spans="7:14" x14ac:dyDescent="0.2">
      <c r="J166" s="15"/>
      <c r="L166" s="15"/>
      <c r="M166" s="15"/>
      <c r="N166" s="46"/>
    </row>
    <row r="167" spans="7:14" x14ac:dyDescent="0.2">
      <c r="I167" s="24"/>
      <c r="J167" s="47"/>
      <c r="K167" s="521"/>
      <c r="L167" s="47"/>
      <c r="M167" s="48"/>
      <c r="N167" s="110"/>
    </row>
    <row r="168" spans="7:14" x14ac:dyDescent="0.2">
      <c r="J168" s="47"/>
      <c r="L168" s="47"/>
      <c r="M168" s="47"/>
      <c r="N168" s="24"/>
    </row>
    <row r="169" spans="7:14" x14ac:dyDescent="0.2">
      <c r="J169" s="50"/>
      <c r="K169" s="522"/>
      <c r="L169" s="57"/>
      <c r="M169" s="50"/>
      <c r="N169" s="106"/>
    </row>
    <row r="170" spans="7:14" x14ac:dyDescent="0.2">
      <c r="J170" s="50"/>
      <c r="K170" s="522"/>
      <c r="L170" s="57"/>
      <c r="M170" s="50"/>
      <c r="N170" s="109"/>
    </row>
    <row r="174" spans="7:14" x14ac:dyDescent="0.2">
      <c r="G174" s="37"/>
      <c r="L174" s="2"/>
    </row>
    <row r="175" spans="7:14" x14ac:dyDescent="0.2">
      <c r="G175" s="2"/>
      <c r="H175" s="2"/>
      <c r="J175" s="38"/>
      <c r="K175" s="523"/>
      <c r="L175" s="38"/>
      <c r="M175" s="4"/>
    </row>
    <row r="176" spans="7:14" x14ac:dyDescent="0.2">
      <c r="G176" s="39"/>
      <c r="H176" s="6"/>
      <c r="I176" s="40"/>
      <c r="J176" s="6"/>
      <c r="K176" s="524"/>
      <c r="L176" s="6"/>
      <c r="M176" s="6"/>
    </row>
    <row r="177" spans="7:14" x14ac:dyDescent="0.2">
      <c r="G177" s="41"/>
      <c r="H177" s="11"/>
      <c r="I177" s="11"/>
      <c r="J177" s="11"/>
      <c r="K177" s="519"/>
      <c r="L177" s="11"/>
      <c r="M177" s="11"/>
      <c r="N177" s="11"/>
    </row>
    <row r="178" spans="7:14" x14ac:dyDescent="0.2">
      <c r="G178" s="41"/>
      <c r="H178" s="11"/>
      <c r="I178" s="11"/>
      <c r="J178" s="11"/>
      <c r="K178" s="519"/>
      <c r="L178" s="11"/>
      <c r="M178" s="11"/>
      <c r="N178" s="11"/>
    </row>
    <row r="179" spans="7:14" x14ac:dyDescent="0.2">
      <c r="G179" s="41"/>
      <c r="H179" s="11"/>
      <c r="I179" s="11"/>
      <c r="J179" s="11"/>
      <c r="K179" s="519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9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9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9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9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9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9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9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9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9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9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9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9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9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9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9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9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9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9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9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9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9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9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9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9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9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9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9"/>
      <c r="L206" s="11"/>
      <c r="M206" s="11"/>
      <c r="N206" s="11"/>
    </row>
    <row r="207" spans="7:14" x14ac:dyDescent="0.2">
      <c r="G207" s="41"/>
      <c r="H207" s="42"/>
      <c r="I207" s="42"/>
      <c r="J207" s="42"/>
      <c r="K207" s="525"/>
      <c r="L207" s="42"/>
      <c r="M207" s="42"/>
      <c r="N207" s="42"/>
    </row>
    <row r="208" spans="7:14" x14ac:dyDescent="0.2">
      <c r="G208" s="41"/>
      <c r="H208" s="11"/>
      <c r="I208" s="44"/>
      <c r="J208" s="11"/>
      <c r="K208" s="526"/>
      <c r="L208" s="11"/>
      <c r="M208" s="11"/>
      <c r="N208" s="11"/>
    </row>
    <row r="209" spans="7:14" x14ac:dyDescent="0.2">
      <c r="G209" s="45"/>
      <c r="I209" s="24"/>
      <c r="J209" s="24"/>
      <c r="K209" s="281"/>
      <c r="L209" s="24"/>
      <c r="M209" s="24"/>
      <c r="N209" s="25"/>
    </row>
    <row r="210" spans="7:14" x14ac:dyDescent="0.2">
      <c r="J210" s="15"/>
      <c r="L210" s="15"/>
      <c r="M210" s="15"/>
      <c r="N210" s="46"/>
    </row>
    <row r="211" spans="7:14" x14ac:dyDescent="0.2">
      <c r="I211" s="24"/>
      <c r="J211" s="47"/>
      <c r="K211" s="521"/>
      <c r="L211" s="47"/>
      <c r="M211" s="48"/>
      <c r="N211" s="110"/>
    </row>
    <row r="212" spans="7:14" x14ac:dyDescent="0.2">
      <c r="J212" s="47"/>
      <c r="L212" s="47"/>
      <c r="M212" s="47"/>
      <c r="N212" s="24"/>
    </row>
    <row r="213" spans="7:14" x14ac:dyDescent="0.2">
      <c r="J213" s="50"/>
      <c r="K213" s="522"/>
      <c r="L213" s="57"/>
      <c r="M213" s="50"/>
      <c r="N213" s="106"/>
    </row>
    <row r="214" spans="7:14" x14ac:dyDescent="0.2">
      <c r="J214" s="50"/>
      <c r="K214" s="522"/>
      <c r="L214" s="57"/>
      <c r="M214" s="50"/>
      <c r="N214" s="111"/>
    </row>
    <row r="217" spans="7:14" x14ac:dyDescent="0.2">
      <c r="G217" s="37"/>
      <c r="L217" s="2"/>
    </row>
    <row r="218" spans="7:14" x14ac:dyDescent="0.2">
      <c r="G218" s="2"/>
      <c r="H218" s="2"/>
      <c r="J218" s="38"/>
      <c r="K218" s="523"/>
      <c r="L218" s="38"/>
      <c r="M218" s="4"/>
    </row>
    <row r="219" spans="7:14" x14ac:dyDescent="0.2">
      <c r="G219" s="39"/>
      <c r="H219" s="6"/>
      <c r="I219" s="40"/>
      <c r="J219" s="6"/>
      <c r="K219" s="524"/>
      <c r="L219" s="6"/>
      <c r="M219" s="6"/>
    </row>
    <row r="220" spans="7:14" x14ac:dyDescent="0.2">
      <c r="G220" s="41"/>
      <c r="H220" s="11"/>
      <c r="I220" s="11"/>
      <c r="J220" s="11"/>
      <c r="K220" s="519"/>
      <c r="L220" s="11"/>
      <c r="M220" s="11"/>
      <c r="N220" s="11"/>
    </row>
    <row r="221" spans="7:14" x14ac:dyDescent="0.2">
      <c r="G221" s="41"/>
      <c r="H221" s="11"/>
      <c r="I221" s="11"/>
      <c r="J221" s="11"/>
      <c r="K221" s="519"/>
      <c r="L221" s="11"/>
      <c r="M221" s="11"/>
      <c r="N221" s="11"/>
    </row>
    <row r="222" spans="7:14" x14ac:dyDescent="0.2">
      <c r="G222" s="41"/>
      <c r="H222" s="11"/>
      <c r="I222" s="11"/>
      <c r="J222" s="11"/>
      <c r="K222" s="519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9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9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9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9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9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9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9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9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9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9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9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9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9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9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9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9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9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9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9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9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9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9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9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9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9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9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9"/>
      <c r="L249" s="11"/>
      <c r="M249" s="11"/>
      <c r="N249" s="11"/>
    </row>
    <row r="250" spans="7:14" x14ac:dyDescent="0.2">
      <c r="G250" s="41"/>
      <c r="H250" s="42"/>
      <c r="I250" s="42"/>
      <c r="J250" s="42"/>
      <c r="K250" s="525"/>
      <c r="L250" s="42"/>
      <c r="M250" s="42"/>
      <c r="N250" s="42"/>
    </row>
    <row r="251" spans="7:14" x14ac:dyDescent="0.2">
      <c r="G251" s="41"/>
      <c r="H251" s="11"/>
      <c r="I251" s="44"/>
      <c r="J251" s="11"/>
      <c r="K251" s="526"/>
      <c r="L251" s="11"/>
      <c r="M251" s="11"/>
      <c r="N251" s="11"/>
    </row>
    <row r="252" spans="7:14" x14ac:dyDescent="0.2">
      <c r="G252" s="45"/>
      <c r="I252" s="24"/>
      <c r="J252" s="24"/>
      <c r="K252" s="281"/>
      <c r="L252" s="24"/>
      <c r="M252" s="24"/>
      <c r="N252" s="25"/>
    </row>
    <row r="253" spans="7:14" x14ac:dyDescent="0.2">
      <c r="J253" s="15"/>
      <c r="L253" s="15"/>
      <c r="M253" s="15"/>
      <c r="N253" s="46"/>
    </row>
    <row r="254" spans="7:14" x14ac:dyDescent="0.2">
      <c r="I254" s="24"/>
      <c r="J254" s="47"/>
      <c r="K254" s="521"/>
      <c r="L254" s="47"/>
      <c r="M254" s="48"/>
      <c r="N254" s="110"/>
    </row>
    <row r="255" spans="7:14" x14ac:dyDescent="0.2">
      <c r="J255" s="47"/>
      <c r="L255" s="47"/>
      <c r="M255" s="47"/>
      <c r="N255" s="24"/>
    </row>
    <row r="256" spans="7:14" x14ac:dyDescent="0.2">
      <c r="J256" s="50"/>
      <c r="K256" s="522"/>
      <c r="L256" s="57"/>
      <c r="M256" s="50"/>
      <c r="N256" s="106"/>
    </row>
    <row r="257" spans="10:14" x14ac:dyDescent="0.2">
      <c r="J257" s="50"/>
      <c r="K257" s="522"/>
      <c r="L257" s="57"/>
      <c r="M257" s="50"/>
      <c r="N257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9" workbookViewId="0">
      <selection activeCell="E37" sqref="E3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-2690037</v>
      </c>
      <c r="E36" s="11">
        <f t="shared" si="15"/>
        <v>-2685913</v>
      </c>
      <c r="F36" s="11">
        <f t="shared" si="15"/>
        <v>0</v>
      </c>
      <c r="G36" s="11">
        <f t="shared" si="15"/>
        <v>0</v>
      </c>
      <c r="H36" s="11">
        <f t="shared" si="15"/>
        <v>4124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4124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47">
        <v>64269</v>
      </c>
      <c r="D38" s="323"/>
      <c r="E38" s="548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37265</v>
      </c>
      <c r="B39" s="2" t="s">
        <v>45</v>
      </c>
      <c r="C39" s="131">
        <f>+C38+C37</f>
        <v>64269</v>
      </c>
      <c r="D39" s="252"/>
      <c r="E39" s="131">
        <f>+E38+E37</f>
        <v>-18035</v>
      </c>
      <c r="F39" s="252"/>
      <c r="G39" s="131"/>
      <c r="H39" s="131">
        <f>+H38+H36</f>
        <v>46234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8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9">
        <v>-1582961.01</v>
      </c>
      <c r="D44" s="205"/>
      <c r="E44" s="560">
        <v>1039794.5</v>
      </c>
      <c r="F44" s="47">
        <f>+E44+C44</f>
        <v>-543166.51</v>
      </c>
      <c r="G44" s="247">
        <f>+G42-G43</f>
        <v>15616</v>
      </c>
      <c r="H44" s="38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37265</v>
      </c>
      <c r="B45" s="32"/>
      <c r="C45" s="47">
        <f>+C37*summary!I4</f>
        <v>0</v>
      </c>
      <c r="D45" s="205"/>
      <c r="E45" s="382">
        <f>+E37*summary!I3</f>
        <v>8866.6</v>
      </c>
      <c r="F45" s="47">
        <f>+E45+C45</f>
        <v>8866.6</v>
      </c>
      <c r="G45" s="247"/>
      <c r="H45" s="38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82">
        <v>925707</v>
      </c>
      <c r="F46" s="47">
        <f>+E46+C46</f>
        <v>-657254.01</v>
      </c>
      <c r="G46" s="247"/>
      <c r="H46" s="38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82"/>
      <c r="D47" s="382"/>
      <c r="E47" s="382"/>
      <c r="F47" s="47"/>
      <c r="G47" s="247"/>
      <c r="H47" s="38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7" workbookViewId="0">
      <selection activeCell="C41" sqref="C41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62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145995</v>
      </c>
      <c r="C17" s="11">
        <v>146796</v>
      </c>
      <c r="D17" s="11">
        <v>-13771</v>
      </c>
      <c r="E17" s="11">
        <v>-13033</v>
      </c>
      <c r="F17" s="11">
        <f t="shared" si="5"/>
        <v>1539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508">
        <f>+A45</f>
        <v>37266</v>
      </c>
      <c r="I23" s="11">
        <f>+B39</f>
        <v>1463878</v>
      </c>
      <c r="J23" s="11">
        <f>+C39</f>
        <v>1454719</v>
      </c>
      <c r="K23" s="11">
        <f>+D39</f>
        <v>101855</v>
      </c>
      <c r="L23" s="11">
        <f>+E39</f>
        <v>104264</v>
      </c>
      <c r="M23" s="42">
        <f>+J23-I23+L23-K23</f>
        <v>-6750</v>
      </c>
      <c r="N23" s="102">
        <f>+summary!I3</f>
        <v>2.15</v>
      </c>
      <c r="O23" s="510">
        <f>+N23*M23</f>
        <v>-14512.5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509">
        <f>SUM(M9:M23)</f>
        <v>83050</v>
      </c>
      <c r="N24" s="102"/>
      <c r="O24" s="102">
        <f>SUM(O9:O23)</f>
        <v>553603.83999999997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9"/>
      <c r="H25" s="50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6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6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6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1463878</v>
      </c>
      <c r="C39" s="150">
        <f>SUM(C8:C38)</f>
        <v>1454719</v>
      </c>
      <c r="D39" s="150">
        <f>SUM(D8:D38)</f>
        <v>101855</v>
      </c>
      <c r="E39" s="150">
        <f>SUM(E8:E38)</f>
        <v>104264</v>
      </c>
      <c r="F39" s="11">
        <f t="shared" si="5"/>
        <v>-6750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50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7"/>
      <c r="D44" s="111"/>
      <c r="E44" s="467"/>
      <c r="F44" s="499">
        <v>30246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37266</v>
      </c>
      <c r="B45" s="32"/>
      <c r="C45" s="106"/>
      <c r="D45" s="106"/>
      <c r="E45" s="106"/>
      <c r="F45" s="24">
        <f>+F44+F39</f>
        <v>23496</v>
      </c>
      <c r="G45" s="309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311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9">
        <v>434618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37266</v>
      </c>
      <c r="B51" s="32"/>
      <c r="C51" s="32"/>
      <c r="D51" s="355">
        <f>+F39*summary!I3</f>
        <v>-14512.5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420105.5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8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8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8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8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10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27</vt:i4>
      </vt:variant>
    </vt:vector>
  </HeadingPairs>
  <TitlesOfParts>
    <vt:vector size="7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2002-01-11T20:45:10Z</cp:lastPrinted>
  <dcterms:created xsi:type="dcterms:W3CDTF">2000-03-28T16:52:23Z</dcterms:created>
  <dcterms:modified xsi:type="dcterms:W3CDTF">2014-09-03T14:32:55Z</dcterms:modified>
</cp:coreProperties>
</file>