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type_area'!$A$2:$L$52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summary!$A$2:$J$58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 s="1"/>
  <c r="B7" i="8"/>
  <c r="D7" i="8"/>
  <c r="B8" i="8"/>
  <c r="D8" i="8" s="1"/>
  <c r="B9" i="8"/>
  <c r="D9" i="8" s="1"/>
  <c r="D10" i="8"/>
  <c r="D11" i="8"/>
  <c r="B12" i="8"/>
  <c r="D12" i="8"/>
  <c r="B13" i="8"/>
  <c r="D13" i="8" s="1"/>
  <c r="D14" i="8"/>
  <c r="D15" i="8"/>
  <c r="B16" i="8"/>
  <c r="D16" i="8" s="1"/>
  <c r="B17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J3" i="80"/>
  <c r="J58" i="80" s="1"/>
  <c r="K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K58" i="80"/>
  <c r="F67" i="80"/>
  <c r="F68" i="80"/>
  <c r="F69" i="80"/>
  <c r="F70" i="80"/>
  <c r="F74" i="80"/>
  <c r="F75" i="80"/>
  <c r="F76" i="80"/>
  <c r="F77" i="80"/>
  <c r="F81" i="80"/>
  <c r="F82" i="80"/>
  <c r="F83" i="80"/>
  <c r="F84" i="80"/>
  <c r="A129" i="80"/>
  <c r="D6" i="74"/>
  <c r="D7" i="74"/>
  <c r="D8" i="74"/>
  <c r="J8" i="74"/>
  <c r="L8" i="74"/>
  <c r="D9" i="74"/>
  <c r="J9" i="74"/>
  <c r="L9" i="74"/>
  <c r="M9" i="74"/>
  <c r="M10" i="74" s="1"/>
  <c r="D10" i="74"/>
  <c r="J10" i="74"/>
  <c r="L10" i="74" s="1"/>
  <c r="D11" i="74"/>
  <c r="H11" i="74"/>
  <c r="J11" i="74"/>
  <c r="D12" i="74"/>
  <c r="H12" i="74"/>
  <c r="J12" i="74"/>
  <c r="L12" i="74"/>
  <c r="D13" i="74"/>
  <c r="J13" i="74"/>
  <c r="L13" i="74" s="1"/>
  <c r="D14" i="74"/>
  <c r="J14" i="74"/>
  <c r="L14" i="74"/>
  <c r="D15" i="74"/>
  <c r="D16" i="74"/>
  <c r="D17" i="74"/>
  <c r="D37" i="74" s="1"/>
  <c r="D46" i="74" s="1"/>
  <c r="D47" i="74" s="1"/>
  <c r="D12" i="80" s="1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/>
  <c r="D7" i="78"/>
  <c r="B8" i="78"/>
  <c r="D8" i="78"/>
  <c r="D9" i="78"/>
  <c r="D10" i="78"/>
  <c r="D11" i="78"/>
  <c r="D13" i="78"/>
  <c r="A22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/>
  <c r="M5" i="13"/>
  <c r="N5" i="13"/>
  <c r="F6" i="13"/>
  <c r="I6" i="13"/>
  <c r="J6" i="13"/>
  <c r="K6" i="13"/>
  <c r="M6" i="13" s="1"/>
  <c r="N6" i="13"/>
  <c r="F7" i="13"/>
  <c r="I7" i="13"/>
  <c r="J7" i="13"/>
  <c r="N7" i="13"/>
  <c r="F8" i="13"/>
  <c r="I8" i="13"/>
  <c r="J8" i="13"/>
  <c r="K8" i="13"/>
  <c r="M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D48" i="87" s="1"/>
  <c r="D44" i="80" s="1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C36" i="73"/>
  <c r="I35" i="73" s="1"/>
  <c r="I36" i="73" s="1"/>
  <c r="E36" i="73"/>
  <c r="F39" i="73"/>
  <c r="H41" i="73"/>
  <c r="F46" i="73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9" i="20"/>
  <c r="B10" i="20"/>
  <c r="J11" i="20"/>
  <c r="J15" i="20" s="1"/>
  <c r="B13" i="20"/>
  <c r="B14" i="20"/>
  <c r="B15" i="20"/>
  <c r="B17" i="20"/>
  <c r="B18" i="20"/>
  <c r="F39" i="20" s="1"/>
  <c r="F40" i="20" s="1"/>
  <c r="B31" i="20"/>
  <c r="G39" i="20" s="1"/>
  <c r="G40" i="20" s="1"/>
  <c r="B32" i="20"/>
  <c r="C32" i="20" s="1"/>
  <c r="C33" i="20" s="1"/>
  <c r="C78" i="73" s="1"/>
  <c r="E38" i="20"/>
  <c r="E39" i="20"/>
  <c r="B46" i="20"/>
  <c r="H39" i="20" s="1"/>
  <c r="H40" i="20" s="1"/>
  <c r="B77" i="73" s="1"/>
  <c r="B47" i="20"/>
  <c r="C47" i="20" s="1"/>
  <c r="C48" i="20" s="1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E37" i="11" s="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D48" i="70" s="1"/>
  <c r="D36" i="80" s="1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F6" i="22"/>
  <c r="D7" i="22"/>
  <c r="F7" i="22"/>
  <c r="D8" i="22"/>
  <c r="F8" i="22" s="1"/>
  <c r="D9" i="22"/>
  <c r="F9" i="22"/>
  <c r="D10" i="22"/>
  <c r="F10" i="22"/>
  <c r="D11" i="22"/>
  <c r="F11" i="22"/>
  <c r="D12" i="22"/>
  <c r="F12" i="22" s="1"/>
  <c r="D13" i="22"/>
  <c r="F13" i="22"/>
  <c r="D14" i="22"/>
  <c r="F14" i="22"/>
  <c r="D15" i="22"/>
  <c r="F15" i="22"/>
  <c r="D16" i="22"/>
  <c r="F16" i="22" s="1"/>
  <c r="D17" i="22"/>
  <c r="F17" i="22"/>
  <c r="D18" i="22"/>
  <c r="F18" i="22"/>
  <c r="D19" i="22"/>
  <c r="F19" i="22" s="1"/>
  <c r="D20" i="22"/>
  <c r="F20" i="22" s="1"/>
  <c r="D21" i="22"/>
  <c r="F21" i="22"/>
  <c r="D22" i="22"/>
  <c r="F22" i="22"/>
  <c r="D23" i="22"/>
  <c r="F23" i="22"/>
  <c r="D24" i="22"/>
  <c r="F24" i="22" s="1"/>
  <c r="D25" i="22"/>
  <c r="F25" i="22"/>
  <c r="D26" i="22"/>
  <c r="F26" i="22"/>
  <c r="D27" i="22"/>
  <c r="F27" i="22" s="1"/>
  <c r="D28" i="22"/>
  <c r="F28" i="22" s="1"/>
  <c r="D29" i="22"/>
  <c r="F29" i="22"/>
  <c r="D30" i="22"/>
  <c r="F30" i="22"/>
  <c r="D31" i="22"/>
  <c r="F31" i="22" s="1"/>
  <c r="D32" i="22"/>
  <c r="F32" i="22" s="1"/>
  <c r="D33" i="22"/>
  <c r="F33" i="22"/>
  <c r="D34" i="22"/>
  <c r="F34" i="22"/>
  <c r="D35" i="22"/>
  <c r="F35" i="22"/>
  <c r="D36" i="22"/>
  <c r="F36" i="22" s="1"/>
  <c r="B37" i="22"/>
  <c r="C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34" i="67" s="1"/>
  <c r="F38" i="67" s="1"/>
  <c r="F4" i="67"/>
  <c r="F5" i="67"/>
  <c r="F6" i="67"/>
  <c r="F7" i="67"/>
  <c r="F8" i="67"/>
  <c r="F9" i="67"/>
  <c r="F10" i="67"/>
  <c r="L10" i="67"/>
  <c r="S10" i="67"/>
  <c r="F11" i="67"/>
  <c r="J11" i="67"/>
  <c r="L11" i="67" s="1"/>
  <c r="N11" i="67" s="1"/>
  <c r="S11" i="67"/>
  <c r="U11" i="67" s="1"/>
  <c r="F12" i="67"/>
  <c r="J12" i="67"/>
  <c r="L12" i="67"/>
  <c r="N12" i="67"/>
  <c r="S12" i="67"/>
  <c r="U12" i="67" s="1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B7" i="65"/>
  <c r="D7" i="65" s="1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G5" i="7" s="1"/>
  <c r="AG6" i="7" s="1"/>
  <c r="AF5" i="7"/>
  <c r="AH5" i="7"/>
  <c r="F6" i="7"/>
  <c r="Z6" i="7"/>
  <c r="AD6" i="7" s="1"/>
  <c r="AF6" i="7" s="1"/>
  <c r="F7" i="7"/>
  <c r="Z7" i="7"/>
  <c r="AD7" i="7"/>
  <c r="AF7" i="7" s="1"/>
  <c r="F8" i="7"/>
  <c r="Z8" i="7"/>
  <c r="AD8" i="7" s="1"/>
  <c r="AF8" i="7"/>
  <c r="F9" i="7"/>
  <c r="Z9" i="7"/>
  <c r="AD9" i="7"/>
  <c r="AF9" i="7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/>
  <c r="F14" i="7"/>
  <c r="Z14" i="7"/>
  <c r="AD14" i="7"/>
  <c r="AF14" i="7" s="1"/>
  <c r="F15" i="7"/>
  <c r="Z15" i="7"/>
  <c r="AD15" i="7"/>
  <c r="AF15" i="7" s="1"/>
  <c r="F16" i="7"/>
  <c r="Z16" i="7"/>
  <c r="AD16" i="7"/>
  <c r="AF16" i="7"/>
  <c r="F17" i="7"/>
  <c r="Z17" i="7"/>
  <c r="AD17" i="7"/>
  <c r="AF17" i="7" s="1"/>
  <c r="F18" i="7"/>
  <c r="AI18" i="7"/>
  <c r="F19" i="7"/>
  <c r="Z19" i="7"/>
  <c r="AD19" i="7"/>
  <c r="F20" i="7"/>
  <c r="Z20" i="7"/>
  <c r="AD20" i="7" s="1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A45" i="16"/>
  <c r="A46" i="16"/>
  <c r="D46" i="16"/>
  <c r="D47" i="16" s="1"/>
  <c r="D37" i="80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/>
  <c r="H7" i="9"/>
  <c r="N7" i="9"/>
  <c r="P7" i="9" s="1"/>
  <c r="R7" i="9" s="1"/>
  <c r="H8" i="9"/>
  <c r="P8" i="9"/>
  <c r="H9" i="9"/>
  <c r="N9" i="9"/>
  <c r="P9" i="9"/>
  <c r="R9" i="9" s="1"/>
  <c r="H10" i="9"/>
  <c r="P10" i="9"/>
  <c r="R10" i="9" s="1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4" i="9"/>
  <c r="B44" i="9"/>
  <c r="H44" i="9"/>
  <c r="B45" i="9"/>
  <c r="B5" i="64"/>
  <c r="D5" i="64" s="1"/>
  <c r="D17" i="64" s="1"/>
  <c r="D29" i="64" s="1"/>
  <c r="D30" i="64" s="1"/>
  <c r="D35" i="80" s="1"/>
  <c r="B6" i="64"/>
  <c r="D6" i="64" s="1"/>
  <c r="B7" i="64"/>
  <c r="D7" i="64"/>
  <c r="D8" i="64"/>
  <c r="B9" i="64"/>
  <c r="D9" i="64"/>
  <c r="D10" i="64"/>
  <c r="B11" i="64"/>
  <c r="D11" i="64" s="1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D39" i="15"/>
  <c r="K23" i="15" s="1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3" i="15" s="1"/>
  <c r="C133" i="15" s="1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F169" i="15"/>
  <c r="F170" i="15"/>
  <c r="F171" i="15"/>
  <c r="F172" i="15"/>
  <c r="F173" i="15"/>
  <c r="C175" i="15"/>
  <c r="B178" i="15"/>
  <c r="C178" i="15"/>
  <c r="B180" i="15"/>
  <c r="C180" i="15"/>
  <c r="D6" i="76"/>
  <c r="D37" i="76" s="1"/>
  <c r="D47" i="76" s="1"/>
  <c r="D48" i="76" s="1"/>
  <c r="D38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6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I3" i="63"/>
  <c r="D39" i="69" s="1"/>
  <c r="J3" i="63"/>
  <c r="I4" i="63"/>
  <c r="D38" i="79" s="1"/>
  <c r="I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P26" i="63"/>
  <c r="D27" i="63"/>
  <c r="P27" i="63"/>
  <c r="D28" i="63"/>
  <c r="D29" i="63"/>
  <c r="D30" i="63"/>
  <c r="D31" i="63"/>
  <c r="D32" i="63"/>
  <c r="D33" i="63"/>
  <c r="D34" i="63"/>
  <c r="D38" i="63"/>
  <c r="D39" i="63"/>
  <c r="D40" i="63"/>
  <c r="D41" i="63"/>
  <c r="D42" i="63"/>
  <c r="D43" i="63"/>
  <c r="D44" i="63"/>
  <c r="K44" i="63"/>
  <c r="D45" i="63"/>
  <c r="D46" i="63"/>
  <c r="D47" i="63"/>
  <c r="D48" i="63"/>
  <c r="D49" i="63"/>
  <c r="D50" i="63"/>
  <c r="D51" i="63"/>
  <c r="D52" i="63"/>
  <c r="D53" i="63"/>
  <c r="B117" i="63"/>
  <c r="B119" i="63"/>
  <c r="B12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37" i="90" s="1"/>
  <c r="D47" i="90" s="1"/>
  <c r="D48" i="90" s="1"/>
  <c r="D14" i="80" s="1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39" i="19" s="1"/>
  <c r="D49" i="19" s="1"/>
  <c r="D50" i="19" s="1"/>
  <c r="D20" i="80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 s="1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P14" i="2"/>
  <c r="R14" i="2" s="1"/>
  <c r="J15" i="2"/>
  <c r="P15" i="2"/>
  <c r="R15" i="2" s="1"/>
  <c r="J16" i="2"/>
  <c r="P16" i="2"/>
  <c r="R16" i="2"/>
  <c r="J17" i="2"/>
  <c r="O17" i="2"/>
  <c r="P17" i="2" s="1"/>
  <c r="R17" i="2" s="1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AF39" i="15" l="1"/>
  <c r="AF45" i="15" s="1"/>
  <c r="J37" i="83"/>
  <c r="D49" i="83" s="1"/>
  <c r="D50" i="83" s="1"/>
  <c r="D41" i="80" s="1"/>
  <c r="F35" i="6"/>
  <c r="K113" i="15"/>
  <c r="K114" i="15" s="1"/>
  <c r="I114" i="15"/>
  <c r="D35" i="68"/>
  <c r="F36" i="73"/>
  <c r="J35" i="73"/>
  <c r="J36" i="73" s="1"/>
  <c r="N10" i="67"/>
  <c r="N16" i="67" s="1"/>
  <c r="L16" i="67"/>
  <c r="C14" i="63"/>
  <c r="B14" i="63" s="1"/>
  <c r="B81" i="80"/>
  <c r="AL47" i="11"/>
  <c r="AO47" i="11"/>
  <c r="N37" i="91"/>
  <c r="D41" i="19"/>
  <c r="D43" i="19" s="1"/>
  <c r="D37" i="89"/>
  <c r="D47" i="89" s="1"/>
  <c r="D48" i="89" s="1"/>
  <c r="D39" i="80" s="1"/>
  <c r="B79" i="73"/>
  <c r="D31" i="80"/>
  <c r="R21" i="2"/>
  <c r="R8" i="9"/>
  <c r="R17" i="9" s="1"/>
  <c r="R20" i="9" s="1"/>
  <c r="P17" i="9"/>
  <c r="AH6" i="7"/>
  <c r="AI5" i="7"/>
  <c r="F39" i="18"/>
  <c r="D48" i="18" s="1"/>
  <c r="D49" i="18" s="1"/>
  <c r="D28" i="80" s="1"/>
  <c r="AR16" i="15"/>
  <c r="AQ39" i="15"/>
  <c r="AR39" i="15"/>
  <c r="AR45" i="15" s="1"/>
  <c r="D12" i="78"/>
  <c r="D23" i="78" s="1"/>
  <c r="D24" i="78" s="1"/>
  <c r="D16" i="80" s="1"/>
  <c r="P21" i="2"/>
  <c r="P23" i="2" s="1"/>
  <c r="J35" i="2"/>
  <c r="D39" i="90"/>
  <c r="D41" i="90" s="1"/>
  <c r="J39" i="17"/>
  <c r="D48" i="17" s="1"/>
  <c r="D49" i="17" s="1"/>
  <c r="D33" i="80" s="1"/>
  <c r="D39" i="72"/>
  <c r="M23" i="15"/>
  <c r="M24" i="15" s="1"/>
  <c r="C39" i="11"/>
  <c r="C45" i="11"/>
  <c r="C46" i="11" s="1"/>
  <c r="AP34" i="11"/>
  <c r="AF34" i="11"/>
  <c r="D30" i="80"/>
  <c r="B78" i="73"/>
  <c r="B73" i="73"/>
  <c r="D32" i="80"/>
  <c r="AF19" i="7"/>
  <c r="AH19" i="7" s="1"/>
  <c r="AG19" i="7"/>
  <c r="AG20" i="7" s="1"/>
  <c r="AG21" i="7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36" i="7"/>
  <c r="M23" i="77"/>
  <c r="D37" i="77"/>
  <c r="D49" i="77" s="1"/>
  <c r="D50" i="77" s="1"/>
  <c r="D15" i="80" s="1"/>
  <c r="F36" i="5"/>
  <c r="D49" i="5" s="1"/>
  <c r="D50" i="5" s="1"/>
  <c r="D84" i="80" s="1"/>
  <c r="F37" i="22"/>
  <c r="D47" i="22" s="1"/>
  <c r="D48" i="22" s="1"/>
  <c r="D29" i="80" s="1"/>
  <c r="I40" i="20"/>
  <c r="I57" i="20" s="1"/>
  <c r="S12" i="2"/>
  <c r="B140" i="63"/>
  <c r="H33" i="9"/>
  <c r="D37" i="22"/>
  <c r="AL48" i="11"/>
  <c r="D37" i="85"/>
  <c r="D47" i="85" s="1"/>
  <c r="D48" i="85" s="1"/>
  <c r="D40" i="80" s="1"/>
  <c r="D37" i="79"/>
  <c r="D47" i="79" s="1"/>
  <c r="D48" i="79" s="1"/>
  <c r="D13" i="80" s="1"/>
  <c r="J17" i="74"/>
  <c r="J24" i="74" s="1"/>
  <c r="L11" i="74"/>
  <c r="D38" i="69"/>
  <c r="D48" i="69" s="1"/>
  <c r="D49" i="69" s="1"/>
  <c r="D22" i="80" s="1"/>
  <c r="D37" i="12"/>
  <c r="B9" i="63"/>
  <c r="M11" i="74"/>
  <c r="M12" i="74" s="1"/>
  <c r="M13" i="74" s="1"/>
  <c r="M14" i="74" s="1"/>
  <c r="AJ39" i="15"/>
  <c r="AJ45" i="15" s="1"/>
  <c r="AU39" i="15"/>
  <c r="AV35" i="15"/>
  <c r="L17" i="74"/>
  <c r="F39" i="15"/>
  <c r="F35" i="73"/>
  <c r="D14" i="78"/>
  <c r="D18" i="78" s="1"/>
  <c r="D18" i="8"/>
  <c r="D30" i="8" s="1"/>
  <c r="D31" i="8" s="1"/>
  <c r="D49" i="80" s="1"/>
  <c r="AN39" i="15"/>
  <c r="AH57" i="15"/>
  <c r="C176" i="15"/>
  <c r="F176" i="15" s="1"/>
  <c r="AP20" i="11"/>
  <c r="AF20" i="11"/>
  <c r="D39" i="92"/>
  <c r="D41" i="92" s="1"/>
  <c r="AV39" i="15"/>
  <c r="D35" i="28"/>
  <c r="S16" i="67"/>
  <c r="U10" i="67"/>
  <c r="U16" i="67" s="1"/>
  <c r="F39" i="22"/>
  <c r="F41" i="22" s="1"/>
  <c r="E39" i="11"/>
  <c r="B76" i="80" s="1"/>
  <c r="C76" i="80" s="1"/>
  <c r="E45" i="11"/>
  <c r="C77" i="73"/>
  <c r="M4" i="13"/>
  <c r="M13" i="13" s="1"/>
  <c r="K13" i="13"/>
  <c r="J5" i="80"/>
  <c r="J60" i="80" s="1"/>
  <c r="D19" i="8"/>
  <c r="F39" i="5"/>
  <c r="D37" i="16"/>
  <c r="D38" i="16" s="1"/>
  <c r="D40" i="16" s="1"/>
  <c r="N23" i="15"/>
  <c r="O23" i="15" s="1"/>
  <c r="O24" i="15" s="1"/>
  <c r="D18" i="64"/>
  <c r="D19" i="64" s="1"/>
  <c r="D23" i="64" s="1"/>
  <c r="D37" i="75"/>
  <c r="AP27" i="11"/>
  <c r="AF27" i="11"/>
  <c r="H36" i="11"/>
  <c r="H39" i="11" s="1"/>
  <c r="C51" i="63" s="1"/>
  <c r="D38" i="85"/>
  <c r="D38" i="86"/>
  <c r="F39" i="71"/>
  <c r="D49" i="71" s="1"/>
  <c r="D50" i="71" s="1"/>
  <c r="D47" i="80" s="1"/>
  <c r="F40" i="18"/>
  <c r="F41" i="18" s="1"/>
  <c r="F43" i="18" s="1"/>
  <c r="P38" i="88"/>
  <c r="P39" i="88" s="1"/>
  <c r="P41" i="88" s="1"/>
  <c r="J4" i="80"/>
  <c r="J59" i="80" s="1"/>
  <c r="D38" i="77"/>
  <c r="F37" i="13"/>
  <c r="F38" i="13" s="1"/>
  <c r="F41" i="13" s="1"/>
  <c r="D19" i="65"/>
  <c r="J36" i="70"/>
  <c r="J37" i="70" s="1"/>
  <c r="J41" i="70" s="1"/>
  <c r="J40" i="17"/>
  <c r="J41" i="17" s="1"/>
  <c r="J43" i="17" s="1"/>
  <c r="D38" i="89"/>
  <c r="D39" i="89" s="1"/>
  <c r="D41" i="89" s="1"/>
  <c r="B41" i="63" s="1"/>
  <c r="B19" i="20"/>
  <c r="C19" i="20" s="1"/>
  <c r="C20" i="20" s="1"/>
  <c r="D37" i="86"/>
  <c r="D47" i="86" s="1"/>
  <c r="D48" i="86" s="1"/>
  <c r="D43" i="80" s="1"/>
  <c r="D38" i="74"/>
  <c r="P37" i="88"/>
  <c r="D47" i="88" s="1"/>
  <c r="D48" i="88" s="1"/>
  <c r="D45" i="80" s="1"/>
  <c r="D37" i="81"/>
  <c r="D18" i="65"/>
  <c r="D33" i="65" s="1"/>
  <c r="D34" i="65" s="1"/>
  <c r="D26" i="80" s="1"/>
  <c r="D38" i="76"/>
  <c r="D39" i="76" s="1"/>
  <c r="D41" i="76" s="1"/>
  <c r="C37" i="73"/>
  <c r="F38" i="87"/>
  <c r="F39" i="87" s="1"/>
  <c r="F41" i="87" s="1"/>
  <c r="K7" i="13"/>
  <c r="M7" i="13" s="1"/>
  <c r="N11" i="13" s="1"/>
  <c r="N10" i="13"/>
  <c r="E37" i="73" l="1"/>
  <c r="E38" i="73" s="1"/>
  <c r="C38" i="73"/>
  <c r="C40" i="73" s="1"/>
  <c r="B13" i="63"/>
  <c r="C13" i="63" s="1"/>
  <c r="B33" i="80"/>
  <c r="C33" i="80" s="1"/>
  <c r="E33" i="80" s="1"/>
  <c r="B20" i="80"/>
  <c r="B31" i="63"/>
  <c r="C31" i="63" s="1"/>
  <c r="B36" i="80"/>
  <c r="C36" i="80" s="1"/>
  <c r="E36" i="80" s="1"/>
  <c r="B23" i="63"/>
  <c r="C23" i="63" s="1"/>
  <c r="D46" i="12"/>
  <c r="D47" i="12" s="1"/>
  <c r="D75" i="80" s="1"/>
  <c r="D40" i="12"/>
  <c r="E45" i="9"/>
  <c r="E46" i="9" s="1"/>
  <c r="D34" i="80" s="1"/>
  <c r="H35" i="9"/>
  <c r="H37" i="9" s="1"/>
  <c r="E48" i="7"/>
  <c r="E49" i="7" s="1"/>
  <c r="D77" i="80" s="1"/>
  <c r="F41" i="7"/>
  <c r="B81" i="73"/>
  <c r="D39" i="79"/>
  <c r="D41" i="79" s="1"/>
  <c r="AR51" i="15"/>
  <c r="AR48" i="15"/>
  <c r="D49" i="91"/>
  <c r="D50" i="91" s="1"/>
  <c r="D42" i="80" s="1"/>
  <c r="N39" i="91"/>
  <c r="N43" i="91" s="1"/>
  <c r="F37" i="73"/>
  <c r="C79" i="73"/>
  <c r="B8" i="63"/>
  <c r="B16" i="80"/>
  <c r="C16" i="80" s="1"/>
  <c r="E16" i="80" s="1"/>
  <c r="B39" i="63"/>
  <c r="C39" i="63" s="1"/>
  <c r="F46" i="11"/>
  <c r="D76" i="80" s="1"/>
  <c r="D69" i="80"/>
  <c r="B35" i="80"/>
  <c r="C35" i="80" s="1"/>
  <c r="E35" i="80" s="1"/>
  <c r="B10" i="63"/>
  <c r="C10" i="63" s="1"/>
  <c r="B69" i="80"/>
  <c r="C69" i="80" s="1"/>
  <c r="E69" i="80" s="1"/>
  <c r="B51" i="63"/>
  <c r="F40" i="6"/>
  <c r="D46" i="6"/>
  <c r="D47" i="6" s="1"/>
  <c r="D68" i="80" s="1"/>
  <c r="F45" i="11"/>
  <c r="C57" i="20"/>
  <c r="F51" i="73" s="1"/>
  <c r="D50" i="80"/>
  <c r="B37" i="80"/>
  <c r="C37" i="80" s="1"/>
  <c r="E37" i="80" s="1"/>
  <c r="B48" i="63"/>
  <c r="C48" i="63" s="1"/>
  <c r="D20" i="65"/>
  <c r="D24" i="65" s="1"/>
  <c r="D39" i="85"/>
  <c r="D41" i="85" s="1"/>
  <c r="F40" i="5"/>
  <c r="F43" i="5" s="1"/>
  <c r="B29" i="80"/>
  <c r="C29" i="80" s="1"/>
  <c r="E29" i="80" s="1"/>
  <c r="B15" i="63"/>
  <c r="C15" i="63" s="1"/>
  <c r="D40" i="69"/>
  <c r="D42" i="69" s="1"/>
  <c r="D42" i="72"/>
  <c r="D48" i="72"/>
  <c r="D49" i="72" s="1"/>
  <c r="D83" i="80" s="1"/>
  <c r="D44" i="67"/>
  <c r="D45" i="67" s="1"/>
  <c r="D81" i="80" s="1"/>
  <c r="D85" i="80" s="1"/>
  <c r="D46" i="68"/>
  <c r="D47" i="68" s="1"/>
  <c r="D67" i="80" s="1"/>
  <c r="D40" i="68"/>
  <c r="D46" i="75"/>
  <c r="D47" i="75" s="1"/>
  <c r="D48" i="80" s="1"/>
  <c r="D39" i="75"/>
  <c r="D41" i="75" s="1"/>
  <c r="D47" i="2"/>
  <c r="D48" i="2" s="1"/>
  <c r="J40" i="2"/>
  <c r="B28" i="80"/>
  <c r="C28" i="80" s="1"/>
  <c r="E28" i="80" s="1"/>
  <c r="B19" i="63"/>
  <c r="C19" i="63" s="1"/>
  <c r="F45" i="15"/>
  <c r="D51" i="15"/>
  <c r="D52" i="15" s="1"/>
  <c r="D74" i="80" s="1"/>
  <c r="F41" i="71"/>
  <c r="F43" i="71" s="1"/>
  <c r="D39" i="86"/>
  <c r="D41" i="86" s="1"/>
  <c r="B27" i="80"/>
  <c r="C27" i="80" s="1"/>
  <c r="E27" i="80" s="1"/>
  <c r="B11" i="63"/>
  <c r="C11" i="63" s="1"/>
  <c r="D20" i="8"/>
  <c r="D24" i="8" s="1"/>
  <c r="D17" i="80"/>
  <c r="B45" i="80"/>
  <c r="C45" i="80" s="1"/>
  <c r="E45" i="80" s="1"/>
  <c r="B21" i="63"/>
  <c r="C21" i="63" s="1"/>
  <c r="AI6" i="7"/>
  <c r="AH7" i="7"/>
  <c r="B39" i="80"/>
  <c r="C41" i="63"/>
  <c r="C39" i="80" s="1"/>
  <c r="E39" i="80" s="1"/>
  <c r="B30" i="80"/>
  <c r="C30" i="80" s="1"/>
  <c r="E30" i="80" s="1"/>
  <c r="C9" i="63"/>
  <c r="AH20" i="7"/>
  <c r="AI19" i="7"/>
  <c r="K36" i="73"/>
  <c r="K49" i="73" s="1"/>
  <c r="B74" i="73"/>
  <c r="E76" i="80"/>
  <c r="D46" i="81"/>
  <c r="D47" i="81" s="1"/>
  <c r="D82" i="80" s="1"/>
  <c r="D41" i="81"/>
  <c r="D39" i="74"/>
  <c r="D41" i="74" s="1"/>
  <c r="K19" i="74"/>
  <c r="L19" i="74" s="1"/>
  <c r="L24" i="74" s="1"/>
  <c r="L26" i="74" s="1"/>
  <c r="D39" i="77"/>
  <c r="D41" i="77" s="1"/>
  <c r="B102" i="15"/>
  <c r="AN45" i="15"/>
  <c r="M51" i="73"/>
  <c r="M53" i="73" s="1"/>
  <c r="I62" i="20"/>
  <c r="J39" i="83"/>
  <c r="J43" i="83" s="1"/>
  <c r="C81" i="80"/>
  <c r="B33" i="63"/>
  <c r="C33" i="63" s="1"/>
  <c r="B38" i="80"/>
  <c r="C38" i="80" s="1"/>
  <c r="E38" i="80" s="1"/>
  <c r="B27" i="63"/>
  <c r="C27" i="63" s="1"/>
  <c r="B46" i="80"/>
  <c r="C46" i="80" s="1"/>
  <c r="E46" i="80" s="1"/>
  <c r="B44" i="80"/>
  <c r="C44" i="80" s="1"/>
  <c r="E44" i="80" s="1"/>
  <c r="B43" i="63"/>
  <c r="C43" i="63" s="1"/>
  <c r="D40" i="28"/>
  <c r="D46" i="28"/>
  <c r="D47" i="28" s="1"/>
  <c r="D70" i="80" s="1"/>
  <c r="B14" i="80"/>
  <c r="C14" i="80" s="1"/>
  <c r="E14" i="80" s="1"/>
  <c r="B50" i="63"/>
  <c r="C50" i="63" s="1"/>
  <c r="B83" i="80" l="1"/>
  <c r="C83" i="80" s="1"/>
  <c r="E83" i="80" s="1"/>
  <c r="C28" i="63"/>
  <c r="B28" i="63" s="1"/>
  <c r="B29" i="63"/>
  <c r="C29" i="63" s="1"/>
  <c r="B42" i="80"/>
  <c r="C42" i="80" s="1"/>
  <c r="E42" i="80" s="1"/>
  <c r="B34" i="80"/>
  <c r="C34" i="80" s="1"/>
  <c r="E34" i="80" s="1"/>
  <c r="B44" i="63"/>
  <c r="C44" i="63" s="1"/>
  <c r="B12" i="80"/>
  <c r="B16" i="63"/>
  <c r="C16" i="63" s="1"/>
  <c r="B26" i="80"/>
  <c r="B49" i="63"/>
  <c r="C49" i="63" s="1"/>
  <c r="B47" i="63"/>
  <c r="C47" i="63" s="1"/>
  <c r="B41" i="80"/>
  <c r="C41" i="80" s="1"/>
  <c r="E41" i="80" s="1"/>
  <c r="B77" i="80"/>
  <c r="C77" i="80" s="1"/>
  <c r="E77" i="80" s="1"/>
  <c r="C45" i="63"/>
  <c r="B45" i="63" s="1"/>
  <c r="C20" i="80"/>
  <c r="AH8" i="7"/>
  <c r="AI7" i="7"/>
  <c r="B43" i="80"/>
  <c r="C43" i="80" s="1"/>
  <c r="E43" i="80" s="1"/>
  <c r="B20" i="63"/>
  <c r="C20" i="63" s="1"/>
  <c r="B48" i="80"/>
  <c r="C48" i="80" s="1"/>
  <c r="E48" i="80" s="1"/>
  <c r="B22" i="63"/>
  <c r="C22" i="63" s="1"/>
  <c r="B31" i="80"/>
  <c r="C31" i="80" s="1"/>
  <c r="E31" i="80" s="1"/>
  <c r="C8" i="63"/>
  <c r="B82" i="80"/>
  <c r="C46" i="63"/>
  <c r="B46" i="63" s="1"/>
  <c r="B22" i="80"/>
  <c r="C22" i="80" s="1"/>
  <c r="E22" i="80" s="1"/>
  <c r="B53" i="63"/>
  <c r="C53" i="63" s="1"/>
  <c r="F102" i="15"/>
  <c r="F103" i="15" s="1"/>
  <c r="C103" i="15" s="1"/>
  <c r="B103" i="15"/>
  <c r="B105" i="15" s="1"/>
  <c r="F105" i="15" s="1"/>
  <c r="B47" i="80"/>
  <c r="C47" i="80" s="1"/>
  <c r="E47" i="80" s="1"/>
  <c r="B30" i="63"/>
  <c r="C30" i="63" s="1"/>
  <c r="B75" i="80"/>
  <c r="C75" i="80" s="1"/>
  <c r="E75" i="80" s="1"/>
  <c r="C34" i="63"/>
  <c r="B34" i="63" s="1"/>
  <c r="C73" i="73"/>
  <c r="B38" i="63"/>
  <c r="E81" i="80"/>
  <c r="B15" i="80"/>
  <c r="C15" i="80" s="1"/>
  <c r="E15" i="80" s="1"/>
  <c r="B40" i="63"/>
  <c r="C40" i="63" s="1"/>
  <c r="D78" i="80"/>
  <c r="B67" i="80"/>
  <c r="C12" i="63"/>
  <c r="B12" i="63" s="1"/>
  <c r="B35" i="63" s="1"/>
  <c r="B84" i="80"/>
  <c r="C84" i="80" s="1"/>
  <c r="E84" i="80" s="1"/>
  <c r="C24" i="63"/>
  <c r="B24" i="63" s="1"/>
  <c r="F38" i="73"/>
  <c r="E40" i="73"/>
  <c r="C32" i="63"/>
  <c r="B32" i="63" s="1"/>
  <c r="B70" i="80"/>
  <c r="C70" i="80" s="1"/>
  <c r="E70" i="80" s="1"/>
  <c r="B49" i="80"/>
  <c r="C49" i="80" s="1"/>
  <c r="E49" i="80" s="1"/>
  <c r="B42" i="63"/>
  <c r="C42" i="63" s="1"/>
  <c r="C25" i="63"/>
  <c r="B25" i="63" s="1"/>
  <c r="C21" i="80"/>
  <c r="AI20" i="7"/>
  <c r="AH21" i="7"/>
  <c r="AI21" i="7" s="1"/>
  <c r="B74" i="80"/>
  <c r="C26" i="63"/>
  <c r="B26" i="63" s="1"/>
  <c r="D71" i="80"/>
  <c r="D87" i="80" s="1"/>
  <c r="B40" i="80"/>
  <c r="C40" i="80" s="1"/>
  <c r="E40" i="80" s="1"/>
  <c r="B18" i="63"/>
  <c r="C18" i="63" s="1"/>
  <c r="B68" i="80"/>
  <c r="C68" i="80" s="1"/>
  <c r="E68" i="80" s="1"/>
  <c r="C17" i="63"/>
  <c r="B17" i="63" s="1"/>
  <c r="B13" i="80"/>
  <c r="C13" i="80" s="1"/>
  <c r="E13" i="80" s="1"/>
  <c r="B52" i="63"/>
  <c r="C52" i="63" s="1"/>
  <c r="B32" i="80" l="1"/>
  <c r="C32" i="80" s="1"/>
  <c r="E32" i="80" s="1"/>
  <c r="C38" i="63"/>
  <c r="C54" i="63" s="1"/>
  <c r="B54" i="63"/>
  <c r="B56" i="63" s="1"/>
  <c r="C81" i="73"/>
  <c r="C82" i="73" s="1"/>
  <c r="C82" i="80"/>
  <c r="B85" i="80"/>
  <c r="N15" i="63"/>
  <c r="C23" i="80"/>
  <c r="E20" i="80"/>
  <c r="C74" i="73"/>
  <c r="F40" i="73"/>
  <c r="F49" i="73" s="1"/>
  <c r="C35" i="63"/>
  <c r="C12" i="80"/>
  <c r="B17" i="80"/>
  <c r="B52" i="80"/>
  <c r="C67" i="80"/>
  <c r="B71" i="80"/>
  <c r="C74" i="80"/>
  <c r="B78" i="80"/>
  <c r="B87" i="80" s="1"/>
  <c r="AH9" i="7"/>
  <c r="AI8" i="7"/>
  <c r="C26" i="80"/>
  <c r="B50" i="80"/>
  <c r="D21" i="80"/>
  <c r="D23" i="80" s="1"/>
  <c r="D52" i="80" s="1"/>
  <c r="B21" i="80"/>
  <c r="B23" i="80" s="1"/>
  <c r="E82" i="80" l="1"/>
  <c r="E85" i="80" s="1"/>
  <c r="C85" i="80"/>
  <c r="C50" i="80"/>
  <c r="E26" i="80"/>
  <c r="E50" i="80" s="1"/>
  <c r="E67" i="80"/>
  <c r="C71" i="80"/>
  <c r="C87" i="80" s="1"/>
  <c r="B90" i="80" s="1"/>
  <c r="E74" i="80"/>
  <c r="E78" i="80" s="1"/>
  <c r="C78" i="80"/>
  <c r="C61" i="20"/>
  <c r="C62" i="20" s="1"/>
  <c r="F53" i="73"/>
  <c r="AI9" i="7"/>
  <c r="AH10" i="7"/>
  <c r="C17" i="80"/>
  <c r="C52" i="80" s="1"/>
  <c r="B91" i="80" s="1"/>
  <c r="E12" i="80"/>
  <c r="C56" i="63"/>
  <c r="E21" i="80"/>
  <c r="E23" i="80"/>
  <c r="E17" i="80" l="1"/>
  <c r="E52" i="80" s="1"/>
  <c r="E71" i="80"/>
  <c r="E87" i="80" s="1"/>
  <c r="AI10" i="7"/>
  <c r="AH11" i="7"/>
  <c r="AH12" i="7" l="1"/>
  <c r="AI11" i="7"/>
  <c r="AI12" i="7" l="1"/>
  <c r="AH13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<sst xmlns="http://schemas.openxmlformats.org/spreadsheetml/2006/main" count="1008" uniqueCount="334">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</sst>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2.1800000000000002</v>
          </cell>
          <cell r="K39">
            <v>2.13</v>
          </cell>
          <cell r="M39">
            <v>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" workbookViewId="0">
      <selection activeCell="D27" sqref="D2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88" t="s">
        <v>78</v>
      </c>
      <c r="J2" s="391"/>
      <c r="K2" s="32"/>
    </row>
    <row r="3" spans="1:32" ht="12.95" customHeight="1" x14ac:dyDescent="0.2">
      <c r="D3" s="7"/>
      <c r="I3" s="389" t="s">
        <v>29</v>
      </c>
      <c r="J3" s="392">
        <f>+summary!I3</f>
        <v>2.13</v>
      </c>
      <c r="K3" s="407">
        <f ca="1">NOW()</f>
        <v>41885.689945370374</v>
      </c>
    </row>
    <row r="4" spans="1:32" ht="12.95" customHeight="1" x14ac:dyDescent="0.2">
      <c r="A4" s="34" t="s">
        <v>145</v>
      </c>
      <c r="C4" s="34" t="s">
        <v>5</v>
      </c>
      <c r="D4" s="7"/>
      <c r="I4" s="390" t="s">
        <v>30</v>
      </c>
      <c r="J4" s="392">
        <f>+summary!I4</f>
        <v>2.16</v>
      </c>
      <c r="K4" s="32"/>
    </row>
    <row r="5" spans="1:32" ht="12.95" customHeight="1" x14ac:dyDescent="0.2">
      <c r="D5" s="7"/>
      <c r="I5" s="389" t="s">
        <v>117</v>
      </c>
      <c r="J5" s="392">
        <f>+summary!I5</f>
        <v>2.1800000000000002</v>
      </c>
      <c r="K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185104.89</v>
      </c>
      <c r="C12" s="374">
        <f>+B12/$J$4</f>
        <v>85696.708333333328</v>
      </c>
      <c r="D12" s="14">
        <f>+Calpine!D47</f>
        <v>175983</v>
      </c>
      <c r="E12" s="70">
        <f>+C12-D12</f>
        <v>-90286.291666666672</v>
      </c>
      <c r="F12" s="369">
        <f>+Calpine!A41</f>
        <v>37268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-6349.8000000000029</v>
      </c>
      <c r="C13" s="373">
        <f>+B13/$J$4</f>
        <v>-2939.7222222222235</v>
      </c>
      <c r="D13" s="14">
        <f>+'Citizens-Griffith'!D48</f>
        <v>1849</v>
      </c>
      <c r="E13" s="70">
        <f>+C13-D13</f>
        <v>-4788.7222222222235</v>
      </c>
      <c r="F13" s="369">
        <f>+'Citizens-Griffith'!A41</f>
        <v>37268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-22201.89</v>
      </c>
      <c r="C14" s="373">
        <f>+B14/J4</f>
        <v>-10278.652777777777</v>
      </c>
      <c r="D14" s="14">
        <f>+SWGasTrans!$D$48</f>
        <v>2500</v>
      </c>
      <c r="E14" s="70">
        <f>+C14-D14</f>
        <v>-12778.652777777777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-329226.2</v>
      </c>
      <c r="C15" s="373">
        <f>+B15/$J$4</f>
        <v>-152419.53703703702</v>
      </c>
      <c r="D15" s="14">
        <f>+'NS Steel'!D50</f>
        <v>-32316</v>
      </c>
      <c r="E15" s="70">
        <f>+C15-D15</f>
        <v>-120103.53703703702</v>
      </c>
      <c r="F15" s="370">
        <f>+'NS Steel'!A41</f>
        <v>37268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-552650.79</v>
      </c>
      <c r="C16" s="375">
        <f>+B16/$J$4</f>
        <v>-255856.84722222222</v>
      </c>
      <c r="D16" s="355">
        <f>+Citizens!D24</f>
        <v>-43748</v>
      </c>
      <c r="E16" s="72">
        <f>+C16-D16</f>
        <v>-212108.84722222222</v>
      </c>
      <c r="F16" s="369">
        <f>+Citizens!A18</f>
        <v>37268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-725323.79</v>
      </c>
      <c r="C17" s="398">
        <f>SUBTOTAL(9,C12:C16)</f>
        <v>-335798.0509259259</v>
      </c>
      <c r="D17" s="399">
        <f>SUBTOTAL(9,D12:D16)</f>
        <v>104268</v>
      </c>
      <c r="E17" s="400">
        <f>SUBTOTAL(9,E12:E16)</f>
        <v>-440066.05092592596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29206.760000000002</v>
      </c>
      <c r="C20" s="373">
        <f>+B20/$J$4</f>
        <v>13521.648148148148</v>
      </c>
      <c r="D20" s="14">
        <f>+transcol!D50</f>
        <v>-42196</v>
      </c>
      <c r="E20" s="70">
        <f>+C20-D20</f>
        <v>55717.648148148146</v>
      </c>
      <c r="F20" s="370">
        <f>+transcol!A43</f>
        <v>37268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+C21*J3</f>
        <v>46178.399999999994</v>
      </c>
      <c r="C21" s="373">
        <f>+williams!J40</f>
        <v>21680</v>
      </c>
      <c r="D21" s="14">
        <f>+C21</f>
        <v>21680</v>
      </c>
      <c r="E21" s="70">
        <f>+C21-D21</f>
        <v>0</v>
      </c>
      <c r="F21" s="370">
        <f>+williams!A40</f>
        <v>37268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-4083.1199999999953</v>
      </c>
      <c r="C22" s="377">
        <f>+B22/$J$3</f>
        <v>-1916.9577464788711</v>
      </c>
      <c r="D22" s="355">
        <f>+burlington!D49</f>
        <v>-3851</v>
      </c>
      <c r="E22" s="72">
        <f>+C22-D22</f>
        <v>1934.0422535211289</v>
      </c>
      <c r="F22" s="369">
        <f>+burlington!A42</f>
        <v>37268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71302.040000000008</v>
      </c>
      <c r="C23" s="394">
        <f>SUBTOTAL(9,C20:C22)</f>
        <v>33284.690401669272</v>
      </c>
      <c r="D23" s="399">
        <f>SUBTOTAL(9,D20:D22)</f>
        <v>-24367</v>
      </c>
      <c r="E23" s="400">
        <f>SUBTOTAL(9,E20:E22)</f>
        <v>57651.690401669272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-23479.020000000004</v>
      </c>
      <c r="C26" s="373">
        <f>+B26/$J$4</f>
        <v>-10869.916666666668</v>
      </c>
      <c r="D26" s="14">
        <f>+NNG!D34</f>
        <v>-11707</v>
      </c>
      <c r="E26" s="70">
        <f t="shared" ref="E26:E49" si="0">+C26-D26</f>
        <v>837.08333333333212</v>
      </c>
      <c r="F26" s="369">
        <f>+NNG!A24</f>
        <v>37268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469747.09</v>
      </c>
      <c r="C27" s="373">
        <f>+B27/$J$4</f>
        <v>217475.50462962964</v>
      </c>
      <c r="D27" s="14">
        <f>+Conoco!D48</f>
        <v>22282</v>
      </c>
      <c r="E27" s="70">
        <f t="shared" si="0"/>
        <v>195193.50462962964</v>
      </c>
      <c r="F27" s="369">
        <f>+Conoco!A41</f>
        <v>37268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171983.99</v>
      </c>
      <c r="C28" s="373">
        <f>+B28/$J$4</f>
        <v>79622.217592592584</v>
      </c>
      <c r="D28" s="14">
        <f>+'Amoco Abo'!D49</f>
        <v>-358718</v>
      </c>
      <c r="E28" s="70">
        <f t="shared" si="0"/>
        <v>438340.21759259258</v>
      </c>
      <c r="F28" s="370">
        <f>+'Amoco Abo'!A43</f>
        <v>37268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262036.83000000002</v>
      </c>
      <c r="C29" s="373">
        <f>+B29/$J$4</f>
        <v>121313.34722222222</v>
      </c>
      <c r="D29" s="14">
        <f>+KN_Westar!D48</f>
        <v>-67067</v>
      </c>
      <c r="E29" s="70">
        <f t="shared" si="0"/>
        <v>188380.34722222222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1220293.8600000001</v>
      </c>
      <c r="C30" s="374">
        <f>+B30/$J$5</f>
        <v>559767.82568807341</v>
      </c>
      <c r="D30" s="14">
        <f>+Duke!$G$40+Duke!$H$40+Duke!$I$53+Duke!$I$54</f>
        <v>362710</v>
      </c>
      <c r="E30" s="70">
        <f t="shared" si="0"/>
        <v>197057.82568807341</v>
      </c>
      <c r="F30" s="370">
        <f>+Duke!A42</f>
        <v>37268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1586931.5</v>
      </c>
      <c r="C31" s="374">
        <f>+B31/$J$5</f>
        <v>727950.22935779812</v>
      </c>
      <c r="D31" s="14">
        <f>+Duke!$F$40</f>
        <v>404095</v>
      </c>
      <c r="E31" s="70">
        <f t="shared" si="0"/>
        <v>323855.22935779812</v>
      </c>
      <c r="F31" s="370">
        <f>+Duke!A7</f>
        <v>37268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+summary!B38</f>
        <v>-2784383.2</v>
      </c>
      <c r="C32" s="374">
        <f>+B32/$J$5</f>
        <v>-1277240</v>
      </c>
      <c r="D32" s="14">
        <f>+DEFS!$I$36+DEFS!$J$36+DEFS!$K$45+DEFS!$K$46+DEFS!$K$47+DEFS!$K$48</f>
        <v>-428055</v>
      </c>
      <c r="E32" s="70">
        <f t="shared" si="0"/>
        <v>-849185</v>
      </c>
      <c r="F32" s="370">
        <f>+DEFS!A40</f>
        <v>37268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408874.16</v>
      </c>
      <c r="C33" s="373">
        <f>+B33/$J$4</f>
        <v>189293.59259259255</v>
      </c>
      <c r="D33" s="14">
        <f>+mewborne!D49</f>
        <v>167882</v>
      </c>
      <c r="E33" s="70">
        <f t="shared" si="0"/>
        <v>21411.592592592555</v>
      </c>
      <c r="F33" s="370">
        <f>+mewborne!A43</f>
        <v>37268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+PGETX!$H$37</f>
        <v>-56665.279999999999</v>
      </c>
      <c r="C34" s="373">
        <f>+B34/$J$4</f>
        <v>-26233.925925925923</v>
      </c>
      <c r="D34" s="14">
        <f>+PGETX!E46</f>
        <v>283</v>
      </c>
      <c r="E34" s="70">
        <f t="shared" si="0"/>
        <v>-26516.925925925923</v>
      </c>
      <c r="F34" s="370">
        <f>+PGETX!E37</f>
        <v>37268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815246.48</v>
      </c>
      <c r="C35" s="373">
        <f>+B35/$J$4</f>
        <v>377428.9259259259</v>
      </c>
      <c r="D35" s="14">
        <f>+PNM!D30</f>
        <v>329698</v>
      </c>
      <c r="E35" s="70">
        <f t="shared" si="0"/>
        <v>47730.925925925898</v>
      </c>
      <c r="F35" s="370">
        <f>+PNM!A23</f>
        <v>37268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60225.33</v>
      </c>
      <c r="C36" s="373">
        <f>+B36/$J$4</f>
        <v>27882.097222222223</v>
      </c>
      <c r="D36" s="14">
        <f>+EOG!D48</f>
        <v>-99756</v>
      </c>
      <c r="E36" s="70">
        <f t="shared" si="0"/>
        <v>127638.09722222222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-31307.750000000004</v>
      </c>
      <c r="C37" s="373">
        <f>+B37/J5</f>
        <v>-14361.353211009175</v>
      </c>
      <c r="D37" s="14">
        <f>+Oasis!D47</f>
        <v>-17192</v>
      </c>
      <c r="E37" s="70">
        <f>+C37-D37</f>
        <v>2830.6467889908254</v>
      </c>
      <c r="F37" s="369">
        <f>+Oasis!A40</f>
        <v>37268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13858.330000000002</v>
      </c>
      <c r="C38" s="373">
        <f>+B38/$J$5</f>
        <v>6357.0321100917436</v>
      </c>
      <c r="D38" s="14">
        <f>+SidR!D48</f>
        <v>6927</v>
      </c>
      <c r="E38" s="70">
        <f t="shared" si="0"/>
        <v>-569.96788990825644</v>
      </c>
      <c r="F38" s="370">
        <f>+SidR!A41</f>
        <v>37268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+summary!$B$41</f>
        <v>-203736.06</v>
      </c>
      <c r="C39" s="373">
        <f>+summary!$C$41</f>
        <v>-93456.908256880721</v>
      </c>
      <c r="D39" s="14">
        <f>+MiVida_Rich!D48</f>
        <v>-51454</v>
      </c>
      <c r="E39" s="70">
        <f>+C39-D39</f>
        <v>-42002.908256880721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178113.14</v>
      </c>
      <c r="C40" s="373">
        <f>+B40/$J$5</f>
        <v>81703.275229357794</v>
      </c>
      <c r="D40" s="14">
        <f>+Dominion!D48</f>
        <v>78125</v>
      </c>
      <c r="E40" s="70">
        <f t="shared" si="0"/>
        <v>3578.2752293577942</v>
      </c>
      <c r="F40" s="370">
        <f>+Dominion!A41</f>
        <v>37268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-31825.13</v>
      </c>
      <c r="C41" s="373">
        <f>+B41/$J$4</f>
        <v>-14733.856481481482</v>
      </c>
      <c r="D41" s="14">
        <f>+WTGmktg!D50</f>
        <v>-1714</v>
      </c>
      <c r="E41" s="70">
        <f t="shared" si="0"/>
        <v>-13019.856481481482</v>
      </c>
      <c r="F41" s="370">
        <f>+WTGmktg!A43</f>
        <v>37268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36963.21</v>
      </c>
      <c r="C42" s="373">
        <f>+B42/J4</f>
        <v>17112.597222222219</v>
      </c>
      <c r="D42" s="14">
        <f>+'WTG inc'!D50</f>
        <v>14123</v>
      </c>
      <c r="E42" s="70">
        <f>+C42-D42</f>
        <v>2989.597222222219</v>
      </c>
      <c r="F42" s="370">
        <f>+'WTG inc'!A43</f>
        <v>37268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162683.32999999999</v>
      </c>
      <c r="C43" s="373">
        <f>+B43/$J$5</f>
        <v>74625.380733944941</v>
      </c>
      <c r="D43" s="14">
        <f>+Devon!D48</f>
        <v>34609</v>
      </c>
      <c r="E43" s="70">
        <f t="shared" si="0"/>
        <v>40016.380733944941</v>
      </c>
      <c r="F43" s="370">
        <f>+Devon!A41</f>
        <v>37268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-120763.56</v>
      </c>
      <c r="C44" s="373">
        <f>+B44/$J$4</f>
        <v>-55909.055555555547</v>
      </c>
      <c r="D44" s="14">
        <f>+crosstex!D48</f>
        <v>-37564</v>
      </c>
      <c r="E44" s="70">
        <f t="shared" si="0"/>
        <v>-18345.055555555547</v>
      </c>
      <c r="F44" s="370">
        <f>+crosstex!A41</f>
        <v>37268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93317.64</v>
      </c>
      <c r="C45" s="373">
        <f>+B45/$J$4</f>
        <v>43202.611111111109</v>
      </c>
      <c r="D45" s="14">
        <f>+Amarillo!D48</f>
        <v>38759</v>
      </c>
      <c r="E45" s="70">
        <f t="shared" si="0"/>
        <v>4443.6111111111095</v>
      </c>
      <c r="F45" s="370">
        <f>+Amarillo!A41</f>
        <v>37268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42574.03</v>
      </c>
      <c r="C46" s="374">
        <f>+B46/$J$4</f>
        <v>19710.199074074073</v>
      </c>
      <c r="D46" s="14">
        <f>+Stratland!D48</f>
        <v>14572</v>
      </c>
      <c r="E46" s="70">
        <f>+C46-D46</f>
        <v>5138.199074074073</v>
      </c>
      <c r="F46" s="369">
        <f>+Stratland!A41</f>
        <v>37257</v>
      </c>
      <c r="G46" s="203"/>
      <c r="H46" s="32" t="s">
        <v>102</v>
      </c>
      <c r="I46" s="32"/>
      <c r="J46" s="32"/>
      <c r="K46" s="32"/>
    </row>
    <row r="47" spans="1:11" ht="13.5" customHeight="1" x14ac:dyDescent="0.2">
      <c r="A47" s="248" t="s">
        <v>109</v>
      </c>
      <c r="B47" s="351">
        <f>+Continental!F43</f>
        <v>34694</v>
      </c>
      <c r="C47" s="374">
        <f>+B47/$J$4</f>
        <v>16062.037037037036</v>
      </c>
      <c r="D47" s="14">
        <f>+Continental!D50</f>
        <v>948</v>
      </c>
      <c r="E47" s="70">
        <f t="shared" si="0"/>
        <v>15114.037037037036</v>
      </c>
      <c r="F47" s="370">
        <f>+Continental!A43</f>
        <v>37268</v>
      </c>
      <c r="G47" s="203" t="s">
        <v>154</v>
      </c>
      <c r="H47" s="32" t="s">
        <v>115</v>
      </c>
      <c r="I47" s="32"/>
      <c r="J47" s="32"/>
      <c r="K47" s="32"/>
    </row>
    <row r="48" spans="1:11" ht="13.5" customHeight="1" x14ac:dyDescent="0.2">
      <c r="A48" s="248" t="s">
        <v>129</v>
      </c>
      <c r="B48" s="351">
        <f>+EPFS!D41</f>
        <v>93255.409999999989</v>
      </c>
      <c r="C48" s="374">
        <f>+B48/$J$5</f>
        <v>42777.711009174302</v>
      </c>
      <c r="D48" s="14">
        <f>+EPFS!D47</f>
        <v>58367</v>
      </c>
      <c r="E48" s="70">
        <f t="shared" si="0"/>
        <v>-15589.288990825698</v>
      </c>
      <c r="F48" s="369">
        <f>+EPFS!A41</f>
        <v>37268</v>
      </c>
      <c r="G48" s="203" t="s">
        <v>154</v>
      </c>
      <c r="H48" s="32" t="s">
        <v>102</v>
      </c>
      <c r="I48" s="32"/>
      <c r="J48" s="32"/>
      <c r="K48" s="32"/>
    </row>
    <row r="49" spans="1:19" ht="12.95" customHeight="1" x14ac:dyDescent="0.2">
      <c r="A49" s="514" t="s">
        <v>79</v>
      </c>
      <c r="B49" s="505">
        <f>+Agave!$D$24</f>
        <v>-122461.28</v>
      </c>
      <c r="C49" s="375">
        <f>+B49/$J$4</f>
        <v>-56695.037037037029</v>
      </c>
      <c r="D49" s="355">
        <f>+Agave!D31</f>
        <v>-43097</v>
      </c>
      <c r="E49" s="72">
        <f t="shared" si="0"/>
        <v>-13598.037037037029</v>
      </c>
      <c r="F49" s="369">
        <f>+Agave!A24</f>
        <v>37268</v>
      </c>
      <c r="G49" s="203" t="s">
        <v>328</v>
      </c>
      <c r="H49" s="204" t="s">
        <v>102</v>
      </c>
      <c r="I49" s="32"/>
      <c r="J49" s="32"/>
      <c r="K49" s="32"/>
    </row>
    <row r="50" spans="1:19" ht="17.100000000000001" customHeight="1" x14ac:dyDescent="0.2">
      <c r="A50" s="153" t="s">
        <v>161</v>
      </c>
      <c r="B50" s="393">
        <f>SUBTOTAL(9,B26:B49)</f>
        <v>2276177.0500000003</v>
      </c>
      <c r="C50" s="398">
        <f>SUBTOTAL(9,C26:C49)</f>
        <v>1052784.5306235135</v>
      </c>
      <c r="D50" s="399">
        <f>SUBTOTAL(9,D26:D49)</f>
        <v>417056</v>
      </c>
      <c r="E50" s="400">
        <f>SUBTOTAL(9,E26:E49)</f>
        <v>635728.53062351351</v>
      </c>
      <c r="F50" s="369"/>
      <c r="G50" s="358"/>
      <c r="H50" s="32"/>
      <c r="I50" s="204"/>
      <c r="J50" s="32"/>
      <c r="K50" s="32"/>
      <c r="L50" s="32"/>
    </row>
    <row r="51" spans="1:19" ht="12" customHeight="1" x14ac:dyDescent="0.2">
      <c r="A51" s="204"/>
      <c r="H51" s="32"/>
      <c r="I51" s="204"/>
      <c r="J51" s="32"/>
      <c r="K51" s="32"/>
      <c r="L51" s="32"/>
    </row>
    <row r="52" spans="1:19" ht="17.100000000000001" customHeight="1" x14ac:dyDescent="0.2">
      <c r="A52" s="153" t="s">
        <v>162</v>
      </c>
      <c r="B52" s="393">
        <f>SUBTOTAL(9,B12:B49)</f>
        <v>1622155.2999999998</v>
      </c>
      <c r="C52" s="398">
        <f>SUBTOTAL(9,C12:C49)</f>
        <v>750271.17009925703</v>
      </c>
      <c r="D52" s="399">
        <f>SUBTOTAL(9,D12:D49)</f>
        <v>496957</v>
      </c>
      <c r="E52" s="400">
        <f>SUBTOTAL(9,E12:E49)</f>
        <v>253314.17009925662</v>
      </c>
      <c r="F52" s="369"/>
      <c r="G52" s="204"/>
      <c r="H52" s="32"/>
      <c r="I52" s="204"/>
      <c r="J52" s="32"/>
      <c r="K52" s="32"/>
      <c r="L52" s="32"/>
    </row>
    <row r="53" spans="1:19" ht="12.95" customHeight="1" x14ac:dyDescent="0.2">
      <c r="A53" s="204"/>
      <c r="B53" s="351"/>
      <c r="C53" s="373"/>
      <c r="D53" s="373"/>
      <c r="E53" s="373"/>
      <c r="F53" s="358"/>
      <c r="G53" s="32"/>
      <c r="I53" s="32"/>
      <c r="J53" s="32"/>
      <c r="K53" s="32"/>
      <c r="L53" s="32"/>
    </row>
    <row r="54" spans="1:19" ht="14.1" customHeight="1" x14ac:dyDescent="0.2"/>
    <row r="55" spans="1:19" ht="12.95" customHeight="1" x14ac:dyDescent="0.2"/>
    <row r="56" spans="1:19" ht="13.5" customHeight="1" x14ac:dyDescent="0.2"/>
    <row r="57" spans="1:19" ht="13.5" customHeight="1" outlineLevel="2" x14ac:dyDescent="0.2">
      <c r="A57" s="34" t="s">
        <v>140</v>
      </c>
      <c r="D57" s="7"/>
      <c r="I57" s="388" t="s">
        <v>78</v>
      </c>
      <c r="J57" s="391"/>
      <c r="K57" s="32"/>
    </row>
    <row r="58" spans="1:19" ht="13.5" customHeight="1" outlineLevel="2" x14ac:dyDescent="0.2">
      <c r="D58" s="7"/>
      <c r="I58" s="389" t="s">
        <v>29</v>
      </c>
      <c r="J58" s="392">
        <f>+J3</f>
        <v>2.13</v>
      </c>
      <c r="K58" s="407">
        <f ca="1">NOW()</f>
        <v>41885.689945370374</v>
      </c>
    </row>
    <row r="59" spans="1:19" ht="13.5" customHeight="1" outlineLevel="2" x14ac:dyDescent="0.2">
      <c r="A59" s="34" t="s">
        <v>145</v>
      </c>
      <c r="C59" s="34" t="s">
        <v>5</v>
      </c>
      <c r="D59" s="7"/>
      <c r="I59" s="390" t="s">
        <v>30</v>
      </c>
      <c r="J59" s="392">
        <f>+J4</f>
        <v>2.16</v>
      </c>
      <c r="K59" s="32"/>
    </row>
    <row r="60" spans="1:19" ht="13.5" customHeight="1" outlineLevel="1" x14ac:dyDescent="0.2">
      <c r="D60" s="7"/>
      <c r="I60" s="389" t="s">
        <v>117</v>
      </c>
      <c r="J60" s="392">
        <f>+J5</f>
        <v>2.1800000000000002</v>
      </c>
      <c r="K60" s="32"/>
    </row>
    <row r="61" spans="1:19" ht="13.5" customHeight="1" outlineLevel="2" x14ac:dyDescent="0.2"/>
    <row r="62" spans="1:19" ht="13.5" customHeight="1" outlineLevel="2" x14ac:dyDescent="0.2">
      <c r="A62" s="405" t="s">
        <v>164</v>
      </c>
      <c r="B62" s="406"/>
      <c r="E62" s="12" t="s">
        <v>197</v>
      </c>
    </row>
    <row r="63" spans="1:19" ht="13.5" customHeight="1" outlineLevel="2" x14ac:dyDescent="0.2">
      <c r="A63" s="32"/>
      <c r="B63" s="408" t="s">
        <v>188</v>
      </c>
      <c r="C63" s="408" t="s">
        <v>195</v>
      </c>
      <c r="D63" s="408" t="s">
        <v>192</v>
      </c>
      <c r="E63" s="12" t="s">
        <v>198</v>
      </c>
      <c r="F63" s="2" t="s">
        <v>148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A64" s="371" t="s">
        <v>89</v>
      </c>
      <c r="B64" s="404" t="s">
        <v>0</v>
      </c>
      <c r="C64" s="383" t="s">
        <v>166</v>
      </c>
      <c r="D64" s="39" t="s">
        <v>196</v>
      </c>
      <c r="E64" s="39" t="s">
        <v>199</v>
      </c>
      <c r="F64" s="39" t="s">
        <v>146</v>
      </c>
      <c r="G64" s="395" t="s">
        <v>151</v>
      </c>
      <c r="H64" s="372" t="s">
        <v>101</v>
      </c>
      <c r="I64" s="371" t="s">
        <v>98</v>
      </c>
      <c r="J64" s="32"/>
      <c r="K64" s="32"/>
      <c r="L64" s="32"/>
      <c r="N64" s="32"/>
      <c r="O64" s="32"/>
      <c r="P64" s="32"/>
      <c r="Q64" s="32"/>
      <c r="R64" s="32"/>
      <c r="S64" s="32"/>
    </row>
    <row r="65" spans="1:11" ht="13.5" customHeight="1" outlineLevel="2" x14ac:dyDescent="0.2">
      <c r="B65" s="286"/>
      <c r="C65" s="247"/>
    </row>
    <row r="66" spans="1:11" ht="13.5" customHeight="1" outlineLevel="1" x14ac:dyDescent="0.2">
      <c r="A66" s="371" t="s">
        <v>155</v>
      </c>
      <c r="B66" s="286"/>
      <c r="C66" s="247"/>
      <c r="G66" s="203"/>
    </row>
    <row r="67" spans="1:11" ht="13.5" customHeight="1" outlineLevel="2" x14ac:dyDescent="0.2">
      <c r="A67" s="248" t="s">
        <v>94</v>
      </c>
      <c r="B67" s="517">
        <f>+Mojave!D40</f>
        <v>194839</v>
      </c>
      <c r="C67" s="351">
        <f>+B67*$J$4</f>
        <v>420852.24000000005</v>
      </c>
      <c r="D67" s="47">
        <f>+Mojave!D47</f>
        <v>217127.56</v>
      </c>
      <c r="E67" s="47">
        <f>+C67-D67</f>
        <v>203724.68000000005</v>
      </c>
      <c r="F67" s="370">
        <f>+Mojave!A40</f>
        <v>37268</v>
      </c>
      <c r="G67" s="203" t="s">
        <v>154</v>
      </c>
      <c r="H67" s="32" t="s">
        <v>100</v>
      </c>
      <c r="I67" s="32" t="s">
        <v>169</v>
      </c>
      <c r="J67" s="32"/>
      <c r="K67" s="32"/>
    </row>
    <row r="68" spans="1:11" ht="15" customHeight="1" outlineLevel="2" x14ac:dyDescent="0.2">
      <c r="A68" s="248" t="s">
        <v>32</v>
      </c>
      <c r="B68" s="374">
        <f>+SoCal!F40</f>
        <v>84845</v>
      </c>
      <c r="C68" s="351">
        <f>+B68*$J$4</f>
        <v>183265.2</v>
      </c>
      <c r="D68" s="47">
        <f>+SoCal!D47</f>
        <v>289635</v>
      </c>
      <c r="E68" s="47">
        <f>+C68-D68</f>
        <v>-106369.79999999999</v>
      </c>
      <c r="F68" s="370">
        <f>+SoCal!A40</f>
        <v>37268</v>
      </c>
      <c r="G68" s="203" t="s">
        <v>153</v>
      </c>
      <c r="H68" s="32" t="s">
        <v>102</v>
      </c>
      <c r="I68" s="32"/>
      <c r="J68" s="32"/>
      <c r="K68" s="32"/>
    </row>
    <row r="69" spans="1:11" ht="15" customHeight="1" outlineLevel="2" x14ac:dyDescent="0.2">
      <c r="A69" s="248" t="s">
        <v>178</v>
      </c>
      <c r="B69" s="373">
        <f>+'El Paso'!C39</f>
        <v>64269</v>
      </c>
      <c r="C69" s="351">
        <f>+B69*$J$4</f>
        <v>138821.04</v>
      </c>
      <c r="D69" s="47">
        <f>+'El Paso'!C46</f>
        <v>-1582961.01</v>
      </c>
      <c r="E69" s="47">
        <f>+C69-D69</f>
        <v>1721782.05</v>
      </c>
      <c r="F69" s="370">
        <f>+'El Paso'!A39</f>
        <v>37268</v>
      </c>
      <c r="G69" s="425" t="s">
        <v>154</v>
      </c>
      <c r="H69" s="32" t="s">
        <v>100</v>
      </c>
      <c r="I69" s="32" t="s">
        <v>170</v>
      </c>
      <c r="J69" s="32"/>
      <c r="K69" s="32"/>
    </row>
    <row r="70" spans="1:11" ht="15" customHeight="1" outlineLevel="1" x14ac:dyDescent="0.2">
      <c r="A70" s="248" t="s">
        <v>114</v>
      </c>
      <c r="B70" s="375">
        <f>+'PG&amp;E'!D40</f>
        <v>12657</v>
      </c>
      <c r="C70" s="354">
        <f>+B70*$J$4</f>
        <v>27339.120000000003</v>
      </c>
      <c r="D70" s="354">
        <f>+'PG&amp;E'!D47</f>
        <v>-180797.39</v>
      </c>
      <c r="E70" s="354">
        <f>+C70-D70</f>
        <v>208136.51</v>
      </c>
      <c r="F70" s="370">
        <f>+'PG&amp;E'!A40</f>
        <v>37268</v>
      </c>
      <c r="G70" s="203" t="s">
        <v>154</v>
      </c>
      <c r="H70" s="32" t="s">
        <v>102</v>
      </c>
      <c r="I70" s="32"/>
      <c r="J70" s="32"/>
      <c r="K70" s="32"/>
    </row>
    <row r="71" spans="1:11" ht="15" customHeight="1" x14ac:dyDescent="0.2">
      <c r="A71" s="2" t="s">
        <v>156</v>
      </c>
      <c r="B71" s="398">
        <f>SUBTOTAL(9,B67:B70)</f>
        <v>356610</v>
      </c>
      <c r="C71" s="393">
        <f>SUBTOTAL(9,C67:C70)</f>
        <v>770277.60000000009</v>
      </c>
      <c r="D71" s="393">
        <f>SUBTOTAL(9,D67:D70)</f>
        <v>-1256995.8399999999</v>
      </c>
      <c r="E71" s="393">
        <f>SUBTOTAL(9,E67:E70)</f>
        <v>2027273.4400000002</v>
      </c>
      <c r="F71" s="370"/>
      <c r="G71" s="203"/>
      <c r="H71" s="32"/>
      <c r="I71" s="32"/>
      <c r="J71" s="32"/>
      <c r="K71" s="32"/>
    </row>
    <row r="72" spans="1:11" ht="12.95" customHeight="1" x14ac:dyDescent="0.2">
      <c r="B72" s="286"/>
      <c r="C72" s="247"/>
      <c r="G72" s="203"/>
    </row>
    <row r="73" spans="1:11" ht="15" customHeight="1" x14ac:dyDescent="0.2">
      <c r="A73" s="371" t="s">
        <v>57</v>
      </c>
      <c r="B73" s="286"/>
      <c r="C73" s="247"/>
      <c r="G73" s="203"/>
    </row>
    <row r="74" spans="1:11" x14ac:dyDescent="0.2">
      <c r="A74" s="248" t="s">
        <v>23</v>
      </c>
      <c r="B74" s="373">
        <f>+'Red C'!F45</f>
        <v>21075</v>
      </c>
      <c r="C74" s="352">
        <f>+B74*J58</f>
        <v>44889.75</v>
      </c>
      <c r="D74" s="200">
        <f>+'Red C'!D52</f>
        <v>415083.77</v>
      </c>
      <c r="E74" s="47">
        <f>+C74-D74</f>
        <v>-370194.02</v>
      </c>
      <c r="F74" s="369">
        <f>+'Red C'!A45</f>
        <v>37268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315</v>
      </c>
      <c r="B75" s="373">
        <f>+Amoco!D40</f>
        <v>3885</v>
      </c>
      <c r="C75" s="351">
        <f>+B75*$J$3</f>
        <v>8275.0499999999993</v>
      </c>
      <c r="D75" s="47">
        <f>+Amoco!D47</f>
        <v>345204.35</v>
      </c>
      <c r="E75" s="47">
        <f>+C75-D75</f>
        <v>-336929.3</v>
      </c>
      <c r="F75" s="370">
        <f>+Amoco!A40</f>
        <v>37268</v>
      </c>
      <c r="G75" s="203" t="s">
        <v>153</v>
      </c>
      <c r="H75" s="32" t="s">
        <v>115</v>
      </c>
      <c r="I75" s="32"/>
      <c r="J75" s="32"/>
      <c r="K75" s="32"/>
    </row>
    <row r="76" spans="1:11" x14ac:dyDescent="0.2">
      <c r="A76" s="248" t="s">
        <v>179</v>
      </c>
      <c r="B76" s="373">
        <f>+'El Paso'!E39</f>
        <v>-68481</v>
      </c>
      <c r="C76" s="351">
        <f>+B76*$J$3</f>
        <v>-145864.53</v>
      </c>
      <c r="D76" s="47">
        <f>+'El Paso'!F46</f>
        <v>-657254.01</v>
      </c>
      <c r="E76" s="47">
        <f>+C76-D76</f>
        <v>511389.48</v>
      </c>
      <c r="F76" s="370">
        <f>+'El Paso'!A39</f>
        <v>37268</v>
      </c>
      <c r="G76" s="425" t="s">
        <v>154</v>
      </c>
      <c r="H76" s="32" t="s">
        <v>100</v>
      </c>
      <c r="I76" s="32"/>
      <c r="J76" s="32"/>
      <c r="K76" s="32"/>
    </row>
    <row r="77" spans="1:11" x14ac:dyDescent="0.2">
      <c r="A77" s="248" t="s">
        <v>1</v>
      </c>
      <c r="B77" s="375">
        <f>+NW!$F$41</f>
        <v>-22218</v>
      </c>
      <c r="C77" s="354">
        <f>+B77*$J$3</f>
        <v>-47324.34</v>
      </c>
      <c r="D77" s="354">
        <f>+NW!E49</f>
        <v>-507243.77</v>
      </c>
      <c r="E77" s="354">
        <f>+C77-D77</f>
        <v>459919.43000000005</v>
      </c>
      <c r="F77" s="369">
        <f>+NW!B41</f>
        <v>37268</v>
      </c>
      <c r="G77" s="203" t="s">
        <v>153</v>
      </c>
      <c r="H77" s="32" t="s">
        <v>115</v>
      </c>
      <c r="I77" s="32"/>
      <c r="J77" s="32"/>
      <c r="K77" s="32"/>
    </row>
    <row r="78" spans="1:11" x14ac:dyDescent="0.2">
      <c r="A78" s="32" t="s">
        <v>157</v>
      </c>
      <c r="B78" s="398">
        <f>SUBTOTAL(9,B74:B77)</f>
        <v>-65739</v>
      </c>
      <c r="C78" s="393">
        <f>SUBTOTAL(9,C74:C77)</f>
        <v>-140024.07</v>
      </c>
      <c r="D78" s="393">
        <f>SUBTOTAL(9,D74:D77)</f>
        <v>-404209.66000000003</v>
      </c>
      <c r="E78" s="393">
        <f>SUBTOTAL(9,E74:E77)</f>
        <v>264185.58999999997</v>
      </c>
      <c r="F78" s="369"/>
      <c r="G78" s="203"/>
      <c r="H78" s="32"/>
      <c r="I78" s="32"/>
      <c r="J78" s="32"/>
      <c r="K78" s="32"/>
    </row>
    <row r="79" spans="1:11" x14ac:dyDescent="0.2">
      <c r="B79" s="286"/>
      <c r="C79" s="247"/>
      <c r="G79" s="203"/>
    </row>
    <row r="80" spans="1:11" x14ac:dyDescent="0.2">
      <c r="A80" s="371" t="s">
        <v>159</v>
      </c>
      <c r="B80" s="286"/>
      <c r="C80" s="247"/>
      <c r="G80" s="203"/>
    </row>
    <row r="81" spans="1:12" x14ac:dyDescent="0.2">
      <c r="A81" s="248" t="s">
        <v>88</v>
      </c>
      <c r="B81" s="373">
        <f>+NGPL!F38</f>
        <v>130784</v>
      </c>
      <c r="C81" s="486">
        <f>+B81*$J$5</f>
        <v>285109.12</v>
      </c>
      <c r="D81" s="47">
        <f>+NGPL!D45</f>
        <v>328071.84000000003</v>
      </c>
      <c r="E81" s="47">
        <f>+C81-D81</f>
        <v>-42962.72000000003</v>
      </c>
      <c r="F81" s="370">
        <f>+NGPL!A38</f>
        <v>37268</v>
      </c>
      <c r="G81" s="203" t="s">
        <v>153</v>
      </c>
      <c r="H81" s="32" t="s">
        <v>115</v>
      </c>
      <c r="I81" s="32"/>
      <c r="J81" s="32"/>
      <c r="K81" s="32"/>
    </row>
    <row r="82" spans="1:12" x14ac:dyDescent="0.2">
      <c r="A82" s="248" t="s">
        <v>142</v>
      </c>
      <c r="B82" s="373">
        <f>+PEPL!D41</f>
        <v>-16473</v>
      </c>
      <c r="C82" s="487">
        <f>+B82*$J$4</f>
        <v>-35581.68</v>
      </c>
      <c r="D82" s="47">
        <f>+PEPL!D47</f>
        <v>145479.79999999999</v>
      </c>
      <c r="E82" s="47">
        <f>+C82-D82</f>
        <v>-181061.47999999998</v>
      </c>
      <c r="F82" s="370">
        <f>+PEPL!A41</f>
        <v>37268</v>
      </c>
      <c r="G82" s="32" t="s">
        <v>328</v>
      </c>
      <c r="H82" s="32" t="s">
        <v>100</v>
      </c>
      <c r="I82" s="32" t="s">
        <v>141</v>
      </c>
      <c r="J82" s="32"/>
      <c r="K82" s="32"/>
    </row>
    <row r="83" spans="1:12" ht="13.5" customHeight="1" outlineLevel="2" x14ac:dyDescent="0.2">
      <c r="A83" s="248" t="s">
        <v>110</v>
      </c>
      <c r="B83" s="206">
        <f>+CIG!D42</f>
        <v>17587</v>
      </c>
      <c r="C83" s="487">
        <f>+B83*$J$4</f>
        <v>37987.920000000006</v>
      </c>
      <c r="D83" s="200">
        <f>+CIG!D49</f>
        <v>385997.44</v>
      </c>
      <c r="E83" s="70">
        <f>+C83-D83</f>
        <v>-348009.52</v>
      </c>
      <c r="F83" s="370">
        <f>+CIG!A42</f>
        <v>37268</v>
      </c>
      <c r="G83" s="203" t="s">
        <v>154</v>
      </c>
      <c r="H83" s="32" t="s">
        <v>113</v>
      </c>
      <c r="I83" s="32" t="s">
        <v>180</v>
      </c>
      <c r="J83" s="32"/>
      <c r="K83" s="32"/>
    </row>
    <row r="84" spans="1:12" x14ac:dyDescent="0.2">
      <c r="A84" s="248" t="s">
        <v>31</v>
      </c>
      <c r="B84" s="377">
        <f>+Lonestar!F43</f>
        <v>24486.02</v>
      </c>
      <c r="C84" s="505">
        <f>+B84*J60</f>
        <v>53379.523600000008</v>
      </c>
      <c r="D84" s="354">
        <f>+Lonestar!D50</f>
        <v>26732.240000000002</v>
      </c>
      <c r="E84" s="354">
        <f>+C84-D84</f>
        <v>26647.283600000006</v>
      </c>
      <c r="F84" s="369">
        <f>+Lonestar!A43</f>
        <v>37268</v>
      </c>
      <c r="G84" s="32" t="s">
        <v>328</v>
      </c>
      <c r="H84" s="32" t="s">
        <v>102</v>
      </c>
      <c r="I84" s="32"/>
      <c r="J84" s="32"/>
      <c r="K84" s="32"/>
    </row>
    <row r="85" spans="1:12" x14ac:dyDescent="0.2">
      <c r="A85" s="2" t="s">
        <v>160</v>
      </c>
      <c r="B85" s="394">
        <f>SUBTOTAL(9,B81:B84)</f>
        <v>156384.01999999999</v>
      </c>
      <c r="C85" s="393">
        <f>SUBTOTAL(9,C81:C84)</f>
        <v>340894.8836</v>
      </c>
      <c r="D85" s="393">
        <f>SUBTOTAL(9,D81:D84)</f>
        <v>886281.32000000007</v>
      </c>
      <c r="E85" s="393">
        <f>SUBTOTAL(9,E81:E84)</f>
        <v>-545386.43640000001</v>
      </c>
      <c r="F85" s="369"/>
      <c r="H85" s="32"/>
      <c r="I85" s="32"/>
      <c r="J85" s="32"/>
      <c r="K85" s="32"/>
    </row>
    <row r="86" spans="1:12" x14ac:dyDescent="0.2">
      <c r="B86" s="286"/>
      <c r="C86" s="247"/>
    </row>
    <row r="87" spans="1:12" x14ac:dyDescent="0.2">
      <c r="A87" s="2" t="s">
        <v>165</v>
      </c>
      <c r="B87" s="394">
        <f>SUBTOTAL(9,B67:B84)</f>
        <v>447255.02</v>
      </c>
      <c r="C87" s="393">
        <f>SUBTOTAL(9,C67:C84)</f>
        <v>971148.41360000009</v>
      </c>
      <c r="D87" s="393">
        <f>SUBTOTAL(9,D67:D84)</f>
        <v>-774924.17999999993</v>
      </c>
      <c r="E87" s="393">
        <f>SUBTOTAL(9,E67:E84)</f>
        <v>1746072.5936</v>
      </c>
      <c r="F87" s="369"/>
      <c r="H87" s="32"/>
      <c r="I87" s="32"/>
      <c r="J87" s="32"/>
      <c r="K87" s="32"/>
    </row>
    <row r="88" spans="1:12" x14ac:dyDescent="0.2">
      <c r="A88" s="32"/>
      <c r="B88" s="351"/>
      <c r="C88" s="374"/>
      <c r="D88" s="351"/>
      <c r="E88" s="351"/>
      <c r="F88" s="369"/>
      <c r="H88" s="32"/>
      <c r="I88" s="32"/>
      <c r="J88" s="32"/>
      <c r="K88" s="32"/>
    </row>
    <row r="89" spans="1:12" x14ac:dyDescent="0.2">
      <c r="A89" s="32"/>
      <c r="B89" s="354"/>
      <c r="C89" s="373"/>
      <c r="D89" s="293"/>
      <c r="E89" s="293"/>
      <c r="F89" s="369"/>
      <c r="G89" s="32"/>
      <c r="I89" s="32"/>
      <c r="J89" s="32"/>
      <c r="K89" s="32"/>
      <c r="L89" s="32"/>
    </row>
    <row r="90" spans="1:12" ht="13.5" thickBot="1" x14ac:dyDescent="0.25">
      <c r="A90" s="2" t="s">
        <v>167</v>
      </c>
      <c r="B90" s="401">
        <f>+C87+B52</f>
        <v>2593303.7135999999</v>
      </c>
      <c r="C90" s="206"/>
      <c r="D90" s="351"/>
      <c r="E90" s="351"/>
      <c r="F90" s="358"/>
      <c r="H90" s="32"/>
      <c r="I90" s="32"/>
      <c r="J90" s="32"/>
      <c r="K90" s="32"/>
    </row>
    <row r="91" spans="1:12" ht="13.5" thickTop="1" x14ac:dyDescent="0.2">
      <c r="A91" s="2" t="s">
        <v>168</v>
      </c>
      <c r="B91" s="14">
        <f>+B87+C52</f>
        <v>1197526.190099257</v>
      </c>
      <c r="C91" s="376"/>
      <c r="D91" s="427"/>
      <c r="E91" s="293"/>
      <c r="F91" s="358"/>
      <c r="G91" s="32"/>
      <c r="H91" s="32"/>
      <c r="I91" s="32"/>
      <c r="J91" s="32"/>
    </row>
    <row r="92" spans="1:12" x14ac:dyDescent="0.2">
      <c r="A92" s="32"/>
      <c r="B92" s="47"/>
      <c r="C92" s="378"/>
      <c r="D92" s="293"/>
      <c r="E92" s="293"/>
      <c r="F92" s="204"/>
      <c r="G92" s="32"/>
      <c r="H92" s="32"/>
      <c r="I92" s="32"/>
      <c r="J92" s="32"/>
    </row>
    <row r="93" spans="1:12" x14ac:dyDescent="0.2">
      <c r="A93" s="32"/>
      <c r="B93" s="47"/>
      <c r="C93" s="69"/>
      <c r="E93" s="32"/>
      <c r="F93" s="32"/>
      <c r="G93" s="32"/>
      <c r="H93" s="32"/>
      <c r="I93" s="32"/>
    </row>
    <row r="94" spans="1:12" x14ac:dyDescent="0.2">
      <c r="A94" s="32"/>
      <c r="B94" s="47"/>
      <c r="C94" s="69"/>
      <c r="D94" s="32"/>
      <c r="E94" s="32"/>
      <c r="F94" s="32"/>
      <c r="G94" s="32"/>
      <c r="H94" s="32"/>
    </row>
    <row r="95" spans="1:12" x14ac:dyDescent="0.2">
      <c r="A95" s="32"/>
      <c r="B95" s="200"/>
      <c r="C95" s="294"/>
      <c r="D95" s="16"/>
      <c r="E95" s="32"/>
      <c r="F95" s="32"/>
      <c r="G95" s="32"/>
      <c r="H95" s="32"/>
    </row>
    <row r="101" spans="1:8" x14ac:dyDescent="0.2">
      <c r="A101" s="32"/>
      <c r="B101" s="200"/>
      <c r="C101" s="69"/>
      <c r="D101" s="70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200"/>
      <c r="C104" s="14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32"/>
      <c r="E106" s="32"/>
      <c r="F106" s="32"/>
      <c r="G106" s="32"/>
      <c r="H106" s="32"/>
    </row>
    <row r="107" spans="1:8" x14ac:dyDescent="0.2">
      <c r="A107" s="32"/>
      <c r="B107" s="200"/>
      <c r="C107" s="367"/>
      <c r="D107" s="32"/>
      <c r="E107" s="32"/>
      <c r="F107" s="32"/>
      <c r="G107" s="32"/>
      <c r="H107" s="32"/>
    </row>
    <row r="108" spans="1:8" x14ac:dyDescent="0.2">
      <c r="A108" s="32"/>
      <c r="B108" s="47"/>
      <c r="C108" s="69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>
        <v>300</v>
      </c>
      <c r="B127" s="47"/>
      <c r="D127" s="32"/>
      <c r="E127" s="32"/>
      <c r="F127" s="32"/>
      <c r="G127" s="32"/>
      <c r="H127" s="32"/>
    </row>
    <row r="128" spans="1:8" x14ac:dyDescent="0.2">
      <c r="A128" s="32">
        <v>35</v>
      </c>
      <c r="B128" s="47"/>
      <c r="D128" s="32"/>
      <c r="E128" s="32"/>
      <c r="F128" s="32"/>
      <c r="G128" s="32"/>
      <c r="H128" s="32"/>
    </row>
    <row r="129" spans="1:8" x14ac:dyDescent="0.2">
      <c r="A129" s="32">
        <f>+A128*A127</f>
        <v>10500</v>
      </c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B25" sqref="B2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158258</v>
      </c>
      <c r="C17" s="416">
        <v>147089</v>
      </c>
      <c r="D17" s="310">
        <f t="shared" si="0"/>
        <v>-11169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/>
      <c r="C18" s="416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/>
      <c r="C19" s="416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1795381</v>
      </c>
      <c r="C37" s="416">
        <f>SUM(C6:C36)</f>
        <v>1829476</v>
      </c>
      <c r="D37" s="416">
        <f>SUM(D6:D36)</f>
        <v>34095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37268</v>
      </c>
      <c r="B40" s="285"/>
      <c r="C40" s="441"/>
      <c r="D40" s="310">
        <f>+D39+D37</f>
        <v>3885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37268</v>
      </c>
      <c r="B46" s="32"/>
      <c r="C46" s="32"/>
      <c r="D46" s="380">
        <f>+D37*'by type_area'!J3</f>
        <v>72622.349999999991</v>
      </c>
      <c r="H46">
        <v>500</v>
      </c>
    </row>
    <row r="47" spans="1:16" x14ac:dyDescent="0.2">
      <c r="A47" s="32"/>
      <c r="B47" s="32"/>
      <c r="C47" s="32"/>
      <c r="D47" s="200">
        <f>+D46+D45</f>
        <v>345204.35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5" sqref="C3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-629697</v>
      </c>
      <c r="C36" s="24">
        <f>SUM(C5:C35)</f>
        <v>-628810</v>
      </c>
      <c r="D36" s="24">
        <f t="shared" si="0"/>
        <v>887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+summary!I5</f>
        <v>2.1800000000000002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1933.66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37268</v>
      </c>
      <c r="B40"/>
      <c r="C40" s="48"/>
      <c r="D40" s="138">
        <f>+D39+D38</f>
        <v>-31307.750000000004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37268</v>
      </c>
      <c r="B46" s="32"/>
      <c r="C46" s="32"/>
      <c r="D46" s="355">
        <f>+D36</f>
        <v>887</v>
      </c>
    </row>
    <row r="47" spans="1:65" x14ac:dyDescent="0.2">
      <c r="A47" s="32"/>
      <c r="B47" s="32"/>
      <c r="C47" s="32"/>
      <c r="D47" s="14">
        <f>+D46+D45</f>
        <v>-17192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346332+31653</f>
        <v>377985</v>
      </c>
      <c r="C5" s="90">
        <v>373035</v>
      </c>
      <c r="D5" s="90">
        <f>+C5-B5</f>
        <v>-4950</v>
      </c>
      <c r="E5" s="275"/>
      <c r="F5" s="273"/>
    </row>
    <row r="6" spans="1:13" x14ac:dyDescent="0.2">
      <c r="A6" s="87">
        <v>78311</v>
      </c>
      <c r="B6" s="90">
        <f>125215+15707</f>
        <v>140922</v>
      </c>
      <c r="C6" s="90">
        <v>119950</v>
      </c>
      <c r="D6" s="90">
        <f t="shared" ref="D6:D17" si="0">+C6-B6</f>
        <v>-20972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302887+20769</f>
        <v>323656</v>
      </c>
      <c r="C7" s="90">
        <v>346781</v>
      </c>
      <c r="D7" s="90">
        <f t="shared" si="0"/>
        <v>23125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363271+23538</f>
        <v>386809</v>
      </c>
      <c r="C8" s="90">
        <v>310435</v>
      </c>
      <c r="D8" s="90">
        <f t="shared" si="0"/>
        <v>-76374</v>
      </c>
      <c r="E8" s="461"/>
      <c r="F8" s="273"/>
    </row>
    <row r="9" spans="1:13" x14ac:dyDescent="0.2">
      <c r="A9" s="87">
        <v>500293</v>
      </c>
      <c r="B9" s="90">
        <f>207111+17695</f>
        <v>224806</v>
      </c>
      <c r="C9" s="90">
        <v>236280</v>
      </c>
      <c r="D9" s="90">
        <f t="shared" si="0"/>
        <v>11474</v>
      </c>
      <c r="E9" s="275"/>
      <c r="F9" s="273"/>
    </row>
    <row r="10" spans="1:13" x14ac:dyDescent="0.2">
      <c r="A10" s="87">
        <v>500302</v>
      </c>
      <c r="B10" s="90"/>
      <c r="C10" s="90">
        <v>3312</v>
      </c>
      <c r="D10" s="90">
        <f t="shared" si="0"/>
        <v>3312</v>
      </c>
      <c r="E10" s="275"/>
      <c r="F10" s="273"/>
    </row>
    <row r="11" spans="1:13" x14ac:dyDescent="0.2">
      <c r="A11" s="87">
        <v>500303</v>
      </c>
      <c r="B11" s="90"/>
      <c r="C11" s="90">
        <v>114645</v>
      </c>
      <c r="D11" s="90">
        <f t="shared" si="0"/>
        <v>114645</v>
      </c>
      <c r="E11" s="275"/>
      <c r="F11" s="273"/>
    </row>
    <row r="12" spans="1:13" x14ac:dyDescent="0.2">
      <c r="A12" s="91">
        <v>500305</v>
      </c>
      <c r="B12" s="90">
        <f>556267+52510</f>
        <v>608777</v>
      </c>
      <c r="C12" s="90">
        <v>578790</v>
      </c>
      <c r="D12" s="90">
        <f t="shared" si="0"/>
        <v>-29987</v>
      </c>
      <c r="E12" s="276"/>
      <c r="F12" s="273"/>
    </row>
    <row r="13" spans="1:13" x14ac:dyDescent="0.2">
      <c r="A13" s="87">
        <v>500307</v>
      </c>
      <c r="B13" s="90">
        <f>32448+2288</f>
        <v>34736</v>
      </c>
      <c r="C13" s="90">
        <v>14896</v>
      </c>
      <c r="D13" s="90">
        <f t="shared" si="0"/>
        <v>-19840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83991+8000</f>
        <v>91991</v>
      </c>
      <c r="C16" s="90"/>
      <c r="D16" s="90">
        <f t="shared" si="0"/>
        <v>-91991</v>
      </c>
      <c r="E16" s="275"/>
      <c r="F16" s="273"/>
    </row>
    <row r="17" spans="1:6" x14ac:dyDescent="0.2">
      <c r="A17" s="87">
        <v>500657</v>
      </c>
      <c r="B17" s="88">
        <f>62420+5520</f>
        <v>67940</v>
      </c>
      <c r="C17" s="88">
        <v>83988</v>
      </c>
      <c r="D17" s="94">
        <f t="shared" si="0"/>
        <v>16048</v>
      </c>
      <c r="E17" s="275"/>
      <c r="F17" s="273"/>
    </row>
    <row r="18" spans="1:6" x14ac:dyDescent="0.2">
      <c r="A18" s="87"/>
      <c r="B18" s="88"/>
      <c r="C18" s="88"/>
      <c r="D18" s="88">
        <f>SUM(D5:D17)</f>
        <v>-74803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+summary!I5</f>
        <v>2.1800000000000002</v>
      </c>
      <c r="E19" s="277"/>
      <c r="F19" s="273"/>
    </row>
    <row r="20" spans="1:6" x14ac:dyDescent="0.2">
      <c r="A20" s="87"/>
      <c r="B20" s="88"/>
      <c r="C20" s="88"/>
      <c r="D20" s="96">
        <f>+D19*D18</f>
        <v>-163070.54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37268</v>
      </c>
      <c r="B24" s="88"/>
      <c r="C24" s="88"/>
      <c r="D24" s="321">
        <f>+D22+D20</f>
        <v>-122461.28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37268</v>
      </c>
      <c r="B30" s="32"/>
      <c r="C30" s="32"/>
      <c r="D30" s="355">
        <f>+D18</f>
        <v>-74803</v>
      </c>
    </row>
    <row r="31" spans="1:6" x14ac:dyDescent="0.2">
      <c r="A31" s="32"/>
      <c r="B31" s="32"/>
      <c r="C31" s="32"/>
      <c r="D31" s="14">
        <f>+D30+D29</f>
        <v>-43097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3" sqref="E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393779</v>
      </c>
      <c r="C35" s="11">
        <f>SUM(C4:C34)</f>
        <v>400962</v>
      </c>
      <c r="D35" s="11">
        <f>SUM(D4:D34)</f>
        <v>388231</v>
      </c>
      <c r="E35" s="11">
        <f>SUM(E4:E34)</f>
        <v>385363</v>
      </c>
      <c r="F35" s="11">
        <f>+E35-D35+C35-B35</f>
        <v>4315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+summary!I4</f>
        <v>2.16</v>
      </c>
    </row>
    <row r="38" spans="1:7" x14ac:dyDescent="0.2">
      <c r="C38" s="48"/>
      <c r="D38" s="47"/>
      <c r="E38" s="48"/>
      <c r="F38" s="46">
        <f>+F37*F35</f>
        <v>9320.4000000000015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37268</v>
      </c>
      <c r="C41" s="106"/>
      <c r="D41" s="106"/>
      <c r="E41" s="106"/>
      <c r="F41" s="106">
        <f>+F38+F40</f>
        <v>469747.09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37268</v>
      </c>
      <c r="D47" s="355">
        <f>+F35</f>
        <v>4315</v>
      </c>
      <c r="E47" s="11"/>
      <c r="F47" s="11"/>
      <c r="G47" s="25"/>
    </row>
    <row r="48" spans="1:7" x14ac:dyDescent="0.2">
      <c r="D48" s="14">
        <f>+D47+D46</f>
        <v>22282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D13" sqref="D1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2143307</v>
      </c>
      <c r="C36" s="11">
        <f>SUM(C5:C35)</f>
        <v>2157522</v>
      </c>
      <c r="D36" s="11">
        <f>SUM(D5:D35)</f>
        <v>0</v>
      </c>
      <c r="E36" s="11">
        <f>SUM(E5:E35)</f>
        <v>-14044</v>
      </c>
      <c r="F36" s="11">
        <f>SUM(F5:F35)</f>
        <v>171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37268</v>
      </c>
      <c r="F41" s="336">
        <f>+F39+F36</f>
        <v>-22218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37268</v>
      </c>
      <c r="C48" s="32"/>
      <c r="D48" s="32"/>
      <c r="E48" s="380">
        <f>+F36*'by type_area'!J3</f>
        <v>364.22999999999996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-507243.77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3" sqref="C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93076</v>
      </c>
      <c r="C19" s="11">
        <v>92822</v>
      </c>
      <c r="D19" s="11">
        <f t="shared" si="0"/>
        <v>-254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1196927</v>
      </c>
      <c r="C39" s="11">
        <f>SUM(C8:C38)</f>
        <v>1204513</v>
      </c>
      <c r="D39" s="11">
        <f>SUM(D8:D38)</f>
        <v>7586</v>
      </c>
      <c r="E39" s="10"/>
      <c r="F39" s="11"/>
      <c r="G39" s="11"/>
      <c r="H39" s="11"/>
    </row>
    <row r="40" spans="1:8" x14ac:dyDescent="0.2">
      <c r="A40" s="26"/>
      <c r="D40" s="75">
        <f>+summary!I4</f>
        <v>2.16</v>
      </c>
      <c r="E40" s="26"/>
      <c r="H40" s="75"/>
    </row>
    <row r="41" spans="1:8" x14ac:dyDescent="0.2">
      <c r="D41" s="195">
        <f>+D40*D39</f>
        <v>16385.760000000002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37268</v>
      </c>
      <c r="D43" s="196">
        <f>+D42+D41</f>
        <v>29206.760000000002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37268</v>
      </c>
      <c r="B49" s="32"/>
      <c r="C49" s="32"/>
      <c r="D49" s="355">
        <f>+D39</f>
        <v>7586</v>
      </c>
    </row>
    <row r="50" spans="1:4" x14ac:dyDescent="0.2">
      <c r="A50" s="32"/>
      <c r="B50" s="32"/>
      <c r="C50" s="32"/>
      <c r="D50" s="14">
        <f>+D49+D48</f>
        <v>-42196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C62" sqref="C6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37268</v>
      </c>
      <c r="I7" s="3" t="s">
        <v>259</v>
      </c>
      <c r="J7" s="15"/>
    </row>
    <row r="8" spans="1:14" x14ac:dyDescent="0.2">
      <c r="A8" s="248">
        <v>50895</v>
      </c>
      <c r="B8" s="343">
        <f>2760-2245-365</f>
        <v>150</v>
      </c>
      <c r="J8" s="15"/>
    </row>
    <row r="9" spans="1:14" x14ac:dyDescent="0.2">
      <c r="A9" s="248">
        <v>60874</v>
      </c>
      <c r="B9" s="343">
        <f>1453+136</f>
        <v>1589</v>
      </c>
      <c r="J9" s="15"/>
    </row>
    <row r="10" spans="1:14" x14ac:dyDescent="0.2">
      <c r="A10" s="248">
        <v>78169</v>
      </c>
      <c r="B10" s="343">
        <f>178760-151754-17897</f>
        <v>9109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4800-6040-563</f>
        <v>-1803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2160-777</f>
        <v>1383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4800-775-12</f>
        <v>4013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676924-615694-50036</f>
        <v>11194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25533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+summary!I5</f>
        <v>2.1800000000000002</v>
      </c>
      <c r="C19" s="199">
        <f>+B19*B18</f>
        <v>55661.94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1586931.5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+summary!I4</f>
        <v>2.16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37268</v>
      </c>
      <c r="F39" s="355">
        <f>+B18</f>
        <v>25533</v>
      </c>
      <c r="G39" s="355">
        <f>+B31</f>
        <v>0</v>
      </c>
      <c r="H39" s="355">
        <f>+B46</f>
        <v>2544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404095</v>
      </c>
      <c r="G40" s="14">
        <f>+G39+G38</f>
        <v>117857</v>
      </c>
      <c r="H40" s="14">
        <f>+H39+H38</f>
        <v>189520</v>
      </c>
      <c r="I40" s="14">
        <f>+H40+G40+F40</f>
        <v>711472</v>
      </c>
    </row>
    <row r="41" spans="1:9" x14ac:dyDescent="0.2">
      <c r="G41" s="32"/>
      <c r="H41" s="15"/>
      <c r="I41" s="32"/>
    </row>
    <row r="42" spans="1:9" x14ac:dyDescent="0.2">
      <c r="A42" s="245">
        <v>37268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1557</v>
      </c>
      <c r="G44" s="32"/>
      <c r="H44" s="386"/>
      <c r="I44" s="14"/>
    </row>
    <row r="45" spans="1:9" x14ac:dyDescent="0.2">
      <c r="A45" s="32">
        <v>500392</v>
      </c>
      <c r="B45" s="250">
        <v>987</v>
      </c>
      <c r="G45" s="32"/>
      <c r="H45" s="386"/>
      <c r="I45" s="14"/>
    </row>
    <row r="46" spans="1:9" x14ac:dyDescent="0.2">
      <c r="B46" s="14">
        <f>SUM(B43:B45)</f>
        <v>2544</v>
      </c>
      <c r="G46" s="32"/>
      <c r="H46" s="386"/>
      <c r="I46" s="14"/>
    </row>
    <row r="47" spans="1:9" x14ac:dyDescent="0.2">
      <c r="B47" s="199">
        <f>+summary!I5</f>
        <v>2.1800000000000002</v>
      </c>
      <c r="C47" s="199">
        <f>+B47*B46</f>
        <v>5545.92</v>
      </c>
      <c r="H47" s="386"/>
      <c r="I47" s="14"/>
    </row>
    <row r="48" spans="1:9" x14ac:dyDescent="0.2">
      <c r="C48" s="324">
        <f>+C47+C40</f>
        <v>847922.71000000008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2807225.3600000003</v>
      </c>
      <c r="I57" s="14">
        <f>SUM(I40:I54)</f>
        <v>766805</v>
      </c>
    </row>
    <row r="61" spans="1:9" x14ac:dyDescent="0.2">
      <c r="C61" s="15">
        <f>+DEFS!F49</f>
        <v>-2784383.2</v>
      </c>
    </row>
    <row r="62" spans="1:9" x14ac:dyDescent="0.2">
      <c r="C62" s="15">
        <f>+C61+C57</f>
        <v>22842.160000000149</v>
      </c>
      <c r="I62" s="31">
        <f>+I57+DEFS!K49</f>
        <v>338750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D39" sqref="D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23307</v>
      </c>
      <c r="E15" s="11">
        <v>24000</v>
      </c>
      <c r="F15" s="11">
        <f t="shared" si="0"/>
        <v>693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292714</v>
      </c>
      <c r="E35" s="11">
        <f>SUM(E4:E34)</f>
        <v>288000</v>
      </c>
      <c r="F35" s="11">
        <f>SUM(F4:F34)</f>
        <v>-4714</v>
      </c>
      <c r="G35" s="11"/>
      <c r="H35" s="49">
        <f>+A40</f>
        <v>37268</v>
      </c>
      <c r="I35" s="355">
        <f>+C36</f>
        <v>0</v>
      </c>
      <c r="J35" s="355">
        <f>+E36</f>
        <v>-4714</v>
      </c>
      <c r="K35" s="206"/>
      <c r="L35" s="14"/>
    </row>
    <row r="36" spans="1:13" x14ac:dyDescent="0.2">
      <c r="C36" s="25">
        <f>+C35-B35</f>
        <v>0</v>
      </c>
      <c r="E36" s="25">
        <f>+E35-D35</f>
        <v>-4714</v>
      </c>
      <c r="F36" s="25">
        <f>+E36+C36</f>
        <v>-4714</v>
      </c>
      <c r="H36" s="32"/>
      <c r="I36" s="14">
        <f>+I35+I34</f>
        <v>-183022</v>
      </c>
      <c r="J36" s="14">
        <f>+J35+J34</f>
        <v>-133311</v>
      </c>
      <c r="K36" s="14">
        <f>+J36+I36</f>
        <v>-316333</v>
      </c>
      <c r="L36" s="14"/>
    </row>
    <row r="37" spans="1:13" x14ac:dyDescent="0.2">
      <c r="C37" s="316">
        <f>+summary!I5</f>
        <v>2.1800000000000002</v>
      </c>
      <c r="E37" s="104">
        <f>+C37</f>
        <v>2.1800000000000002</v>
      </c>
      <c r="F37" s="138">
        <f>+F36*E37</f>
        <v>-10276.52</v>
      </c>
    </row>
    <row r="38" spans="1:13" x14ac:dyDescent="0.2">
      <c r="C38" s="138">
        <f>+C37*C36</f>
        <v>0</v>
      </c>
      <c r="E38" s="136">
        <f>+E37*E36</f>
        <v>-10276.52</v>
      </c>
      <c r="F38" s="138">
        <f>+E38+C38</f>
        <v>-10276.52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37268</v>
      </c>
      <c r="B40" s="2" t="s">
        <v>45</v>
      </c>
      <c r="C40" s="317">
        <f>+C39+C38</f>
        <v>-1033420.01</v>
      </c>
      <c r="D40" s="252"/>
      <c r="E40" s="317">
        <f>+E39+E38</f>
        <v>-582126.86</v>
      </c>
      <c r="F40" s="317">
        <f>+E40+C40</f>
        <v>-1615546.87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-2784383.2</v>
      </c>
      <c r="G49" s="246"/>
      <c r="K49" s="14">
        <f>SUM(K36:K48)</f>
        <v>-428055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2807225.3600000003</v>
      </c>
      <c r="M51" s="14">
        <f>+Duke!I57</f>
        <v>766805</v>
      </c>
    </row>
    <row r="53" spans="3:13" x14ac:dyDescent="0.2">
      <c r="F53" s="104">
        <f>+F51+F49</f>
        <v>22842.160000000149</v>
      </c>
      <c r="M53" s="16">
        <f>+M51+K49</f>
        <v>338750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-133311</v>
      </c>
      <c r="C74" s="247">
        <f>+E40</f>
        <v>-582126.86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189520</v>
      </c>
      <c r="C77" s="259">
        <f>+Duke!C48</f>
        <v>847922.71000000008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404095</v>
      </c>
      <c r="C79" s="259">
        <f>+Duke!C20</f>
        <v>1586931.5</v>
      </c>
    </row>
    <row r="81" spans="2:3" x14ac:dyDescent="0.2">
      <c r="B81" s="31">
        <f>SUM(B68:B80)</f>
        <v>338750</v>
      </c>
      <c r="C81" s="259">
        <f>SUM(C68:C80)</f>
        <v>22842.159999999916</v>
      </c>
    </row>
    <row r="82" spans="2:3" x14ac:dyDescent="0.2">
      <c r="C82">
        <f>+C81/B81</f>
        <v>6.7430730627306021E-2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F43" sqref="F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5510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-1446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5678</v>
      </c>
      <c r="C19" s="11">
        <v>5741</v>
      </c>
      <c r="D19" s="11">
        <v>1072</v>
      </c>
      <c r="E19" s="11">
        <v>125</v>
      </c>
      <c r="F19" s="129">
        <v>969</v>
      </c>
      <c r="G19" s="11">
        <v>872</v>
      </c>
      <c r="H19" s="11">
        <v>1537</v>
      </c>
      <c r="I19" s="11">
        <v>1123</v>
      </c>
      <c r="J19" s="25">
        <f t="shared" si="0"/>
        <v>-1395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65355</v>
      </c>
      <c r="C39" s="11">
        <f t="shared" si="1"/>
        <v>68892</v>
      </c>
      <c r="D39" s="11">
        <f t="shared" si="1"/>
        <v>8320</v>
      </c>
      <c r="E39" s="11">
        <f t="shared" si="1"/>
        <v>11499</v>
      </c>
      <c r="F39" s="129">
        <f t="shared" si="1"/>
        <v>11630</v>
      </c>
      <c r="G39" s="11">
        <f t="shared" si="1"/>
        <v>10464</v>
      </c>
      <c r="H39" s="11">
        <f t="shared" si="1"/>
        <v>18112</v>
      </c>
      <c r="I39" s="11">
        <f t="shared" si="1"/>
        <v>13476</v>
      </c>
      <c r="J39" s="25">
        <f t="shared" si="1"/>
        <v>914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+summary!I4</f>
        <v>2.16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1974.2400000000002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37268</v>
      </c>
      <c r="C43" s="48"/>
      <c r="J43" s="138">
        <f>+J42+J41</f>
        <v>408874.16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37268</v>
      </c>
      <c r="B48" s="32"/>
      <c r="C48" s="32"/>
      <c r="D48" s="355">
        <f>+J39</f>
        <v>914</v>
      </c>
      <c r="L48"/>
    </row>
    <row r="49" spans="1:12" x14ac:dyDescent="0.2">
      <c r="A49" s="32"/>
      <c r="B49" s="32"/>
      <c r="C49" s="32"/>
      <c r="D49" s="14">
        <f>+D48+D47</f>
        <v>167882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+summary!I4</f>
        <v>2.16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-8205.84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37268</v>
      </c>
      <c r="B43" s="285"/>
      <c r="C43" s="441"/>
      <c r="D43" s="441"/>
      <c r="E43" s="441"/>
      <c r="F43" s="422">
        <f>+F42+F41</f>
        <v>171983.99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37268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6"/>
  <sheetViews>
    <sheetView tabSelected="1" topLeftCell="A44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20.100000000000001" customHeight="1" x14ac:dyDescent="0.25">
      <c r="A2" s="346" t="s">
        <v>140</v>
      </c>
      <c r="H2" s="368" t="s">
        <v>78</v>
      </c>
      <c r="I2" s="350"/>
    </row>
    <row r="3" spans="1:33" ht="15" customHeight="1" x14ac:dyDescent="0.2">
      <c r="H3" s="289" t="s">
        <v>29</v>
      </c>
      <c r="I3" s="349">
        <f>+'[3]1001'!$K$39</f>
        <v>2.13</v>
      </c>
      <c r="J3" s="379">
        <f ca="1">NOW()</f>
        <v>41885.689945370374</v>
      </c>
    </row>
    <row r="4" spans="1:33" ht="15" customHeight="1" x14ac:dyDescent="0.2">
      <c r="A4" s="34" t="s">
        <v>145</v>
      </c>
      <c r="C4" s="34" t="s">
        <v>5</v>
      </c>
      <c r="H4" s="290" t="s">
        <v>30</v>
      </c>
      <c r="I4" s="291">
        <f>+'[3]1001'!$M$39</f>
        <v>2.16</v>
      </c>
    </row>
    <row r="5" spans="1:33" ht="15" customHeight="1" x14ac:dyDescent="0.2">
      <c r="B5" s="348"/>
      <c r="H5" s="289" t="s">
        <v>117</v>
      </c>
      <c r="I5" s="349">
        <f>+'[3]1001'!$E$39</f>
        <v>2.1800000000000002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1586931.5</v>
      </c>
      <c r="C8" s="206">
        <f>+B8/$I$5</f>
        <v>727950.22935779812</v>
      </c>
      <c r="D8" s="369">
        <f>+Duke!A7</f>
        <v>37268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1220293.8600000001</v>
      </c>
      <c r="C9" s="206">
        <f>+B9/$I$5</f>
        <v>559767.82568807341</v>
      </c>
      <c r="D9" s="369">
        <f>+DEFS!A40</f>
        <v>37268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815246.48</v>
      </c>
      <c r="C10" s="275">
        <f>+B10/$I$4</f>
        <v>377428.9259259259</v>
      </c>
      <c r="D10" s="370">
        <f>+PNM!A23</f>
        <v>37268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469747.09</v>
      </c>
      <c r="C11" s="275">
        <f>+B11/$I$4</f>
        <v>217475.50462962964</v>
      </c>
      <c r="D11" s="369">
        <f>+Conoco!A41</f>
        <v>37268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+C12*$I$4</f>
        <v>420852.24000000005</v>
      </c>
      <c r="C12" s="275">
        <f>+Mojave!D40</f>
        <v>194839</v>
      </c>
      <c r="D12" s="370">
        <f>+Mojave!A40</f>
        <v>37268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408874.16</v>
      </c>
      <c r="C13" s="275">
        <f>+B13/$I$4</f>
        <v>189293.59259259255</v>
      </c>
      <c r="D13" s="370">
        <f>+mewborne!A43</f>
        <v>37268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+C14*$I$5</f>
        <v>285109.12</v>
      </c>
      <c r="C14" s="275">
        <f>+NGPL!F38</f>
        <v>130784</v>
      </c>
      <c r="D14" s="370">
        <f>+NGPL!A38</f>
        <v>37268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262036.83000000002</v>
      </c>
      <c r="C15" s="275">
        <f>+B15/$I$4</f>
        <v>121313.34722222222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+B8+B9+B38</f>
        <v>22842.160000000149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514" t="s">
        <v>127</v>
      </c>
      <c r="B16" s="486">
        <f>+Calpine!D41</f>
        <v>185104.89</v>
      </c>
      <c r="C16" s="206">
        <f>+B16/$I$4</f>
        <v>85696.708333333328</v>
      </c>
      <c r="D16" s="369">
        <f>+Calpine!A41</f>
        <v>37268</v>
      </c>
      <c r="E16" s="204" t="s">
        <v>85</v>
      </c>
      <c r="F16" s="204" t="s">
        <v>153</v>
      </c>
      <c r="G16" s="204" t="s">
        <v>99</v>
      </c>
      <c r="H16" s="204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514" t="s">
        <v>32</v>
      </c>
      <c r="B17" s="486">
        <f>+C17*$I$4</f>
        <v>183265.2</v>
      </c>
      <c r="C17" s="206">
        <f>+SoCal!F40</f>
        <v>84845</v>
      </c>
      <c r="D17" s="369">
        <f>+SoCal!A40</f>
        <v>37268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207</v>
      </c>
      <c r="B18" s="486">
        <f>+Dominion!D41</f>
        <v>178113.14</v>
      </c>
      <c r="C18" s="275">
        <f>+B18/$I$5</f>
        <v>81703.275229357794</v>
      </c>
      <c r="D18" s="370">
        <f>+Dominion!A41</f>
        <v>37268</v>
      </c>
      <c r="E18" s="32" t="s">
        <v>85</v>
      </c>
      <c r="F18" s="32"/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3</v>
      </c>
      <c r="B19" s="486">
        <f>+'Amoco Abo'!$F$43</f>
        <v>171983.99</v>
      </c>
      <c r="C19" s="275">
        <f>+B19/$I$4</f>
        <v>79622.217592592584</v>
      </c>
      <c r="D19" s="370">
        <f>+'Amoco Abo'!A43</f>
        <v>37268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48" t="s">
        <v>210</v>
      </c>
      <c r="B20" s="486">
        <f>+Devon!D41</f>
        <v>162683.32999999999</v>
      </c>
      <c r="C20" s="275">
        <f>+B20/$I$5</f>
        <v>74625.380733944941</v>
      </c>
      <c r="D20" s="370">
        <f>+Devon!A41</f>
        <v>37268</v>
      </c>
      <c r="E20" s="32" t="s">
        <v>85</v>
      </c>
      <c r="F20" s="32" t="s">
        <v>328</v>
      </c>
      <c r="G20" s="32" t="s">
        <v>99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218</v>
      </c>
      <c r="B21" s="486">
        <f>+Amarillo!P41</f>
        <v>93317.64</v>
      </c>
      <c r="C21" s="275">
        <f>+B21/$I$4</f>
        <v>43202.611111111109</v>
      </c>
      <c r="D21" s="370">
        <f>+Amarillo!A41</f>
        <v>37268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 t="s">
        <v>244</v>
      </c>
      <c r="N21" s="385">
        <v>23995</v>
      </c>
      <c r="O21" s="70">
        <v>-1023166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129</v>
      </c>
      <c r="B22" s="486">
        <f>+EPFS!D41</f>
        <v>93255.409999999989</v>
      </c>
      <c r="C22" s="206">
        <f>+B22/$I$5</f>
        <v>42777.711009174302</v>
      </c>
      <c r="D22" s="369">
        <f>+EPFS!A41</f>
        <v>37268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5">
        <v>22864</v>
      </c>
      <c r="O22" s="70">
        <v>-58339.66</v>
      </c>
      <c r="P22" s="32" t="s">
        <v>248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2.95" customHeight="1" x14ac:dyDescent="0.2">
      <c r="A23" s="32" t="s">
        <v>103</v>
      </c>
      <c r="B23" s="351">
        <f>+EOG!$J$41</f>
        <v>60225.33</v>
      </c>
      <c r="C23" s="275">
        <f>+B23/$I$4</f>
        <v>27882.097222222223</v>
      </c>
      <c r="D23" s="369">
        <f>+EOG!A41</f>
        <v>37268</v>
      </c>
      <c r="E23" s="32" t="s">
        <v>85</v>
      </c>
      <c r="F23" s="32" t="s">
        <v>327</v>
      </c>
      <c r="G23" s="32" t="s">
        <v>102</v>
      </c>
      <c r="H23" s="32"/>
      <c r="I23" s="15"/>
      <c r="J23" s="32"/>
      <c r="K23" s="32"/>
      <c r="L23" s="32"/>
      <c r="M23" s="32" t="s">
        <v>244</v>
      </c>
      <c r="N23" s="385">
        <v>20379</v>
      </c>
      <c r="O23" s="70">
        <v>-51695.87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">
      <c r="A24" s="248" t="s">
        <v>31</v>
      </c>
      <c r="B24" s="351">
        <f>+C24*$I$5</f>
        <v>53379.523600000008</v>
      </c>
      <c r="C24" s="275">
        <f>+Lonestar!F43</f>
        <v>24486.02</v>
      </c>
      <c r="D24" s="369">
        <f>+Lonestar!A43</f>
        <v>37268</v>
      </c>
      <c r="E24" s="32" t="s">
        <v>84</v>
      </c>
      <c r="F24" s="32" t="s">
        <v>328</v>
      </c>
      <c r="G24" s="32" t="s">
        <v>102</v>
      </c>
      <c r="H24" s="32" t="s">
        <v>310</v>
      </c>
      <c r="I24" s="204"/>
      <c r="J24" s="32"/>
      <c r="K24" s="32"/>
      <c r="L24" s="32"/>
      <c r="M24" s="32" t="s">
        <v>244</v>
      </c>
      <c r="N24" s="385">
        <v>26357</v>
      </c>
      <c r="O24" s="70">
        <v>44144.84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514" t="s">
        <v>28</v>
      </c>
      <c r="B25" s="351">
        <f>+C25*$I$3</f>
        <v>46178.399999999994</v>
      </c>
      <c r="C25" s="275">
        <f>+williams!J40</f>
        <v>21680</v>
      </c>
      <c r="D25" s="369">
        <f>+williams!A40</f>
        <v>37268</v>
      </c>
      <c r="E25" s="204" t="s">
        <v>85</v>
      </c>
      <c r="F25" s="204" t="s">
        <v>154</v>
      </c>
      <c r="G25" s="204" t="s">
        <v>317</v>
      </c>
      <c r="H25" s="2"/>
      <c r="I25" s="32"/>
      <c r="J25" s="32"/>
      <c r="K25" s="32"/>
      <c r="L25" s="32"/>
      <c r="M25" s="32" t="s">
        <v>244</v>
      </c>
      <c r="N25" s="385">
        <v>21544</v>
      </c>
      <c r="O25" s="70">
        <v>61340.160000000003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s="293" customFormat="1" ht="12.95" customHeight="1" x14ac:dyDescent="0.2">
      <c r="A26" s="248" t="s">
        <v>23</v>
      </c>
      <c r="B26" s="351">
        <f>+C26*$I$3</f>
        <v>44889.75</v>
      </c>
      <c r="C26" s="353">
        <f>+'Red C'!$F$45</f>
        <v>21075</v>
      </c>
      <c r="D26" s="369">
        <f>+'Red C'!A45</f>
        <v>37268</v>
      </c>
      <c r="E26" s="204" t="s">
        <v>84</v>
      </c>
      <c r="F26" s="32" t="s">
        <v>153</v>
      </c>
      <c r="G26" s="32" t="s">
        <v>115</v>
      </c>
      <c r="H26" s="32"/>
      <c r="I26" s="32"/>
      <c r="J26" s="204"/>
      <c r="K26" s="204"/>
      <c r="L26" s="204"/>
      <c r="M26" s="32" t="s">
        <v>244</v>
      </c>
      <c r="N26" s="477">
        <v>24532</v>
      </c>
      <c r="O26" s="273">
        <v>-956477</v>
      </c>
      <c r="P26" s="273">
        <f>SUM(O21:O26)</f>
        <v>-1984193.5299999998</v>
      </c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293" customFormat="1" ht="13.5" customHeight="1" x14ac:dyDescent="0.2">
      <c r="A27" s="32" t="s">
        <v>324</v>
      </c>
      <c r="B27" s="351">
        <f>+Stratland!$D$41</f>
        <v>42574.03</v>
      </c>
      <c r="C27" s="275">
        <f>+B27/$I$4</f>
        <v>19710.199074074073</v>
      </c>
      <c r="D27" s="369">
        <f>+EOG!A47</f>
        <v>37268</v>
      </c>
      <c r="E27" s="32" t="s">
        <v>85</v>
      </c>
      <c r="F27" s="32"/>
      <c r="G27" s="32" t="s">
        <v>102</v>
      </c>
      <c r="H27" s="32"/>
      <c r="I27" s="204"/>
      <c r="J27" s="204"/>
      <c r="K27" s="204"/>
      <c r="L27" s="204"/>
      <c r="M27" s="204" t="s">
        <v>243</v>
      </c>
      <c r="N27" s="477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248" t="s">
        <v>110</v>
      </c>
      <c r="B28" s="351">
        <f>+C28*$I$4</f>
        <v>37987.920000000006</v>
      </c>
      <c r="C28" s="275">
        <f>+CIG!D42</f>
        <v>17587</v>
      </c>
      <c r="D28" s="370">
        <f>+CIG!A42</f>
        <v>37268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7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303</v>
      </c>
      <c r="B29" s="486">
        <f>+'WTG inc'!N43</f>
        <v>36963.21</v>
      </c>
      <c r="C29" s="275">
        <f>+B29/$I$4</f>
        <v>17112.597222222219</v>
      </c>
      <c r="D29" s="370">
        <f>+'WTG inc'!A43</f>
        <v>37268</v>
      </c>
      <c r="E29" s="32" t="s">
        <v>85</v>
      </c>
      <c r="F29" s="32" t="s">
        <v>153</v>
      </c>
      <c r="G29" s="32" t="s">
        <v>115</v>
      </c>
      <c r="H29" s="204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3.5" customHeight="1" x14ac:dyDescent="0.2">
      <c r="A30" s="514" t="s">
        <v>109</v>
      </c>
      <c r="B30" s="486">
        <f>+Continental!F43</f>
        <v>34694</v>
      </c>
      <c r="C30" s="206">
        <f>+B30/$I$4</f>
        <v>16062.037037037036</v>
      </c>
      <c r="D30" s="369">
        <f>+Continental!A43</f>
        <v>37268</v>
      </c>
      <c r="E30" s="204" t="s">
        <v>85</v>
      </c>
      <c r="F30" s="204" t="s">
        <v>154</v>
      </c>
      <c r="G30" s="204" t="s">
        <v>115</v>
      </c>
      <c r="H30" s="204"/>
      <c r="I30" s="204"/>
      <c r="J30" s="32"/>
      <c r="K30" s="32"/>
      <c r="L30" s="32"/>
      <c r="M30" s="32" t="s">
        <v>244</v>
      </c>
      <c r="N30" s="385">
        <v>26357</v>
      </c>
      <c r="O30" s="70">
        <v>44144.84</v>
      </c>
      <c r="P30" s="32" t="s">
        <v>248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5" customHeight="1" x14ac:dyDescent="0.2">
      <c r="A31" s="514" t="s">
        <v>71</v>
      </c>
      <c r="B31" s="352">
        <f>+transcol!$D$43</f>
        <v>29206.760000000002</v>
      </c>
      <c r="C31" s="353">
        <f>+B31/$I$4</f>
        <v>13521.648148148148</v>
      </c>
      <c r="D31" s="369">
        <f>+transcol!A43</f>
        <v>37268</v>
      </c>
      <c r="E31" s="204" t="s">
        <v>85</v>
      </c>
      <c r="F31" s="204" t="s">
        <v>153</v>
      </c>
      <c r="G31" s="204" t="s">
        <v>115</v>
      </c>
      <c r="H31" s="32"/>
      <c r="I31" s="32"/>
      <c r="J31" s="32"/>
      <c r="K31" s="32"/>
      <c r="L31" s="32"/>
      <c r="M31" s="32"/>
      <c r="N31" s="385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293" customFormat="1" ht="12.95" customHeight="1" x14ac:dyDescent="0.2">
      <c r="A32" s="248" t="s">
        <v>114</v>
      </c>
      <c r="B32" s="486">
        <f>+C32*$I$4</f>
        <v>27339.120000000003</v>
      </c>
      <c r="C32" s="206">
        <f>+'PG&amp;E'!D40</f>
        <v>12657</v>
      </c>
      <c r="D32" s="370">
        <f>+'PG&amp;E'!A40</f>
        <v>37268</v>
      </c>
      <c r="E32" s="32" t="s">
        <v>84</v>
      </c>
      <c r="F32" s="32" t="s">
        <v>154</v>
      </c>
      <c r="G32" s="32" t="s">
        <v>102</v>
      </c>
      <c r="H32" s="32"/>
      <c r="I32" s="204"/>
      <c r="J32" s="204"/>
      <c r="K32" s="204"/>
      <c r="L32" s="204"/>
      <c r="M32" s="204"/>
      <c r="N32" s="477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">
      <c r="A33" s="248" t="s">
        <v>131</v>
      </c>
      <c r="B33" s="351">
        <f>+SidR!D41</f>
        <v>13858.330000000002</v>
      </c>
      <c r="C33" s="275">
        <f>+B33/$I$5</f>
        <v>6357.0321100917436</v>
      </c>
      <c r="D33" s="370">
        <f>+SidR!A41</f>
        <v>37268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">
      <c r="A34" s="248" t="s">
        <v>315</v>
      </c>
      <c r="B34" s="505">
        <f>+C34*$I$3</f>
        <v>8275.0499999999993</v>
      </c>
      <c r="C34" s="71">
        <f>+Amoco!D40</f>
        <v>3885</v>
      </c>
      <c r="D34" s="370">
        <f>+Amoco!A40</f>
        <v>37268</v>
      </c>
      <c r="E34" s="32" t="s">
        <v>84</v>
      </c>
      <c r="F34" s="32" t="s">
        <v>153</v>
      </c>
      <c r="G34" s="32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8" customHeight="1" x14ac:dyDescent="0.2">
      <c r="A35" s="32" t="s">
        <v>96</v>
      </c>
      <c r="B35" s="47">
        <f>SUM(B8:B34)</f>
        <v>6972386.3036000002</v>
      </c>
      <c r="C35" s="69">
        <f>SUM(C8:C34)</f>
        <v>3213340.9602395501</v>
      </c>
      <c r="D35" s="203"/>
      <c r="E35" s="32"/>
      <c r="F35" s="32"/>
      <c r="G35" s="32"/>
      <c r="H35" s="32"/>
      <c r="I35" s="32"/>
      <c r="J35" s="32"/>
      <c r="K35" s="32"/>
      <c r="L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5" customHeight="1" x14ac:dyDescent="0.2">
      <c r="A36" s="32"/>
      <c r="B36" s="47"/>
      <c r="C36" s="69"/>
      <c r="D36" s="203"/>
      <c r="E36" s="32"/>
      <c r="F36" s="356"/>
      <c r="G36" s="356"/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38" t="s">
        <v>89</v>
      </c>
      <c r="B37" s="339" t="s">
        <v>16</v>
      </c>
      <c r="C37" s="340" t="s">
        <v>0</v>
      </c>
      <c r="D37" s="347" t="s">
        <v>146</v>
      </c>
      <c r="E37" s="338" t="s">
        <v>90</v>
      </c>
      <c r="F37" s="341" t="s">
        <v>101</v>
      </c>
      <c r="G37" s="341" t="s">
        <v>101</v>
      </c>
      <c r="H37" s="338" t="s">
        <v>98</v>
      </c>
      <c r="I37" s="32"/>
      <c r="J37" s="32"/>
      <c r="K37" s="32"/>
      <c r="L37" s="32"/>
      <c r="M37" s="32"/>
      <c r="N37" s="385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514" t="s">
        <v>249</v>
      </c>
      <c r="B38" s="487">
        <f>+DEFS!$C$40+DEFS!$E$40+DEFS!$F$44+DEFS!$F$45+DEFS!$F$46+DEFS!$F$47+DEFS!$F$48</f>
        <v>-2784383.2</v>
      </c>
      <c r="C38" s="353">
        <f>+B38/$I$5</f>
        <v>-1277240</v>
      </c>
      <c r="D38" s="369">
        <f>+DEFS!A40</f>
        <v>37268</v>
      </c>
      <c r="E38" s="204" t="s">
        <v>85</v>
      </c>
      <c r="F38" s="32" t="s">
        <v>153</v>
      </c>
      <c r="G38" s="32" t="s">
        <v>100</v>
      </c>
      <c r="H38" s="32" t="s">
        <v>313</v>
      </c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95" customHeight="1" x14ac:dyDescent="0.2">
      <c r="A39" s="514" t="s">
        <v>135</v>
      </c>
      <c r="B39" s="486">
        <f>+Citizens!D18</f>
        <v>-552650.79</v>
      </c>
      <c r="C39" s="206">
        <f>+B39/$I$4</f>
        <v>-255856.84722222222</v>
      </c>
      <c r="D39" s="369">
        <f>+Citizens!A18</f>
        <v>37268</v>
      </c>
      <c r="E39" s="204" t="s">
        <v>85</v>
      </c>
      <c r="F39" s="204" t="s">
        <v>328</v>
      </c>
      <c r="G39" s="204" t="s">
        <v>99</v>
      </c>
      <c r="H39" s="357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248" t="s">
        <v>133</v>
      </c>
      <c r="B40" s="486">
        <f>+'NS Steel'!D41</f>
        <v>-329226.2</v>
      </c>
      <c r="C40" s="206">
        <f>+B40/$I$4</f>
        <v>-152419.53703703702</v>
      </c>
      <c r="D40" s="370">
        <f>+'NS Steel'!A41</f>
        <v>37268</v>
      </c>
      <c r="E40" s="32" t="s">
        <v>85</v>
      </c>
      <c r="F40" s="32" t="s">
        <v>154</v>
      </c>
      <c r="G40" s="32" t="s">
        <v>100</v>
      </c>
      <c r="H40" s="357"/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261</v>
      </c>
      <c r="B41" s="486">
        <f>+MiVida_Rich!D41</f>
        <v>-203736.06</v>
      </c>
      <c r="C41" s="206">
        <f>+B41/$I$5</f>
        <v>-93456.908256880721</v>
      </c>
      <c r="D41" s="369">
        <f>+MiVida_Rich!A41</f>
        <v>37256</v>
      </c>
      <c r="E41" s="204" t="s">
        <v>85</v>
      </c>
      <c r="F41" s="204" t="s">
        <v>152</v>
      </c>
      <c r="G41" s="204" t="s">
        <v>102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515" t="s">
        <v>79</v>
      </c>
      <c r="B42" s="518">
        <f>+Agave!$D$24</f>
        <v>-122461.28</v>
      </c>
      <c r="C42" s="469">
        <f>+B42/$I$4</f>
        <v>-56695.037037037029</v>
      </c>
      <c r="D42" s="468">
        <f>+Agave!A24</f>
        <v>37268</v>
      </c>
      <c r="E42" s="448" t="s">
        <v>85</v>
      </c>
      <c r="F42" s="448" t="s">
        <v>328</v>
      </c>
      <c r="G42" s="448" t="s">
        <v>102</v>
      </c>
      <c r="H42" s="448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246" customFormat="1" ht="13.5" customHeight="1" x14ac:dyDescent="0.2">
      <c r="A43" s="248" t="s">
        <v>216</v>
      </c>
      <c r="B43" s="486">
        <f>+crosstex!F41</f>
        <v>-120763.56</v>
      </c>
      <c r="C43" s="206">
        <f>+B43/$I$4</f>
        <v>-55909.055555555547</v>
      </c>
      <c r="D43" s="370">
        <f>+crosstex!A41</f>
        <v>37268</v>
      </c>
      <c r="E43" s="32" t="s">
        <v>85</v>
      </c>
      <c r="F43" s="32" t="s">
        <v>152</v>
      </c>
      <c r="G43" s="32" t="s">
        <v>100</v>
      </c>
      <c r="H43" s="357"/>
      <c r="I43" s="249"/>
      <c r="J43" s="249"/>
      <c r="K43" s="249"/>
      <c r="L43" s="249"/>
      <c r="M43" s="32"/>
      <c r="N43" s="477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293" customFormat="1" ht="13.5" customHeight="1" x14ac:dyDescent="0.2">
      <c r="A44" s="248" t="s">
        <v>147</v>
      </c>
      <c r="B44" s="351">
        <f>+PGETX!$H$37</f>
        <v>-56665.279999999999</v>
      </c>
      <c r="C44" s="275">
        <f>+B44/$I$4</f>
        <v>-26233.925925925923</v>
      </c>
      <c r="D44" s="370">
        <f>+PGETX!E37</f>
        <v>37268</v>
      </c>
      <c r="E44" s="32" t="s">
        <v>85</v>
      </c>
      <c r="F44" s="32" t="s">
        <v>329</v>
      </c>
      <c r="G44" s="32" t="s">
        <v>102</v>
      </c>
      <c r="H44" s="32"/>
      <c r="I44" s="204"/>
      <c r="J44" s="204"/>
      <c r="K44" s="204">
        <f>135710*1.98</f>
        <v>268705.8</v>
      </c>
      <c r="L44" s="204"/>
      <c r="M44" s="204"/>
      <c r="N44" s="477"/>
      <c r="O44" s="273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3" ht="13.5" customHeight="1" x14ac:dyDescent="0.2">
      <c r="A45" s="248" t="s">
        <v>1</v>
      </c>
      <c r="B45" s="486">
        <f>+C45*$I$3</f>
        <v>-47324.34</v>
      </c>
      <c r="C45" s="206">
        <f>+NW!$F$41</f>
        <v>-22218</v>
      </c>
      <c r="D45" s="369">
        <f>+NW!B41</f>
        <v>37268</v>
      </c>
      <c r="E45" s="32" t="s">
        <v>84</v>
      </c>
      <c r="F45" s="32" t="s">
        <v>153</v>
      </c>
      <c r="G45" s="32" t="s">
        <v>115</v>
      </c>
      <c r="H45" s="357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3.5" customHeight="1" x14ac:dyDescent="0.2">
      <c r="A46" s="514" t="s">
        <v>142</v>
      </c>
      <c r="B46" s="352">
        <f>+C46*$I$4</f>
        <v>-35581.68</v>
      </c>
      <c r="C46" s="353">
        <f>+PEPL!D41</f>
        <v>-16473</v>
      </c>
      <c r="D46" s="369">
        <f>+PEPL!A41</f>
        <v>37268</v>
      </c>
      <c r="E46" s="204" t="s">
        <v>84</v>
      </c>
      <c r="F46" s="204" t="s">
        <v>328</v>
      </c>
      <c r="G46" s="204" t="s">
        <v>100</v>
      </c>
      <c r="H46" s="32"/>
      <c r="I46" s="32"/>
      <c r="J46" s="32"/>
      <c r="K46" s="32"/>
      <c r="L46" s="32"/>
      <c r="M46" s="32"/>
      <c r="N46" s="385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293" customFormat="1" ht="13.5" customHeight="1" x14ac:dyDescent="0.2">
      <c r="A47" s="514" t="s">
        <v>204</v>
      </c>
      <c r="B47" s="487">
        <f>+WTGmktg!J43</f>
        <v>-31825.13</v>
      </c>
      <c r="C47" s="206">
        <f>+B47/$I$4</f>
        <v>-14733.856481481482</v>
      </c>
      <c r="D47" s="369">
        <f>+WTGmktg!A43</f>
        <v>37268</v>
      </c>
      <c r="E47" s="32" t="s">
        <v>85</v>
      </c>
      <c r="F47" s="204" t="s">
        <v>153</v>
      </c>
      <c r="G47" s="204" t="s">
        <v>115</v>
      </c>
      <c r="H47" s="204"/>
      <c r="I47" s="204"/>
      <c r="J47" s="204"/>
      <c r="K47" s="204"/>
      <c r="L47" s="204"/>
      <c r="M47" s="204"/>
      <c r="N47" s="477"/>
      <c r="O47" s="273"/>
      <c r="P47" s="273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48" t="s">
        <v>6</v>
      </c>
      <c r="B48" s="486">
        <f>+Oasis!$D$40</f>
        <v>-31307.750000000004</v>
      </c>
      <c r="C48" s="206">
        <f>+B48/$I$5</f>
        <v>-14361.353211009175</v>
      </c>
      <c r="D48" s="370">
        <f>+Oasis!A40</f>
        <v>37268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514" t="s">
        <v>87</v>
      </c>
      <c r="B49" s="351">
        <f>+NNG!$D$24</f>
        <v>-23479.020000000004</v>
      </c>
      <c r="C49" s="275">
        <f>+B49/$I$4</f>
        <v>-10869.916666666668</v>
      </c>
      <c r="D49" s="369">
        <f>+NNG!A24</f>
        <v>37268</v>
      </c>
      <c r="E49" s="204" t="s">
        <v>85</v>
      </c>
      <c r="F49" s="204" t="s">
        <v>327</v>
      </c>
      <c r="G49" s="204" t="s">
        <v>100</v>
      </c>
      <c r="H49" s="204"/>
      <c r="I49" s="204"/>
      <c r="J49" s="204"/>
      <c r="K49" s="204"/>
      <c r="L49" s="204"/>
      <c r="M49" s="204" t="s">
        <v>245</v>
      </c>
      <c r="N49" s="477">
        <v>24361</v>
      </c>
      <c r="O49" s="273">
        <v>811179.69</v>
      </c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48" t="s">
        <v>298</v>
      </c>
      <c r="B50" s="351">
        <f>+SWGasTrans!$D$41</f>
        <v>-22201.89</v>
      </c>
      <c r="C50" s="275">
        <f>+B50/$I$4</f>
        <v>-10278.652777777777</v>
      </c>
      <c r="D50" s="369">
        <f>+SWGasTrans!A41</f>
        <v>37268</v>
      </c>
      <c r="E50" s="32" t="s">
        <v>85</v>
      </c>
      <c r="F50" s="32" t="s">
        <v>153</v>
      </c>
      <c r="G50" s="32" t="s">
        <v>99</v>
      </c>
      <c r="H50" s="32"/>
      <c r="I50" s="32"/>
      <c r="J50" s="32"/>
      <c r="K50" s="32"/>
      <c r="L50" s="32"/>
      <c r="M50" s="32" t="s">
        <v>244</v>
      </c>
      <c r="N50" s="385">
        <v>22051</v>
      </c>
      <c r="O50" s="70">
        <v>-527215</v>
      </c>
      <c r="P50" s="32" t="s">
        <v>247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293" customFormat="1" ht="13.5" customHeight="1" x14ac:dyDescent="0.2">
      <c r="A51" s="514" t="s">
        <v>33</v>
      </c>
      <c r="B51" s="486">
        <f>+'El Paso'!C39*summary!I4+'El Paso'!E39*summary!I3</f>
        <v>-7043.4899999999907</v>
      </c>
      <c r="C51" s="275">
        <f>+'El Paso'!H39</f>
        <v>-4212</v>
      </c>
      <c r="D51" s="369">
        <f>+'El Paso'!A39</f>
        <v>37268</v>
      </c>
      <c r="E51" s="204" t="s">
        <v>84</v>
      </c>
      <c r="F51" s="204" t="s">
        <v>154</v>
      </c>
      <c r="G51" s="204" t="s">
        <v>100</v>
      </c>
      <c r="H51" s="204"/>
      <c r="I51" s="204"/>
      <c r="J51" s="204"/>
      <c r="K51" s="204"/>
      <c r="L51" s="204"/>
      <c r="M51" s="204"/>
      <c r="N51" s="477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293" customFormat="1" ht="13.5" customHeight="1" x14ac:dyDescent="0.2">
      <c r="A52" s="514" t="s">
        <v>139</v>
      </c>
      <c r="B52" s="486">
        <f>+'Citizens-Griffith'!D41</f>
        <v>-6349.8000000000029</v>
      </c>
      <c r="C52" s="275">
        <f>+B52/$I$4</f>
        <v>-2939.7222222222235</v>
      </c>
      <c r="D52" s="369">
        <f>+'Citizens-Griffith'!A41</f>
        <v>37268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32" t="s">
        <v>245</v>
      </c>
      <c r="N52" s="385">
        <v>21665</v>
      </c>
      <c r="O52" s="70">
        <v>73449</v>
      </c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95</v>
      </c>
      <c r="B53" s="354">
        <f>+burlington!D42</f>
        <v>-4083.1199999999953</v>
      </c>
      <c r="C53" s="71">
        <f>+B53/$I$3</f>
        <v>-1916.9577464788711</v>
      </c>
      <c r="D53" s="369">
        <f>+burlington!A42</f>
        <v>37268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32"/>
      <c r="N53" s="385"/>
      <c r="O53" s="70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5" customHeight="1" x14ac:dyDescent="0.2">
      <c r="A54" s="32" t="s">
        <v>97</v>
      </c>
      <c r="B54" s="351">
        <f>SUM(B38:B53)</f>
        <v>-4379082.5899999989</v>
      </c>
      <c r="C54" s="206">
        <f>SUM(C38:C53)</f>
        <v>-2015814.7701402949</v>
      </c>
      <c r="D54" s="358"/>
      <c r="E54" s="32"/>
      <c r="F54" s="32"/>
      <c r="G54" s="32"/>
      <c r="H54" s="32"/>
      <c r="I54" s="32"/>
      <c r="J54" s="32"/>
      <c r="K54" s="32"/>
      <c r="L54" s="32"/>
      <c r="M54" s="32"/>
      <c r="N54" s="385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95" customHeight="1" x14ac:dyDescent="0.2">
      <c r="A55" s="32"/>
      <c r="B55" s="354"/>
      <c r="C55" s="71"/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3.5" thickBot="1" x14ac:dyDescent="0.25">
      <c r="A56" s="2" t="s">
        <v>91</v>
      </c>
      <c r="B56" s="359">
        <f>+B54+B35</f>
        <v>2593303.7136000013</v>
      </c>
      <c r="C56" s="360">
        <f>+C54+C35</f>
        <v>1197526.1900992552</v>
      </c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Top="1" x14ac:dyDescent="0.2">
      <c r="A57" s="32"/>
      <c r="B57" s="47"/>
      <c r="C57" s="69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2" t="s">
        <v>92</v>
      </c>
      <c r="B58" s="47"/>
      <c r="C58" s="294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14"/>
      <c r="D64" s="203"/>
      <c r="E64" s="136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2" t="s">
        <v>264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 t="s">
        <v>262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263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361"/>
      <c r="C104" s="362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2" t="s">
        <v>265</v>
      </c>
      <c r="B105" s="75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 t="s">
        <v>266</v>
      </c>
      <c r="B106" s="75">
        <v>16841.21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268</v>
      </c>
      <c r="B107" s="75">
        <v>-8065.83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269</v>
      </c>
      <c r="B108" s="536">
        <v>-725.46</v>
      </c>
      <c r="C108" s="69"/>
      <c r="D108" s="36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276</v>
      </c>
      <c r="B109" s="533">
        <v>107948.28</v>
      </c>
      <c r="C109" s="294"/>
      <c r="D109" s="364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274</v>
      </c>
      <c r="B110" s="536">
        <v>-1777.19</v>
      </c>
      <c r="C110" s="294"/>
      <c r="D110" s="365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277</v>
      </c>
      <c r="B111" s="536">
        <v>2429.75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281</v>
      </c>
      <c r="B112" s="536">
        <v>6695.6</v>
      </c>
      <c r="C112" s="502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284</v>
      </c>
      <c r="B113" s="536">
        <v>48174.22</v>
      </c>
      <c r="C113" s="502"/>
      <c r="D113" s="36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288</v>
      </c>
      <c r="B114" s="533">
        <v>-2165.34</v>
      </c>
      <c r="C114" s="502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292</v>
      </c>
      <c r="B115" s="533">
        <v>-17015.8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293</v>
      </c>
      <c r="B116" s="533">
        <v>8356.0499999999993</v>
      </c>
      <c r="C116" s="503"/>
      <c r="D116" s="36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295</v>
      </c>
      <c r="B117" s="549">
        <f>775*2.25</f>
        <v>1743.75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299</v>
      </c>
      <c r="B118" s="533">
        <v>0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291</v>
      </c>
      <c r="B119" s="15">
        <f>44144.84-58339.66</f>
        <v>-14194.820000000007</v>
      </c>
      <c r="C119" s="503">
        <v>26357</v>
      </c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v>-51695.87</v>
      </c>
      <c r="C120" s="503">
        <v>20379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61340.160000000003</v>
      </c>
      <c r="C121" s="503">
        <v>21544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319</v>
      </c>
      <c r="B122" s="533">
        <v>-2475.85</v>
      </c>
      <c r="C122" s="503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300</v>
      </c>
      <c r="B123" s="533">
        <v>2493.64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301</v>
      </c>
      <c r="B124" s="259">
        <v>8282.6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287</v>
      </c>
      <c r="B125" s="259">
        <v>-7228.77</v>
      </c>
      <c r="C125" s="502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15">
        <v>249009.74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280</v>
      </c>
      <c r="B127" s="533">
        <f>1974.11-1974.11</f>
        <v>0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267</v>
      </c>
      <c r="B128" s="536">
        <v>-35893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275</v>
      </c>
      <c r="B129" s="75">
        <v>27281.87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278</v>
      </c>
      <c r="B130" s="75">
        <v>-2614.58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279</v>
      </c>
      <c r="B131" s="75">
        <v>-177733.88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282</v>
      </c>
      <c r="B132" s="15">
        <v>3338.45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283</v>
      </c>
      <c r="B133" s="15">
        <v>15325.21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285</v>
      </c>
      <c r="B134" s="15">
        <v>-33878.81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289</v>
      </c>
      <c r="B135" s="15">
        <v>-726.96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290</v>
      </c>
      <c r="B136" s="47">
        <v>-4405.4799999999996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320</v>
      </c>
      <c r="B137" s="535">
        <v>4000.5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321</v>
      </c>
      <c r="B138" s="535">
        <v>-725.46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16">
        <f>SUM(B106:B139)</f>
        <v>201937.93000000005</v>
      </c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 t="s">
        <v>270</v>
      </c>
      <c r="B144" s="504" t="s">
        <v>272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271</v>
      </c>
      <c r="B145" s="504" t="s">
        <v>273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325</v>
      </c>
      <c r="B146" s="47">
        <v>-3863.86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294</v>
      </c>
      <c r="B147" s="259">
        <v>17432.3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f>-326195-35441</f>
        <v>-361636</v>
      </c>
      <c r="C7" s="80">
        <v>-141365</v>
      </c>
      <c r="D7" s="80">
        <f t="shared" si="0"/>
        <v>220271</v>
      </c>
    </row>
    <row r="8" spans="1:4" x14ac:dyDescent="0.2">
      <c r="A8" s="32">
        <v>60667</v>
      </c>
      <c r="B8" s="312">
        <v>-108557</v>
      </c>
      <c r="C8" s="80">
        <v>-593943</v>
      </c>
      <c r="D8" s="80">
        <f t="shared" si="0"/>
        <v>-485386</v>
      </c>
    </row>
    <row r="9" spans="1:4" x14ac:dyDescent="0.2">
      <c r="A9" s="32">
        <v>60749</v>
      </c>
      <c r="B9" s="312">
        <v>41435</v>
      </c>
      <c r="C9" s="80">
        <v>-81554</v>
      </c>
      <c r="D9" s="80">
        <f t="shared" si="0"/>
        <v>-122989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-79820</v>
      </c>
      <c r="C11" s="80"/>
      <c r="D11" s="80">
        <f t="shared" si="0"/>
        <v>79820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-31797</v>
      </c>
    </row>
    <row r="19" spans="1:5" x14ac:dyDescent="0.2">
      <c r="A19" s="32" t="s">
        <v>81</v>
      </c>
      <c r="B19" s="69"/>
      <c r="C19" s="69"/>
      <c r="D19" s="73">
        <f>+summary!I4</f>
        <v>2.16</v>
      </c>
    </row>
    <row r="20" spans="1:5" x14ac:dyDescent="0.2">
      <c r="B20" s="69"/>
      <c r="C20" s="69"/>
      <c r="D20" s="75">
        <f>+D19*D18</f>
        <v>-68681.52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37268</v>
      </c>
      <c r="B24" s="69"/>
      <c r="C24" s="69"/>
      <c r="D24" s="335">
        <f>+D22+D20</f>
        <v>-23479.020000000004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37268</v>
      </c>
      <c r="D33" s="355">
        <f>+D18</f>
        <v>-31797</v>
      </c>
    </row>
    <row r="34" spans="1:4" x14ac:dyDescent="0.2">
      <c r="D34" s="14">
        <f>+D33+D32</f>
        <v>-11707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4" workbookViewId="0">
      <selection activeCell="D31" sqref="D31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-42369-2751</f>
        <v>-45120</v>
      </c>
      <c r="C5" s="90">
        <v>-21246</v>
      </c>
      <c r="D5" s="90">
        <f t="shared" ref="D5:D13" si="0">+C5-B5</f>
        <v>23874</v>
      </c>
      <c r="E5" s="69"/>
      <c r="F5" s="201"/>
    </row>
    <row r="6" spans="1:13" x14ac:dyDescent="0.2">
      <c r="A6" s="87">
        <v>9238</v>
      </c>
      <c r="B6" s="90">
        <f>-5932-413</f>
        <v>-6345</v>
      </c>
      <c r="C6" s="90">
        <v>-12000</v>
      </c>
      <c r="D6" s="90">
        <f t="shared" si="0"/>
        <v>-5655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-1182750-112439</f>
        <v>-1295189</v>
      </c>
      <c r="C7" s="90">
        <v>-1313266</v>
      </c>
      <c r="D7" s="90">
        <f t="shared" si="0"/>
        <v>-18077</v>
      </c>
      <c r="E7" s="275"/>
      <c r="F7" s="201"/>
    </row>
    <row r="8" spans="1:13" x14ac:dyDescent="0.2">
      <c r="A8" s="87">
        <v>58710</v>
      </c>
      <c r="B8" s="90">
        <v>-119082</v>
      </c>
      <c r="C8" s="90">
        <v>-107566</v>
      </c>
      <c r="D8" s="90">
        <f t="shared" si="0"/>
        <v>11516</v>
      </c>
      <c r="E8" s="275"/>
      <c r="F8" s="201"/>
    </row>
    <row r="9" spans="1:13" x14ac:dyDescent="0.2">
      <c r="A9" s="87">
        <v>60921</v>
      </c>
      <c r="B9" s="90">
        <f>-371324-10007</f>
        <v>-381331</v>
      </c>
      <c r="C9" s="90">
        <v>-361113</v>
      </c>
      <c r="D9" s="90">
        <f t="shared" si="0"/>
        <v>20218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f>-25764-2328</f>
        <v>-28092</v>
      </c>
      <c r="C11" s="90">
        <v>-36000</v>
      </c>
      <c r="D11" s="90">
        <f t="shared" si="0"/>
        <v>-7908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-46407</v>
      </c>
      <c r="C13" s="90">
        <v>-48000</v>
      </c>
      <c r="D13" s="90">
        <f t="shared" si="0"/>
        <v>-1593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22376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+summary!I4</f>
        <v>2.16</v>
      </c>
      <c r="E18" s="277"/>
      <c r="F18" s="472"/>
    </row>
    <row r="19" spans="1:7" x14ac:dyDescent="0.2">
      <c r="A19" s="87"/>
      <c r="B19" s="88"/>
      <c r="C19" s="88"/>
      <c r="D19" s="96">
        <f>+D18*D17</f>
        <v>48332.160000000003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37268</v>
      </c>
      <c r="B23" s="88"/>
      <c r="C23" s="88"/>
      <c r="D23" s="321">
        <f>+D21+D19</f>
        <v>815246.48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37268</v>
      </c>
      <c r="B29" s="32"/>
      <c r="C29" s="32"/>
      <c r="D29" s="355">
        <f>+D17</f>
        <v>22376</v>
      </c>
    </row>
    <row r="30" spans="1:7" x14ac:dyDescent="0.2">
      <c r="A30" s="32"/>
      <c r="B30" s="32"/>
      <c r="C30" s="32"/>
      <c r="D30" s="14">
        <f>+D29+D28</f>
        <v>329698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-31205</v>
      </c>
      <c r="E14" s="88">
        <v>-31700</v>
      </c>
      <c r="F14" s="90">
        <f t="shared" si="0"/>
        <v>-482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629707</v>
      </c>
      <c r="C34" s="287">
        <f>SUM(C3:C33)</f>
        <v>639618</v>
      </c>
      <c r="D34" s="14">
        <f>SUM(D3:D33)</f>
        <v>-96463</v>
      </c>
      <c r="E34" s="14">
        <f>SUM(E3:E33)</f>
        <v>-91700</v>
      </c>
      <c r="F34" s="14">
        <f>SUM(F3:F33)</f>
        <v>14674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v>116110</v>
      </c>
      <c r="M37" s="259"/>
      <c r="N37" s="259"/>
      <c r="O37" s="259"/>
      <c r="T37" s="259"/>
      <c r="U37" s="259"/>
    </row>
    <row r="38" spans="1:21" x14ac:dyDescent="0.2">
      <c r="A38" s="256">
        <v>37268</v>
      </c>
      <c r="B38" s="14"/>
      <c r="C38" s="14"/>
      <c r="D38" s="14"/>
      <c r="E38" s="14"/>
      <c r="F38" s="150">
        <f>+F37+F34</f>
        <v>130784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37268</v>
      </c>
      <c r="B44" s="32"/>
      <c r="C44" s="32"/>
      <c r="D44" s="380">
        <f>+F34*'by type_area'!J4</f>
        <v>31695.840000000004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328071.84000000003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40" sqref="B4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-217724</v>
      </c>
      <c r="C35" s="11">
        <f>SUM(C4:C34)</f>
        <v>-209708</v>
      </c>
      <c r="D35" s="11">
        <f>SUM(D4:D34)</f>
        <v>8016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37268</v>
      </c>
      <c r="D40" s="51">
        <f>+D38+D35</f>
        <v>194839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37268</v>
      </c>
      <c r="B46" s="32"/>
      <c r="C46" s="32"/>
      <c r="D46" s="380">
        <f>+D35*'by type_area'!J4</f>
        <v>17314.560000000001</v>
      </c>
    </row>
    <row r="47" spans="1:4" x14ac:dyDescent="0.2">
      <c r="A47" s="32"/>
      <c r="B47" s="32"/>
      <c r="C47" s="32"/>
      <c r="D47" s="200">
        <f>+D46+D45</f>
        <v>217127.56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+summary!I4</f>
        <v>2.16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55689.120000000003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37268</v>
      </c>
      <c r="J41" s="322">
        <f>+J39+J37</f>
        <v>60225.33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1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2.16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-155932.56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262036.83000000002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42" sqref="E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">
      <c r="A40" s="26"/>
      <c r="C40" s="14"/>
      <c r="F40" s="253">
        <f>+summary!I4</f>
        <v>2.16</v>
      </c>
    </row>
    <row r="41" spans="1:6" x14ac:dyDescent="0.2">
      <c r="F41" s="138">
        <f>+F40*F39</f>
        <v>432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37268</v>
      </c>
      <c r="C43" s="48"/>
      <c r="F43" s="138">
        <f>+F42+F41</f>
        <v>34694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37268</v>
      </c>
      <c r="B49" s="32"/>
      <c r="C49" s="32"/>
      <c r="D49" s="355">
        <f>+F39</f>
        <v>200</v>
      </c>
    </row>
    <row r="50" spans="1:4" x14ac:dyDescent="0.2">
      <c r="A50" s="32"/>
      <c r="B50" s="32"/>
      <c r="C50" s="32"/>
      <c r="D50" s="14">
        <f>+D49+D48</f>
        <v>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C41" sqref="C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37268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37268</v>
      </c>
      <c r="B48" s="32"/>
      <c r="C48" s="32"/>
      <c r="D48" s="380">
        <f>+D39*summary!I4</f>
        <v>2719.44</v>
      </c>
    </row>
    <row r="49" spans="1:4" x14ac:dyDescent="0.2">
      <c r="A49" s="32"/>
      <c r="B49" s="32"/>
      <c r="C49" s="32"/>
      <c r="D49" s="200">
        <f>+D48+D47</f>
        <v>385997.44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-87074</v>
      </c>
      <c r="C17" s="11">
        <v>-86648</v>
      </c>
      <c r="D17" s="25">
        <f t="shared" si="0"/>
        <v>426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-1042212</v>
      </c>
      <c r="I19" s="119">
        <f>+C37</f>
        <v>-1039375</v>
      </c>
      <c r="J19" s="119">
        <f>+I19-H19</f>
        <v>2837</v>
      </c>
      <c r="K19" s="417">
        <f>+D38</f>
        <v>2.16</v>
      </c>
      <c r="L19" s="422">
        <f>+K19*J19</f>
        <v>6127.92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133329</v>
      </c>
      <c r="K24" s="413"/>
      <c r="L24" s="110">
        <f>+L19+L17</f>
        <v>87813.019999999829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40654.175925925847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-1042212</v>
      </c>
      <c r="C37" s="11">
        <f>SUM(C6:C36)</f>
        <v>-1039375</v>
      </c>
      <c r="D37" s="25">
        <f>SUM(D6:D36)</f>
        <v>2837</v>
      </c>
    </row>
    <row r="38" spans="1:4" x14ac:dyDescent="0.2">
      <c r="A38" s="26"/>
      <c r="C38" s="14"/>
      <c r="D38" s="329">
        <f>+summary!I4</f>
        <v>2.16</v>
      </c>
    </row>
    <row r="39" spans="1:4" x14ac:dyDescent="0.2">
      <c r="D39" s="138">
        <f>+D38*D37</f>
        <v>6127.92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37268</v>
      </c>
      <c r="C41" s="48"/>
      <c r="D41" s="138">
        <f>+D40+D39</f>
        <v>185104.89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37268</v>
      </c>
      <c r="B46" s="32"/>
      <c r="C46" s="32"/>
      <c r="D46" s="355">
        <f>+D37</f>
        <v>2837</v>
      </c>
    </row>
    <row r="47" spans="1:4" x14ac:dyDescent="0.2">
      <c r="A47" s="32"/>
      <c r="B47" s="32"/>
      <c r="C47" s="32"/>
      <c r="D47" s="14">
        <f>+D46+D45</f>
        <v>175983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6" workbookViewId="0">
      <selection activeCell="C41" sqref="C4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33880</v>
      </c>
      <c r="C17" s="11">
        <v>32013</v>
      </c>
      <c r="D17" s="25">
        <f t="shared" si="0"/>
        <v>-1867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372308</v>
      </c>
      <c r="C37" s="11">
        <f>SUM(C6:C36)</f>
        <v>376094</v>
      </c>
      <c r="D37" s="25">
        <f>SUM(D6:D36)</f>
        <v>3786</v>
      </c>
    </row>
    <row r="38" spans="1:4" x14ac:dyDescent="0.2">
      <c r="A38" s="26"/>
      <c r="B38" s="31"/>
      <c r="C38" s="14"/>
      <c r="D38" s="329">
        <f>+summary!I5</f>
        <v>2.1800000000000002</v>
      </c>
    </row>
    <row r="39" spans="1:4" x14ac:dyDescent="0.2">
      <c r="D39" s="138">
        <f>+D38*D37</f>
        <v>8253.4800000000014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37268</v>
      </c>
      <c r="C41" s="48"/>
      <c r="D41" s="138">
        <f>+D40+D39</f>
        <v>93255.409999999989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37268</v>
      </c>
      <c r="B46" s="32"/>
      <c r="C46" s="32"/>
      <c r="D46" s="355">
        <f>+D37</f>
        <v>3786</v>
      </c>
    </row>
    <row r="47" spans="1:4" x14ac:dyDescent="0.2">
      <c r="A47" s="32"/>
      <c r="B47" s="32"/>
      <c r="C47" s="32"/>
      <c r="D47" s="14">
        <f>+D46+D45</f>
        <v>58367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45439</v>
      </c>
      <c r="G15" s="11">
        <v>43615</v>
      </c>
      <c r="H15" s="11">
        <v>119456</v>
      </c>
      <c r="I15" s="11">
        <v>122363</v>
      </c>
      <c r="J15" s="11">
        <f t="shared" si="0"/>
        <v>-1377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3462176</v>
      </c>
      <c r="C35" s="11">
        <f t="shared" ref="C35:I35" si="3">SUM(C4:C34)</f>
        <v>3466949</v>
      </c>
      <c r="D35" s="11">
        <f t="shared" si="3"/>
        <v>471043</v>
      </c>
      <c r="E35" s="11">
        <f t="shared" si="3"/>
        <v>467913</v>
      </c>
      <c r="F35" s="11">
        <f t="shared" si="3"/>
        <v>481776</v>
      </c>
      <c r="G35" s="11">
        <f t="shared" si="3"/>
        <v>536194</v>
      </c>
      <c r="H35" s="11">
        <f t="shared" si="3"/>
        <v>1450922</v>
      </c>
      <c r="I35" s="11">
        <f t="shared" si="3"/>
        <v>1416541</v>
      </c>
      <c r="J35" s="11">
        <f>SUM(J4:J34)</f>
        <v>21680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37268</v>
      </c>
      <c r="J40" s="51">
        <f>+J38+J35</f>
        <v>21680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37268</v>
      </c>
      <c r="B47" s="32"/>
      <c r="C47" s="32"/>
      <c r="D47" s="380">
        <f>+J35*'by type_area'!J3</f>
        <v>46178.399999999994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46178.399999999994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6" workbookViewId="0">
      <selection activeCell="C41" sqref="C41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541309</v>
      </c>
      <c r="C37" s="11">
        <f>SUM(C6:C36)</f>
        <v>528980</v>
      </c>
      <c r="D37" s="25">
        <f>SUM(D6:D36)</f>
        <v>-12329</v>
      </c>
    </row>
    <row r="38" spans="1:4" x14ac:dyDescent="0.2">
      <c r="A38" s="26"/>
      <c r="C38" s="14"/>
      <c r="D38" s="329">
        <f>+summary!I5</f>
        <v>2.1800000000000002</v>
      </c>
    </row>
    <row r="39" spans="1:4" x14ac:dyDescent="0.2">
      <c r="D39" s="138">
        <f>+D38*D37</f>
        <v>-26877.22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37268</v>
      </c>
      <c r="C41" s="48"/>
      <c r="D41" s="138">
        <f>+D40+D39</f>
        <v>13858.330000000002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37268</v>
      </c>
      <c r="B47" s="32"/>
      <c r="C47" s="32"/>
      <c r="D47" s="355">
        <f>+D37</f>
        <v>-12329</v>
      </c>
    </row>
    <row r="48" spans="1:4" x14ac:dyDescent="0.2">
      <c r="A48" s="32"/>
      <c r="B48" s="32"/>
      <c r="C48" s="32"/>
      <c r="D48" s="14">
        <f>+D47+D46</f>
        <v>6927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41" sqref="B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-10716</v>
      </c>
      <c r="C37" s="11">
        <f>SUM(C6:C36)</f>
        <v>1589</v>
      </c>
      <c r="D37" s="25">
        <f>SUM(D6:D36)</f>
        <v>12305</v>
      </c>
    </row>
    <row r="38" spans="1:4" x14ac:dyDescent="0.2">
      <c r="A38" s="26"/>
      <c r="C38" s="14"/>
      <c r="D38" s="329">
        <f>+summary!I4</f>
        <v>2.16</v>
      </c>
    </row>
    <row r="39" spans="1:4" x14ac:dyDescent="0.2">
      <c r="D39" s="138">
        <f>+D38*D37</f>
        <v>26578.800000000003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37268</v>
      </c>
      <c r="C41" s="48"/>
      <c r="D41" s="138">
        <f>+D40+D39</f>
        <v>-329226.2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37268</v>
      </c>
      <c r="B49" s="32"/>
      <c r="C49" s="32"/>
      <c r="D49" s="355">
        <f>+D37</f>
        <v>12305</v>
      </c>
    </row>
    <row r="50" spans="1:4" x14ac:dyDescent="0.2">
      <c r="A50" s="32"/>
      <c r="B50" s="32"/>
      <c r="C50" s="32"/>
      <c r="D50" s="14">
        <f>+D49+D48</f>
        <v>-32316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E30" sqref="E3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-103928</v>
      </c>
      <c r="C37" s="11">
        <f>SUM(C6:C36)</f>
        <v>-138230</v>
      </c>
      <c r="D37" s="25">
        <f>SUM(D6:D36)</f>
        <v>-34302</v>
      </c>
    </row>
    <row r="38" spans="1:4" x14ac:dyDescent="0.2">
      <c r="A38" s="26"/>
      <c r="C38" s="14"/>
      <c r="D38" s="329">
        <f>+summary!I4</f>
        <v>2.16</v>
      </c>
    </row>
    <row r="39" spans="1:4" x14ac:dyDescent="0.2">
      <c r="D39" s="138">
        <f>+D38*D37</f>
        <v>-74092.320000000007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37268</v>
      </c>
      <c r="C41" s="48"/>
      <c r="D41" s="138">
        <f>+D40+D39</f>
        <v>-6349.8000000000029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37268</v>
      </c>
      <c r="B47" s="32"/>
      <c r="C47" s="32"/>
      <c r="D47" s="355">
        <f>+D37</f>
        <v>-34302</v>
      </c>
    </row>
    <row r="48" spans="1:4" x14ac:dyDescent="0.2">
      <c r="A48" s="32"/>
      <c r="B48" s="32"/>
      <c r="C48" s="32"/>
      <c r="D48" s="14">
        <f>+D47+D46</f>
        <v>1849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-1386</v>
      </c>
      <c r="D5" s="90">
        <f>+C5-B5</f>
        <v>-1386</v>
      </c>
      <c r="E5" s="275"/>
      <c r="F5" s="273"/>
    </row>
    <row r="6" spans="1:13" x14ac:dyDescent="0.2">
      <c r="A6" s="87">
        <v>500046</v>
      </c>
      <c r="B6" s="90">
        <f>-3711-393</f>
        <v>-4104</v>
      </c>
      <c r="C6" s="90"/>
      <c r="D6" s="90">
        <f t="shared" ref="D6:D11" si="0">+C6-B6</f>
        <v>4104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-9366-710</f>
        <v>-10076</v>
      </c>
      <c r="C8" s="90">
        <v>-19719</v>
      </c>
      <c r="D8" s="90">
        <f t="shared" si="0"/>
        <v>-9643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-6925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+summary!I4</f>
        <v>2.16</v>
      </c>
      <c r="E13" s="277"/>
      <c r="F13" s="273"/>
    </row>
    <row r="14" spans="1:13" x14ac:dyDescent="0.2">
      <c r="A14" s="87"/>
      <c r="B14" s="88"/>
      <c r="C14" s="88"/>
      <c r="D14" s="96">
        <f>+D13*D12</f>
        <v>-14958.000000000002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37268</v>
      </c>
      <c r="B18" s="88"/>
      <c r="C18" s="88"/>
      <c r="D18" s="321">
        <f>+D16+D14</f>
        <v>-552650.79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v>37268</v>
      </c>
      <c r="B23" s="32"/>
      <c r="C23" s="32"/>
      <c r="D23" s="355">
        <f>+D12</f>
        <v>-6925</v>
      </c>
    </row>
    <row r="24" spans="1:7" x14ac:dyDescent="0.2">
      <c r="A24" s="32"/>
      <c r="B24" s="32"/>
      <c r="C24" s="32"/>
      <c r="D24" s="14">
        <f>+D23+D22</f>
        <v>-43748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C41" sqref="C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-215782</v>
      </c>
      <c r="C37" s="11">
        <f>SUM(C6:C36)</f>
        <v>-224002</v>
      </c>
      <c r="D37" s="25">
        <f>SUM(D6:D36)</f>
        <v>-8220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-8253</v>
      </c>
    </row>
    <row r="41" spans="1:4" x14ac:dyDescent="0.2">
      <c r="A41" s="57">
        <v>37268</v>
      </c>
      <c r="C41" s="48"/>
      <c r="D41" s="25">
        <f>+D40+D37</f>
        <v>-16473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37268</v>
      </c>
      <c r="B46" s="32"/>
      <c r="C46" s="32"/>
      <c r="D46" s="380">
        <f>+D37*'by type_area'!J4</f>
        <v>-17755.2</v>
      </c>
    </row>
    <row r="47" spans="1:4" x14ac:dyDescent="0.2">
      <c r="A47" s="32"/>
      <c r="B47" s="32"/>
      <c r="C47" s="32"/>
      <c r="D47" s="200">
        <f>+D46+D45</f>
        <v>145479.79999999999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+summary!I5</f>
        <v>2.1800000000000002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B37" sqref="B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>
        <v>-1048</v>
      </c>
      <c r="G17" s="11">
        <v>-1050</v>
      </c>
      <c r="H17" s="11"/>
      <c r="I17" s="11"/>
      <c r="J17" s="11">
        <f t="shared" si="0"/>
        <v>-2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-1817</v>
      </c>
      <c r="C37" s="11">
        <f t="shared" ref="C37:I37" si="1">SUM(C6:C36)</f>
        <v>-1870</v>
      </c>
      <c r="D37" s="11">
        <f t="shared" si="1"/>
        <v>0</v>
      </c>
      <c r="E37" s="11">
        <f t="shared" si="1"/>
        <v>0</v>
      </c>
      <c r="F37" s="11">
        <f t="shared" si="1"/>
        <v>-14373</v>
      </c>
      <c r="G37" s="11">
        <f t="shared" si="1"/>
        <v>-12600</v>
      </c>
      <c r="H37" s="11">
        <f t="shared" si="1"/>
        <v>0</v>
      </c>
      <c r="I37" s="11">
        <f t="shared" si="1"/>
        <v>0</v>
      </c>
      <c r="J37" s="11">
        <f>SUM(J6:J36)</f>
        <v>1720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+summary!I4</f>
        <v>2.16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3715.2000000000003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37268</v>
      </c>
      <c r="J43" s="322">
        <f>+J41+J39</f>
        <v>-31825.13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37268</v>
      </c>
      <c r="B49" s="32"/>
      <c r="C49" s="32"/>
      <c r="D49" s="355">
        <f>+J37</f>
        <v>1720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-1714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1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-582</v>
      </c>
      <c r="M17" s="11">
        <v>-581</v>
      </c>
      <c r="N17" s="11">
        <f>+M17+K17+I17+G17+E17+C17-L17-J17-H17-F17-D17-B17</f>
        <v>1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-9414</v>
      </c>
      <c r="M37" s="11">
        <f>SUM(M6:M36)</f>
        <v>-6972</v>
      </c>
      <c r="N37" s="11">
        <f t="shared" si="1"/>
        <v>2442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+summary!I4</f>
        <v>2.16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5274.72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37268</v>
      </c>
      <c r="N43" s="322">
        <f>+N41+N39</f>
        <v>36963.21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37268</v>
      </c>
      <c r="B49" s="32"/>
      <c r="C49" s="32"/>
      <c r="D49" s="355">
        <f>+N37</f>
        <v>2442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14123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2688</v>
      </c>
      <c r="C37" s="11">
        <f>SUM(C6:C36)</f>
        <v>1800</v>
      </c>
      <c r="D37" s="25">
        <f>SUM(D6:D36)</f>
        <v>-888</v>
      </c>
    </row>
    <row r="38" spans="1:4" x14ac:dyDescent="0.2">
      <c r="A38" s="26"/>
      <c r="C38" s="14"/>
      <c r="D38" s="329">
        <f>+summary!I5</f>
        <v>2.1800000000000002</v>
      </c>
    </row>
    <row r="39" spans="1:4" x14ac:dyDescent="0.2">
      <c r="D39" s="138">
        <f>+D38*D37</f>
        <v>-1935.8400000000001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37268</v>
      </c>
      <c r="C41" s="48"/>
      <c r="D41" s="138">
        <f>+D40+D39</f>
        <v>178113.14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37268</v>
      </c>
      <c r="B47" s="32"/>
      <c r="C47" s="32"/>
      <c r="D47" s="355">
        <f>+D37</f>
        <v>-888</v>
      </c>
    </row>
    <row r="48" spans="1:4" x14ac:dyDescent="0.2">
      <c r="A48" s="32"/>
      <c r="B48" s="32"/>
      <c r="C48" s="32"/>
      <c r="D48" s="14">
        <f>+D47+D46</f>
        <v>78125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F47" sqref="F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314</v>
      </c>
      <c r="C17" s="11">
        <v>88</v>
      </c>
      <c r="D17" s="25">
        <f t="shared" si="0"/>
        <v>-226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3948</v>
      </c>
      <c r="C37" s="11">
        <f>SUM(C6:C36)</f>
        <v>4586</v>
      </c>
      <c r="D37" s="25">
        <f>SUM(D6:D36)</f>
        <v>638</v>
      </c>
    </row>
    <row r="38" spans="1:4" x14ac:dyDescent="0.2">
      <c r="A38" s="26"/>
      <c r="C38" s="14"/>
      <c r="D38" s="329">
        <f>+summary!I5</f>
        <v>2.1800000000000002</v>
      </c>
    </row>
    <row r="39" spans="1:4" x14ac:dyDescent="0.2">
      <c r="D39" s="138">
        <f>+D38*D37</f>
        <v>1390.8400000000001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37268</v>
      </c>
      <c r="C41" s="48"/>
      <c r="D41" s="138">
        <f>+D40+D39</f>
        <v>162683.32999999999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37268</v>
      </c>
      <c r="B47" s="32"/>
      <c r="C47" s="32"/>
      <c r="D47" s="355">
        <f>+D37</f>
        <v>638</v>
      </c>
    </row>
    <row r="48" spans="1:4" x14ac:dyDescent="0.2">
      <c r="A48" s="32"/>
      <c r="B48" s="32"/>
      <c r="C48" s="32"/>
      <c r="D48" s="14">
        <f>+D47+D46</f>
        <v>34609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workbookViewId="0">
      <selection activeCell="A19" sqref="A1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-165466</v>
      </c>
      <c r="C36" s="44">
        <f>SUM(C5:C35)</f>
        <v>-164759</v>
      </c>
      <c r="D36" s="43">
        <f>SUM(D5:D35)</f>
        <v>-804108</v>
      </c>
      <c r="E36" s="43">
        <f>SUM(E5:E35)</f>
        <v>-798026</v>
      </c>
      <c r="F36" s="11">
        <f>SUM(F5:F35)</f>
        <v>6789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+summary!I5</f>
        <v>2.1800000000000002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14800.02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9686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37268</v>
      </c>
      <c r="B43" s="32"/>
      <c r="C43" s="106"/>
      <c r="D43" s="106"/>
      <c r="E43" s="106"/>
      <c r="F43" s="24">
        <f>+F40+F42</f>
        <v>24486.02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37268</v>
      </c>
      <c r="B49" s="32"/>
      <c r="C49" s="32"/>
      <c r="D49" s="76">
        <f>+F36</f>
        <v>6789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26732.240000000002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-25143</v>
      </c>
      <c r="C37" s="24">
        <f>SUM(C6:C36)</f>
        <v>-19356</v>
      </c>
      <c r="D37" s="24">
        <f>SUM(D6:D36)</f>
        <v>-24061</v>
      </c>
      <c r="E37" s="24">
        <f>SUM(E6:E36)</f>
        <v>-24000</v>
      </c>
      <c r="F37" s="24">
        <f>SUM(F6:F36)</f>
        <v>5848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2.16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12631.68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C41" s="322"/>
      <c r="D41" s="262"/>
      <c r="E41" s="262"/>
      <c r="F41" s="104">
        <f>+F40+F39</f>
        <v>-120763.56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5848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-37564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-2095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-65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-25601</v>
      </c>
      <c r="C37" s="24">
        <f t="shared" si="1"/>
        <v>-25620</v>
      </c>
      <c r="D37" s="24">
        <f t="shared" si="1"/>
        <v>-8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-311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+summary!I4</f>
        <v>2.16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-671.76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37268</v>
      </c>
      <c r="E41" s="14"/>
      <c r="O41" s="447"/>
      <c r="P41" s="104">
        <f>+P40+P39</f>
        <v>93317.64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37268</v>
      </c>
      <c r="B47" s="32"/>
      <c r="C47" s="32"/>
      <c r="D47" s="355">
        <f>+P37</f>
        <v>-311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38759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-164904</v>
      </c>
      <c r="C37" s="11">
        <f>SUM(C6:C36)</f>
        <v>-168000</v>
      </c>
      <c r="D37" s="25">
        <f>SUM(D6:D36)</f>
        <v>-3096</v>
      </c>
    </row>
    <row r="38" spans="1:4" x14ac:dyDescent="0.2">
      <c r="A38" s="26"/>
      <c r="C38" s="14"/>
      <c r="D38" s="329">
        <f>+summary!I4</f>
        <v>2.16</v>
      </c>
    </row>
    <row r="39" spans="1:4" x14ac:dyDescent="0.2">
      <c r="D39" s="138">
        <f>+D38*D37</f>
        <v>-6687.3600000000006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37268</v>
      </c>
      <c r="C41" s="48"/>
      <c r="D41" s="138">
        <f>+D40+D39</f>
        <v>-22201.89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37268</v>
      </c>
      <c r="B47" s="32"/>
      <c r="C47" s="32"/>
      <c r="D47" s="355">
        <f>+D37</f>
        <v>-3096</v>
      </c>
    </row>
    <row r="48" spans="1:4" x14ac:dyDescent="0.2">
      <c r="A48" s="32"/>
      <c r="B48" s="32"/>
      <c r="C48" s="32"/>
      <c r="D48" s="14">
        <f>+D47+D46</f>
        <v>2500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+summary!I5</f>
        <v>2.1800000000000002</v>
      </c>
    </row>
    <row r="39" spans="1:4" x14ac:dyDescent="0.2">
      <c r="D39" s="138">
        <f>+D38*D37</f>
        <v>-606.04000000000008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42574.03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2" sqref="C4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1800691</v>
      </c>
      <c r="C38" s="11">
        <f>SUM(C7:C37)</f>
        <v>1776429</v>
      </c>
      <c r="D38" s="11">
        <f>SUM(D7:D37)</f>
        <v>-24262</v>
      </c>
    </row>
    <row r="39" spans="1:8" x14ac:dyDescent="0.2">
      <c r="A39" s="26"/>
      <c r="C39" s="14"/>
      <c r="D39" s="106">
        <f>+summary!I3</f>
        <v>2.13</v>
      </c>
    </row>
    <row r="40" spans="1:8" x14ac:dyDescent="0.2">
      <c r="D40" s="138">
        <f>+D39*D38</f>
        <v>-51678.06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37268</v>
      </c>
      <c r="D42" s="322">
        <f>+D41+D40</f>
        <v>-4083.1199999999953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37268</v>
      </c>
      <c r="B48" s="32"/>
      <c r="C48" s="32"/>
      <c r="D48" s="355">
        <f>+D38</f>
        <v>-24262</v>
      </c>
    </row>
    <row r="49" spans="1:4" x14ac:dyDescent="0.2">
      <c r="A49" s="32"/>
      <c r="B49" s="32"/>
      <c r="C49" s="32"/>
      <c r="D49" s="14">
        <f>+D48+D47</f>
        <v>-3851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9" sqref="C3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-1846228</v>
      </c>
      <c r="C35" s="11">
        <f>SUM(C4:C34)</f>
        <v>-1892642</v>
      </c>
      <c r="D35" s="11">
        <f>SUM(D4:D34)</f>
        <v>-46414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37268</v>
      </c>
      <c r="D40" s="51">
        <f>+D38+D35</f>
        <v>12657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37268</v>
      </c>
      <c r="B46" s="32"/>
      <c r="C46" s="32"/>
      <c r="D46" s="380">
        <f>+D35*'by type_area'!J4</f>
        <v>-100254.24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-180797.39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9" sqref="C3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-6518152</v>
      </c>
      <c r="C35" s="11">
        <f>SUM(C4:C34)</f>
        <v>-6537727</v>
      </c>
      <c r="D35" s="11">
        <f>SUM(D4:D34)</f>
        <v>0</v>
      </c>
      <c r="E35" s="11">
        <f>SUM(E4:E34)</f>
        <v>0</v>
      </c>
      <c r="F35" s="11">
        <f>SUM(F4:F34)</f>
        <v>-19575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37268</v>
      </c>
      <c r="D40" s="246"/>
      <c r="E40" s="246"/>
      <c r="F40" s="51">
        <f>+F38+F35</f>
        <v>84845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37268</v>
      </c>
      <c r="B46" s="32"/>
      <c r="C46" s="32"/>
      <c r="D46" s="480">
        <f>+F35*'by type_area'!J4</f>
        <v>-42282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289635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6" sqref="E3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-99167</v>
      </c>
      <c r="C15" s="11">
        <v>-38525</v>
      </c>
      <c r="D15" s="11"/>
      <c r="E15" s="11">
        <v>-60000</v>
      </c>
      <c r="F15" s="11"/>
      <c r="G15" s="11"/>
      <c r="H15" s="11">
        <f t="shared" si="0"/>
        <v>642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">
      <c r="A17" s="41">
        <v>16</v>
      </c>
      <c r="B17" s="129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2.75" x14ac:dyDescent="0.2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-1289469</v>
      </c>
      <c r="C33" s="44">
        <f t="shared" si="3"/>
        <v>-469583</v>
      </c>
      <c r="D33" s="11">
        <f t="shared" si="3"/>
        <v>0</v>
      </c>
      <c r="E33" s="44">
        <f t="shared" si="3"/>
        <v>-814519</v>
      </c>
      <c r="F33" s="11">
        <f t="shared" si="3"/>
        <v>0</v>
      </c>
      <c r="G33" s="11">
        <f t="shared" si="3"/>
        <v>0</v>
      </c>
      <c r="H33" s="11">
        <f t="shared" si="3"/>
        <v>5367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+summary!I4</f>
        <v>2.16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11592.720000000001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37268</v>
      </c>
      <c r="F37" s="479"/>
      <c r="G37" s="479"/>
      <c r="H37" s="322">
        <f>+H36+H35</f>
        <v>-56665.279999999999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37268</v>
      </c>
      <c r="E45" s="464">
        <f>+H33</f>
        <v>5367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283</v>
      </c>
      <c r="F46" s="129"/>
      <c r="G46" s="129"/>
      <c r="H46" s="129"/>
      <c r="I46" s="262"/>
      <c r="J46" s="102"/>
      <c r="K46" s="523"/>
      <c r="L46" s="38"/>
      <c r="M46" s="4"/>
    </row>
    <row r="47" spans="1:15" ht="12.75" x14ac:dyDescent="0.2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A39" sqref="A3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-3503509</v>
      </c>
      <c r="E36" s="11">
        <f t="shared" si="15"/>
        <v>-3549831</v>
      </c>
      <c r="F36" s="11">
        <f t="shared" si="15"/>
        <v>0</v>
      </c>
      <c r="G36" s="11">
        <f t="shared" si="15"/>
        <v>0</v>
      </c>
      <c r="H36" s="11">
        <f t="shared" si="15"/>
        <v>-46322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-46322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37268</v>
      </c>
      <c r="B39" s="2" t="s">
        <v>45</v>
      </c>
      <c r="C39" s="131">
        <f>+C38+C37</f>
        <v>64269</v>
      </c>
      <c r="D39" s="252"/>
      <c r="E39" s="131">
        <f>+E38+E37</f>
        <v>-68481</v>
      </c>
      <c r="F39" s="252"/>
      <c r="G39" s="131"/>
      <c r="H39" s="131">
        <f>+H38+H36</f>
        <v>-4212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37268</v>
      </c>
      <c r="B45" s="32"/>
      <c r="C45" s="47">
        <f>+C37*summary!I4</f>
        <v>0</v>
      </c>
      <c r="D45" s="205"/>
      <c r="E45" s="382">
        <f>+E37*summary!I3</f>
        <v>-98665.86</v>
      </c>
      <c r="F45" s="47">
        <f>+E45+C45</f>
        <v>-98665.86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7" workbookViewId="0">
      <selection activeCell="D39" sqref="D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142026</v>
      </c>
      <c r="C19" s="11">
        <v>141216</v>
      </c>
      <c r="D19" s="11">
        <v>12532</v>
      </c>
      <c r="E19" s="11">
        <v>13033</v>
      </c>
      <c r="F19" s="11">
        <f t="shared" si="5"/>
        <v>-309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37268</v>
      </c>
      <c r="I23" s="11">
        <f>+B39</f>
        <v>1750366</v>
      </c>
      <c r="J23" s="11">
        <f>+C39</f>
        <v>1739703</v>
      </c>
      <c r="K23" s="11">
        <f>+D39</f>
        <v>154904</v>
      </c>
      <c r="L23" s="11">
        <f>+E39</f>
        <v>156396</v>
      </c>
      <c r="M23" s="42">
        <f>+J23-I23+L23-K23</f>
        <v>-9171</v>
      </c>
      <c r="N23" s="102">
        <f>+summary!I3</f>
        <v>2.13</v>
      </c>
      <c r="O23" s="510">
        <f>+N23*M23</f>
        <v>-19534.23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80629</v>
      </c>
      <c r="N24" s="102"/>
      <c r="O24" s="102">
        <f>SUM(O9:O23)</f>
        <v>548582.11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1750366</v>
      </c>
      <c r="C39" s="150">
        <f>SUM(C8:C38)</f>
        <v>1739703</v>
      </c>
      <c r="D39" s="150">
        <f>SUM(D8:D38)</f>
        <v>154904</v>
      </c>
      <c r="E39" s="150">
        <f>SUM(E8:E38)</f>
        <v>156396</v>
      </c>
      <c r="F39" s="11">
        <f t="shared" si="5"/>
        <v>-9171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37268</v>
      </c>
      <c r="B45" s="32"/>
      <c r="C45" s="106"/>
      <c r="D45" s="106"/>
      <c r="E45" s="106"/>
      <c r="F45" s="24">
        <f>+F44+F39</f>
        <v>21075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37268</v>
      </c>
      <c r="B51" s="32"/>
      <c r="C51" s="32"/>
      <c r="D51" s="355">
        <f>+F39*summary!I3</f>
        <v>-19534.23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415083.77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27</vt:i4>
      </vt:variant>
    </vt:vector>
  </HeadingPairs>
  <TitlesOfParts>
    <vt:vector size="7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2002-01-11T20:45:10Z</cp:lastPrinted>
  <dcterms:created xsi:type="dcterms:W3CDTF">2000-03-28T16:52:23Z</dcterms:created>
  <dcterms:modified xsi:type="dcterms:W3CDTF">2014-09-03T14:33:31Z</dcterms:modified>
</cp:coreProperties>
</file>