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9720" windowHeight="6795" tabRatio="895" activeTab="1"/>
    <workbookView xWindow="600" yWindow="285" windowWidth="9720" windowHeight="6600" firstSheet="27" activeTab="31"/>
    <workbookView xWindow="840" yWindow="480" windowWidth="10860" windowHeight="640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Abo'!$A$5:$F$44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C'!$A$2:$F$43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18" i="8" s="1"/>
  <c r="D6" i="8"/>
  <c r="D7" i="8"/>
  <c r="D8" i="8"/>
  <c r="D9" i="8"/>
  <c r="D10" i="8"/>
  <c r="D11" i="8"/>
  <c r="D12" i="8"/>
  <c r="D13" i="8"/>
  <c r="D14" i="8"/>
  <c r="D15" i="8"/>
  <c r="D16" i="8"/>
  <c r="D17" i="8"/>
  <c r="D6" i="12"/>
  <c r="D7" i="12"/>
  <c r="D8" i="12"/>
  <c r="D9" i="12"/>
  <c r="D37" i="12" s="1"/>
  <c r="D40" i="12" s="1"/>
  <c r="C24" i="63" s="1"/>
  <c r="B24" i="63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7" i="69"/>
  <c r="D8" i="69"/>
  <c r="D9" i="69"/>
  <c r="D10" i="69"/>
  <c r="D38" i="69" s="1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6" i="74"/>
  <c r="D37" i="74" s="1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8" i="72"/>
  <c r="D9" i="72"/>
  <c r="D10" i="72"/>
  <c r="D39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40" i="72"/>
  <c r="D5" i="78"/>
  <c r="D12" i="78" s="1"/>
  <c r="D6" i="78"/>
  <c r="D7" i="78"/>
  <c r="D8" i="78"/>
  <c r="D9" i="78"/>
  <c r="D10" i="78"/>
  <c r="D11" i="78"/>
  <c r="D6" i="79"/>
  <c r="D7" i="79"/>
  <c r="D8" i="79"/>
  <c r="D37" i="79" s="1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E35" i="13"/>
  <c r="C36" i="13"/>
  <c r="E36" i="13"/>
  <c r="F40" i="13"/>
  <c r="F8" i="71"/>
  <c r="F9" i="71"/>
  <c r="F39" i="71" s="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" i="73"/>
  <c r="F5" i="73"/>
  <c r="F6" i="73"/>
  <c r="F7" i="73"/>
  <c r="F8" i="73"/>
  <c r="F9" i="73"/>
  <c r="F10" i="73"/>
  <c r="F35" i="73" s="1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C36" i="73" s="1"/>
  <c r="D35" i="73"/>
  <c r="E35" i="73"/>
  <c r="E36" i="73" s="1"/>
  <c r="F36" i="73" s="1"/>
  <c r="C37" i="73"/>
  <c r="E37" i="73" s="1"/>
  <c r="F39" i="73"/>
  <c r="B10" i="20"/>
  <c r="B11" i="20"/>
  <c r="B12" i="20"/>
  <c r="B16" i="20" s="1"/>
  <c r="B13" i="20"/>
  <c r="B14" i="20"/>
  <c r="B15" i="20"/>
  <c r="B29" i="20"/>
  <c r="B30" i="20"/>
  <c r="C30" i="20" s="1"/>
  <c r="C31" i="20" s="1"/>
  <c r="B44" i="20"/>
  <c r="H5" i="11"/>
  <c r="H36" i="11" s="1"/>
  <c r="H38" i="11" s="1"/>
  <c r="C18" i="63" s="1"/>
  <c r="H6" i="11"/>
  <c r="H7" i="11"/>
  <c r="H8" i="11"/>
  <c r="AB8" i="11"/>
  <c r="AN8" i="11" s="1"/>
  <c r="AF8" i="11"/>
  <c r="AI8" i="11"/>
  <c r="AL8" i="11"/>
  <c r="AL48" i="11" s="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I34" i="11" s="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8" i="11" s="1"/>
  <c r="B18" i="63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M37" i="11" s="1"/>
  <c r="AC37" i="11"/>
  <c r="AF37" i="11"/>
  <c r="AI37" i="11"/>
  <c r="AL37" i="11"/>
  <c r="AN37" i="11"/>
  <c r="AO37" i="11"/>
  <c r="AP37" i="11"/>
  <c r="C38" i="11"/>
  <c r="AC38" i="11"/>
  <c r="AE38" i="11"/>
  <c r="AP38" i="11" s="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 s="1"/>
  <c r="AM47" i="11"/>
  <c r="AN47" i="11"/>
  <c r="AM48" i="11"/>
  <c r="AN48" i="11"/>
  <c r="AO48" i="11"/>
  <c r="AP48" i="11"/>
  <c r="J4" i="70"/>
  <c r="J5" i="70"/>
  <c r="J35" i="70" s="1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 s="1"/>
  <c r="D75" i="70"/>
  <c r="D6" i="75"/>
  <c r="D7" i="75"/>
  <c r="D8" i="75"/>
  <c r="D9" i="75"/>
  <c r="D10" i="75"/>
  <c r="D37" i="75" s="1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F6" i="22"/>
  <c r="F37" i="22" s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5" i="5"/>
  <c r="F36" i="5" s="1"/>
  <c r="F42" i="5" s="1"/>
  <c r="C27" i="63" s="1"/>
  <c r="B27" i="63" s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7" i="5" s="1"/>
  <c r="E36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35" i="68" s="1"/>
  <c r="D40" i="68" s="1"/>
  <c r="C32" i="63" s="1"/>
  <c r="B32" i="63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34" i="67" s="1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18" i="65" s="1"/>
  <c r="D7" i="65"/>
  <c r="B8" i="65"/>
  <c r="D8" i="65"/>
  <c r="B9" i="65"/>
  <c r="D9" i="65"/>
  <c r="D10" i="65"/>
  <c r="D11" i="65"/>
  <c r="D12" i="65"/>
  <c r="D13" i="65"/>
  <c r="D14" i="65"/>
  <c r="D6" i="77"/>
  <c r="D7" i="77"/>
  <c r="D8" i="77"/>
  <c r="D37" i="77" s="1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F5" i="7"/>
  <c r="F36" i="7" s="1"/>
  <c r="F41" i="7" s="1"/>
  <c r="C44" i="63" s="1"/>
  <c r="B44" i="63" s="1"/>
  <c r="Z5" i="7"/>
  <c r="AD5" i="7" s="1"/>
  <c r="F6" i="7"/>
  <c r="Z6" i="7"/>
  <c r="AD6" i="7"/>
  <c r="AF6" i="7" s="1"/>
  <c r="F7" i="7"/>
  <c r="Z7" i="7"/>
  <c r="AD7" i="7"/>
  <c r="AF7" i="7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 s="1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H19" i="7" s="1"/>
  <c r="AG19" i="7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0" i="16" s="1"/>
  <c r="C31" i="63" s="1"/>
  <c r="B31" i="63" s="1"/>
  <c r="C36" i="16"/>
  <c r="D4" i="28"/>
  <c r="D35" i="28" s="1"/>
  <c r="D40" i="28" s="1"/>
  <c r="C46" i="63" s="1"/>
  <c r="B46" i="63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D5" i="64"/>
  <c r="D17" i="64" s="1"/>
  <c r="D6" i="64"/>
  <c r="D7" i="64"/>
  <c r="D8" i="64"/>
  <c r="D9" i="64"/>
  <c r="D10" i="64"/>
  <c r="D11" i="64"/>
  <c r="D12" i="64"/>
  <c r="D13" i="64"/>
  <c r="F8" i="15"/>
  <c r="AF8" i="15"/>
  <c r="AF39" i="15" s="1"/>
  <c r="AF45" i="15" s="1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N39" i="15" s="1"/>
  <c r="AR10" i="15"/>
  <c r="AV10" i="15"/>
  <c r="F11" i="15"/>
  <c r="AF11" i="15"/>
  <c r="AJ11" i="15"/>
  <c r="AN11" i="15"/>
  <c r="AR11" i="15"/>
  <c r="AR39" i="15" s="1"/>
  <c r="AR45" i="15" s="1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 s="1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J39" i="15" s="1"/>
  <c r="AJ45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F39" i="15" s="1"/>
  <c r="D39" i="15"/>
  <c r="E39" i="15"/>
  <c r="AD39" i="15"/>
  <c r="AE39" i="15"/>
  <c r="AH39" i="15"/>
  <c r="AI39" i="15"/>
  <c r="AL39" i="15"/>
  <c r="AM39" i="15"/>
  <c r="AP39" i="15"/>
  <c r="AT39" i="15"/>
  <c r="AU39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 s="1"/>
  <c r="F101" i="15" s="1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14" i="15" s="1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B133" i="15" s="1"/>
  <c r="B136" i="15" s="1"/>
  <c r="F132" i="15"/>
  <c r="F133" i="15" s="1"/>
  <c r="C133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F169" i="15"/>
  <c r="F170" i="15"/>
  <c r="F171" i="15"/>
  <c r="F172" i="15"/>
  <c r="F173" i="15"/>
  <c r="C174" i="15"/>
  <c r="C175" i="15"/>
  <c r="C176" i="15" s="1"/>
  <c r="F176" i="15" s="1"/>
  <c r="B178" i="15"/>
  <c r="C178" i="15"/>
  <c r="B180" i="15"/>
  <c r="C180" i="15"/>
  <c r="D6" i="76"/>
  <c r="D37" i="76" s="1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F4" i="6"/>
  <c r="F5" i="6"/>
  <c r="F6" i="6"/>
  <c r="F7" i="6"/>
  <c r="F8" i="6"/>
  <c r="F9" i="6"/>
  <c r="F10" i="6"/>
  <c r="F35" i="6" s="1"/>
  <c r="F40" i="6" s="1"/>
  <c r="C42" i="63" s="1"/>
  <c r="B42" i="63" s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P10" i="63"/>
  <c r="F40" i="15" s="1"/>
  <c r="P11" i="63"/>
  <c r="F40" i="18" s="1"/>
  <c r="F41" i="18" s="1"/>
  <c r="F43" i="18" s="1"/>
  <c r="B17" i="63" s="1"/>
  <c r="C17" i="63" s="1"/>
  <c r="D12" i="63"/>
  <c r="P12" i="63"/>
  <c r="D38" i="75" s="1"/>
  <c r="D39" i="75" s="1"/>
  <c r="D41" i="75" s="1"/>
  <c r="B33" i="63" s="1"/>
  <c r="C33" i="63" s="1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O38" i="63"/>
  <c r="D39" i="63"/>
  <c r="D40" i="63"/>
  <c r="D41" i="63"/>
  <c r="D42" i="63"/>
  <c r="D43" i="63"/>
  <c r="D44" i="63"/>
  <c r="D45" i="63"/>
  <c r="D46" i="63"/>
  <c r="D8" i="19"/>
  <c r="D9" i="19"/>
  <c r="D10" i="19"/>
  <c r="D39" i="19" s="1"/>
  <c r="D41" i="19" s="1"/>
  <c r="D43" i="19" s="1"/>
  <c r="B30" i="63" s="1"/>
  <c r="C30" i="63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35" i="2" s="1"/>
  <c r="J40" i="2" s="1"/>
  <c r="C13" i="63" s="1"/>
  <c r="B13" i="63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 s="1"/>
  <c r="AI19" i="7" l="1"/>
  <c r="AH20" i="7"/>
  <c r="D41" i="72"/>
  <c r="D43" i="72" s="1"/>
  <c r="B23" i="63" s="1"/>
  <c r="C23" i="63" s="1"/>
  <c r="AR48" i="15"/>
  <c r="AR51" i="15"/>
  <c r="F38" i="67"/>
  <c r="C26" i="63" s="1"/>
  <c r="B26" i="63" s="1"/>
  <c r="D39" i="79"/>
  <c r="D41" i="79" s="1"/>
  <c r="B28" i="63" s="1"/>
  <c r="C28" i="63" s="1"/>
  <c r="F41" i="15"/>
  <c r="F43" i="15" s="1"/>
  <c r="B16" i="63" s="1"/>
  <c r="C16" i="63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B102" i="15"/>
  <c r="AN45" i="15"/>
  <c r="F37" i="73"/>
  <c r="F38" i="73" s="1"/>
  <c r="F40" i="73" s="1"/>
  <c r="F50" i="73" s="1"/>
  <c r="E38" i="73"/>
  <c r="E40" i="73" s="1"/>
  <c r="AH56" i="15"/>
  <c r="AH57" i="15" s="1"/>
  <c r="AV39" i="15"/>
  <c r="AG20" i="7"/>
  <c r="AG21" i="7" s="1"/>
  <c r="D19" i="8"/>
  <c r="D20" i="8" s="1"/>
  <c r="D24" i="8" s="1"/>
  <c r="B29" i="63" s="1"/>
  <c r="C29" i="63" s="1"/>
  <c r="B101" i="15"/>
  <c r="C101" i="15" s="1"/>
  <c r="D18" i="64"/>
  <c r="D19" i="64" s="1"/>
  <c r="D23" i="64" s="1"/>
  <c r="B15" i="63" s="1"/>
  <c r="C15" i="63" s="1"/>
  <c r="F40" i="71"/>
  <c r="F41" i="71" s="1"/>
  <c r="F43" i="71" s="1"/>
  <c r="B45" i="63" s="1"/>
  <c r="C45" i="63" s="1"/>
  <c r="D39" i="69"/>
  <c r="D40" i="69" s="1"/>
  <c r="D42" i="69" s="1"/>
  <c r="B34" i="63" s="1"/>
  <c r="C34" i="63" s="1"/>
  <c r="D75" i="2"/>
  <c r="D38" i="76"/>
  <c r="D39" i="76" s="1"/>
  <c r="D41" i="76" s="1"/>
  <c r="B14" i="63" s="1"/>
  <c r="C14" i="63" s="1"/>
  <c r="AQ39" i="15"/>
  <c r="AP47" i="11"/>
  <c r="AF38" i="11"/>
  <c r="AF34" i="11"/>
  <c r="AC8" i="11"/>
  <c r="D19" i="65"/>
  <c r="D20" i="65" s="1"/>
  <c r="D24" i="65" s="1"/>
  <c r="B12" i="63" s="1"/>
  <c r="D38" i="77"/>
  <c r="D39" i="77" s="1"/>
  <c r="D41" i="77" s="1"/>
  <c r="B41" i="63" s="1"/>
  <c r="C41" i="63" s="1"/>
  <c r="F38" i="22"/>
  <c r="F39" i="22" s="1"/>
  <c r="F41" i="22" s="1"/>
  <c r="B20" i="63" s="1"/>
  <c r="C20" i="63" s="1"/>
  <c r="B45" i="20"/>
  <c r="C45" i="20" s="1"/>
  <c r="C46" i="20" s="1"/>
  <c r="B17" i="20"/>
  <c r="C17" i="20" s="1"/>
  <c r="C18" i="20" s="1"/>
  <c r="J40" i="17"/>
  <c r="J41" i="17" s="1"/>
  <c r="J43" i="17" s="1"/>
  <c r="B22" i="63" s="1"/>
  <c r="C22" i="63" s="1"/>
  <c r="J36" i="70"/>
  <c r="J37" i="70" s="1"/>
  <c r="J41" i="70" s="1"/>
  <c r="B21" i="63" s="1"/>
  <c r="C21" i="63" s="1"/>
  <c r="C38" i="73"/>
  <c r="C40" i="73" s="1"/>
  <c r="D13" i="78"/>
  <c r="D14" i="78" s="1"/>
  <c r="D18" i="78" s="1"/>
  <c r="B39" i="63" s="1"/>
  <c r="D38" i="74"/>
  <c r="D39" i="74" s="1"/>
  <c r="D41" i="74" s="1"/>
  <c r="B40" i="63" s="1"/>
  <c r="C40" i="63" s="1"/>
  <c r="H36" i="9"/>
  <c r="H37" i="9" s="1"/>
  <c r="H39" i="9" s="1"/>
  <c r="B25" i="63" s="1"/>
  <c r="C25" i="63" s="1"/>
  <c r="C37" i="13"/>
  <c r="C62" i="20" l="1"/>
  <c r="F52" i="73" s="1"/>
  <c r="F54" i="73" s="1"/>
  <c r="B43" i="63" s="1"/>
  <c r="C43" i="63" s="1"/>
  <c r="C39" i="63"/>
  <c r="E37" i="13"/>
  <c r="E38" i="13" s="1"/>
  <c r="C38" i="13"/>
  <c r="C41" i="13" s="1"/>
  <c r="F102" i="15"/>
  <c r="F103" i="15" s="1"/>
  <c r="B103" i="15"/>
  <c r="B105" i="15" s="1"/>
  <c r="F105" i="15" s="1"/>
  <c r="C12" i="63"/>
  <c r="AI20" i="7"/>
  <c r="AH21" i="7"/>
  <c r="AI21" i="7" s="1"/>
  <c r="AH6" i="7"/>
  <c r="AI5" i="7"/>
  <c r="C103" i="15" l="1"/>
  <c r="F38" i="13"/>
  <c r="E41" i="13"/>
  <c r="F41" i="13" s="1"/>
  <c r="B19" i="63" s="1"/>
  <c r="C47" i="63"/>
  <c r="AH7" i="7"/>
  <c r="AI6" i="7"/>
  <c r="B47" i="63"/>
  <c r="B49" i="63" l="1"/>
  <c r="C19" i="63"/>
  <c r="C35" i="63" s="1"/>
  <c r="B35" i="63"/>
  <c r="C49" i="63"/>
  <c r="AH8" i="7"/>
  <c r="AI7" i="7"/>
  <c r="AI8" i="7" l="1"/>
  <c r="AH9" i="7"/>
  <c r="AI9" i="7" l="1"/>
  <c r="AH10" i="7"/>
  <c r="AI10" i="7" l="1"/>
  <c r="AH11" i="7"/>
  <c r="AI11" i="7" l="1"/>
  <c r="AH12" i="7"/>
  <c r="AH13" i="7" l="1"/>
  <c r="AI12" i="7"/>
  <c r="AH14" i="7" l="1"/>
  <c r="AI13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<sst xmlns="http://schemas.openxmlformats.org/spreadsheetml/2006/main" count="440" uniqueCount="158">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</sst>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2.5299999999999998</v>
          </cell>
          <cell r="M39">
            <v>3.21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5" workbookViewId="3">
      <selection activeCell="C48" sqref="C48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2.5299999999999998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3.21</v>
      </c>
    </row>
    <row r="12" spans="1:20" ht="18" customHeight="1" x14ac:dyDescent="0.2">
      <c r="A12" s="357" t="s">
        <v>95</v>
      </c>
      <c r="B12" s="377">
        <f>+NNG!$D$24</f>
        <v>1191739.6000000001</v>
      </c>
      <c r="C12" s="389">
        <f>+B12/$P$11</f>
        <v>371258.44236760127</v>
      </c>
      <c r="D12" s="317">
        <f>+NNG!A24</f>
        <v>37055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5" customHeight="1" x14ac:dyDescent="0.2">
      <c r="A13" s="357" t="s">
        <v>30</v>
      </c>
      <c r="B13" s="377">
        <f>+C13*$P$10</f>
        <v>815558.14999999991</v>
      </c>
      <c r="C13" s="389">
        <f>+williams!J40</f>
        <v>322355</v>
      </c>
      <c r="D13" s="317">
        <f>+williams!A40</f>
        <v>37055</v>
      </c>
      <c r="E13" s="314" t="s">
        <v>89</v>
      </c>
      <c r="F13" s="314" t="s">
        <v>125</v>
      </c>
    </row>
    <row r="14" spans="1:20" ht="15.95" customHeight="1" x14ac:dyDescent="0.2">
      <c r="A14" s="356" t="s">
        <v>145</v>
      </c>
      <c r="B14" s="377">
        <f>+SidR!D41</f>
        <v>772088.28</v>
      </c>
      <c r="C14" s="389">
        <f>+B14/$P$11</f>
        <v>240525.94392523365</v>
      </c>
      <c r="D14" s="65">
        <f>+SidR!A41</f>
        <v>37054</v>
      </c>
      <c r="E14" t="s">
        <v>90</v>
      </c>
      <c r="F14" t="s">
        <v>112</v>
      </c>
    </row>
    <row r="15" spans="1:20" ht="15.95" customHeight="1" x14ac:dyDescent="0.2">
      <c r="A15" s="356" t="s">
        <v>87</v>
      </c>
      <c r="B15" s="377">
        <f>+PNM!$D$23</f>
        <v>756338.8899999999</v>
      </c>
      <c r="C15" s="389">
        <f>+B15/$P$11</f>
        <v>235619.5919003115</v>
      </c>
      <c r="D15" s="65">
        <f>+PNM!A23</f>
        <v>37054</v>
      </c>
      <c r="E15" t="s">
        <v>90</v>
      </c>
      <c r="F15" t="s">
        <v>108</v>
      </c>
    </row>
    <row r="16" spans="1:20" ht="15.95" customHeight="1" x14ac:dyDescent="0.2">
      <c r="A16" s="356" t="s">
        <v>25</v>
      </c>
      <c r="B16" s="371">
        <f>+'Red C'!$F$43</f>
        <v>659932.04</v>
      </c>
      <c r="C16" s="372">
        <f>+B16/$P$10</f>
        <v>260842.70355731228</v>
      </c>
      <c r="D16" s="317">
        <f>+'Red C'!B43</f>
        <v>37055</v>
      </c>
      <c r="E16" t="s">
        <v>90</v>
      </c>
      <c r="F16" t="s">
        <v>125</v>
      </c>
      <c r="T16" s="269"/>
    </row>
    <row r="17" spans="1:20" ht="15.95" customHeight="1" x14ac:dyDescent="0.2">
      <c r="A17" s="356" t="s">
        <v>3</v>
      </c>
      <c r="B17" s="377">
        <f>+'Amoco Abo'!$F$43</f>
        <v>616026.05999999994</v>
      </c>
      <c r="C17" s="389">
        <f>+B17/$P$11</f>
        <v>191908.42990654203</v>
      </c>
      <c r="D17" s="65">
        <f>+'Amoco Abo'!A43</f>
        <v>37054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35</v>
      </c>
      <c r="B18" s="377">
        <f>+'El Paso'!E38*summary!P10+'El Paso'!C38*summary!P11</f>
        <v>591182.30000000005</v>
      </c>
      <c r="C18" s="389">
        <f>+'El Paso'!H38</f>
        <v>220890</v>
      </c>
      <c r="D18" s="65">
        <f>+'El Paso'!A38</f>
        <v>37055</v>
      </c>
      <c r="E18" t="s">
        <v>89</v>
      </c>
      <c r="F18" t="s">
        <v>110</v>
      </c>
      <c r="G18" t="s">
        <v>129</v>
      </c>
    </row>
    <row r="19" spans="1:20" ht="15.95" customHeight="1" x14ac:dyDescent="0.2">
      <c r="A19" s="356" t="s">
        <v>84</v>
      </c>
      <c r="B19" s="377">
        <f>+Conoco!$F$41</f>
        <v>391602.69000000018</v>
      </c>
      <c r="C19" s="389">
        <f>+B19/$P$10</f>
        <v>154783.67193675897</v>
      </c>
      <c r="D19" s="317">
        <f>+Conoco!A41</f>
        <v>37055</v>
      </c>
      <c r="E19" t="s">
        <v>90</v>
      </c>
      <c r="F19" t="s">
        <v>109</v>
      </c>
    </row>
    <row r="20" spans="1:20" ht="15.95" customHeight="1" x14ac:dyDescent="0.2">
      <c r="A20" s="356" t="s">
        <v>117</v>
      </c>
      <c r="B20" s="377">
        <f>+KN_Westar!F41</f>
        <v>368665.62</v>
      </c>
      <c r="C20" s="389">
        <f>+B20/$P$11</f>
        <v>114849.10280373832</v>
      </c>
      <c r="D20" s="65">
        <f>+KN_Westar!A41</f>
        <v>37054</v>
      </c>
      <c r="E20" t="s">
        <v>90</v>
      </c>
      <c r="F20" t="s">
        <v>110</v>
      </c>
    </row>
    <row r="21" spans="1:20" ht="15.95" customHeight="1" x14ac:dyDescent="0.2">
      <c r="A21" s="356" t="s">
        <v>113</v>
      </c>
      <c r="B21" s="377">
        <f>+EOG!J41</f>
        <v>368094.14</v>
      </c>
      <c r="C21" s="389">
        <f>+B21/$P$11</f>
        <v>114671.07165109034</v>
      </c>
      <c r="D21" s="317">
        <f>+EOG!A41</f>
        <v>37053</v>
      </c>
      <c r="E21" t="s">
        <v>90</v>
      </c>
      <c r="F21" t="s">
        <v>112</v>
      </c>
    </row>
    <row r="22" spans="1:20" ht="15.95" customHeight="1" x14ac:dyDescent="0.2">
      <c r="A22" s="356" t="s">
        <v>2</v>
      </c>
      <c r="B22" s="377">
        <f>+mewborne!$J$43</f>
        <v>359038.16</v>
      </c>
      <c r="C22" s="389">
        <f>+B22/$P$11</f>
        <v>111849.89408099688</v>
      </c>
      <c r="D22" s="65">
        <f>+mewborne!A43</f>
        <v>37054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101792.83489096574</v>
      </c>
      <c r="D23" s="65">
        <f>+CIG!A43</f>
        <v>37054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7</v>
      </c>
      <c r="B24" s="377">
        <f>+C24*$P$10</f>
        <v>273875.02999999997</v>
      </c>
      <c r="C24" s="389">
        <f>+Amoco!D40</f>
        <v>108251</v>
      </c>
      <c r="D24" s="65">
        <f>+Amoco!A40</f>
        <v>37055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254850.25</v>
      </c>
      <c r="C25" s="389">
        <f>+B25/$P$11</f>
        <v>79392.601246105914</v>
      </c>
      <c r="D25" s="65">
        <f>+PGETX!E39</f>
        <v>37055</v>
      </c>
      <c r="E25" t="s">
        <v>90</v>
      </c>
      <c r="F25" t="s">
        <v>112</v>
      </c>
    </row>
    <row r="26" spans="1:20" ht="15.95" customHeight="1" x14ac:dyDescent="0.2">
      <c r="A26" s="356" t="s">
        <v>97</v>
      </c>
      <c r="B26" s="377">
        <f>+C26*$P$11</f>
        <v>211375.29</v>
      </c>
      <c r="C26" s="389">
        <f>+NGPL!F38</f>
        <v>65849</v>
      </c>
      <c r="D26" s="65">
        <f>+NGPL!A38</f>
        <v>37054</v>
      </c>
      <c r="E26" t="s">
        <v>89</v>
      </c>
      <c r="F26" t="s">
        <v>125</v>
      </c>
    </row>
    <row r="27" spans="1:20" ht="15.95" customHeight="1" x14ac:dyDescent="0.2">
      <c r="A27" s="356" t="s">
        <v>33</v>
      </c>
      <c r="B27" s="377">
        <f>+C27*$P$11</f>
        <v>186160.74</v>
      </c>
      <c r="C27" s="389">
        <f>+Lonestar!F42</f>
        <v>57994</v>
      </c>
      <c r="D27" s="317">
        <f>+Lonestar!B42</f>
        <v>37055</v>
      </c>
      <c r="E27" t="s">
        <v>89</v>
      </c>
      <c r="F27" t="s">
        <v>112</v>
      </c>
    </row>
    <row r="28" spans="1:20" ht="15.95" customHeight="1" x14ac:dyDescent="0.2">
      <c r="A28" s="356" t="s">
        <v>154</v>
      </c>
      <c r="B28" s="377">
        <f>+'Citizens-Griffith'!D41</f>
        <v>103358.85</v>
      </c>
      <c r="C28" s="389">
        <f>+B28/$P$11</f>
        <v>32199.018691588786</v>
      </c>
      <c r="D28" s="317">
        <f>+'Citizens-Griffith'!A41</f>
        <v>37055</v>
      </c>
      <c r="E28" t="s">
        <v>90</v>
      </c>
      <c r="F28" t="s">
        <v>109</v>
      </c>
    </row>
    <row r="29" spans="1:20" ht="15.95" customHeight="1" x14ac:dyDescent="0.2">
      <c r="A29" s="357" t="s">
        <v>83</v>
      </c>
      <c r="B29" s="377">
        <f>+Agave!$D$24</f>
        <v>78156.539999999994</v>
      </c>
      <c r="C29" s="403">
        <f>+B29/$P$11</f>
        <v>24347.831775700932</v>
      </c>
      <c r="D29" s="317">
        <f>+Agave!A24</f>
        <v>37054</v>
      </c>
      <c r="E29" s="314" t="s">
        <v>90</v>
      </c>
      <c r="F29" s="314" t="s">
        <v>112</v>
      </c>
    </row>
    <row r="30" spans="1:20" ht="15.95" customHeight="1" x14ac:dyDescent="0.2">
      <c r="A30" s="356" t="s">
        <v>75</v>
      </c>
      <c r="B30" s="371">
        <f>+transcol!$D$43</f>
        <v>62456.14</v>
      </c>
      <c r="C30" s="372">
        <f>+B30/$P$11</f>
        <v>19456.741433021805</v>
      </c>
      <c r="D30" s="65">
        <f>+transcol!A43</f>
        <v>37054</v>
      </c>
      <c r="E30" t="s">
        <v>90</v>
      </c>
      <c r="F30" t="s">
        <v>125</v>
      </c>
    </row>
    <row r="31" spans="1:20" ht="15.95" customHeight="1" x14ac:dyDescent="0.2">
      <c r="A31" s="356" t="s">
        <v>8</v>
      </c>
      <c r="B31" s="377">
        <f>+C31*$P$11</f>
        <v>37345.14</v>
      </c>
      <c r="C31" s="403">
        <f>+Oasis!D40</f>
        <v>11634</v>
      </c>
      <c r="D31" s="65">
        <f>+Oasis!B40</f>
        <v>37055</v>
      </c>
      <c r="E31" t="s">
        <v>89</v>
      </c>
      <c r="F31" t="s">
        <v>112</v>
      </c>
    </row>
    <row r="32" spans="1:20" ht="15.95" customHeight="1" x14ac:dyDescent="0.2">
      <c r="A32" s="356" t="s">
        <v>103</v>
      </c>
      <c r="B32" s="377">
        <f>+C32*$P$11</f>
        <v>16804.349999999999</v>
      </c>
      <c r="C32" s="389">
        <f>+Mojave!D40</f>
        <v>5235</v>
      </c>
      <c r="D32" s="65">
        <f>+Mojave!A40</f>
        <v>37054</v>
      </c>
      <c r="E32" t="s">
        <v>89</v>
      </c>
      <c r="F32" t="s">
        <v>110</v>
      </c>
    </row>
    <row r="33" spans="1:15" ht="15.95" customHeight="1" x14ac:dyDescent="0.2">
      <c r="A33" s="356" t="s">
        <v>143</v>
      </c>
      <c r="B33" s="377">
        <f>+EPFS!D41</f>
        <v>13319.779999999999</v>
      </c>
      <c r="C33" s="403">
        <f>+B33/$P$12</f>
        <v>3752.0507042253521</v>
      </c>
      <c r="D33" s="317">
        <f>+EPFS!A41</f>
        <v>37055</v>
      </c>
      <c r="E33" t="s">
        <v>90</v>
      </c>
      <c r="F33" t="s">
        <v>110</v>
      </c>
    </row>
    <row r="34" spans="1:15" ht="15.95" customHeight="1" x14ac:dyDescent="0.2">
      <c r="A34" s="357" t="s">
        <v>104</v>
      </c>
      <c r="B34" s="390">
        <f>+burlington!D42</f>
        <v>13269.849999999999</v>
      </c>
      <c r="C34" s="405">
        <f>+B34/$P$10</f>
        <v>5245</v>
      </c>
      <c r="D34" s="317">
        <f>+burlington!A42</f>
        <v>37055</v>
      </c>
      <c r="E34" s="314" t="s">
        <v>90</v>
      </c>
      <c r="F34" t="s">
        <v>109</v>
      </c>
      <c r="G34" t="s">
        <v>157</v>
      </c>
    </row>
    <row r="35" spans="1:15" ht="18" customHeight="1" x14ac:dyDescent="0.2">
      <c r="A35" s="297" t="s">
        <v>105</v>
      </c>
      <c r="B35" s="391">
        <f>SUM(B12:B34)</f>
        <v>8467992.8899999987</v>
      </c>
      <c r="C35" s="392">
        <f>SUM(C12:C34)</f>
        <v>2854702.9308711938</v>
      </c>
    </row>
    <row r="36" spans="1:15" ht="18" customHeight="1" x14ac:dyDescent="0.2">
      <c r="F36" s="366"/>
      <c r="O36">
        <v>50</v>
      </c>
    </row>
    <row r="37" spans="1:15" ht="18" customHeight="1" x14ac:dyDescent="0.2">
      <c r="O37">
        <v>79</v>
      </c>
    </row>
    <row r="38" spans="1:15" ht="18" customHeight="1" x14ac:dyDescent="0.2">
      <c r="A38" s="301" t="s">
        <v>98</v>
      </c>
      <c r="B38" s="302" t="s">
        <v>18</v>
      </c>
      <c r="C38" s="303" t="s">
        <v>0</v>
      </c>
      <c r="D38" s="304" t="s">
        <v>85</v>
      </c>
      <c r="E38" s="301" t="s">
        <v>99</v>
      </c>
      <c r="F38" s="334" t="s">
        <v>111</v>
      </c>
      <c r="G38" s="301" t="s">
        <v>107</v>
      </c>
      <c r="O38">
        <f>+O37*O36</f>
        <v>3950</v>
      </c>
    </row>
    <row r="39" spans="1:15" ht="18" customHeight="1" x14ac:dyDescent="0.2">
      <c r="A39" s="357" t="s">
        <v>149</v>
      </c>
      <c r="B39" s="377">
        <f>+Citizens!D18</f>
        <v>-857527.74</v>
      </c>
      <c r="C39" s="403">
        <f>+B39/$P$11</f>
        <v>-267142.5981308411</v>
      </c>
      <c r="D39" s="317">
        <f>+Citizens!A18</f>
        <v>37051</v>
      </c>
      <c r="E39" s="314" t="s">
        <v>90</v>
      </c>
      <c r="F39" s="314" t="s">
        <v>108</v>
      </c>
      <c r="G39" s="301"/>
    </row>
    <row r="40" spans="1:15" ht="18" customHeight="1" x14ac:dyDescent="0.2">
      <c r="A40" s="357" t="s">
        <v>140</v>
      </c>
      <c r="B40" s="377">
        <f>+Calpine!D41</f>
        <v>-393196.50999999995</v>
      </c>
      <c r="C40" s="403">
        <f>+B40/$P$11</f>
        <v>-122491.12461059188</v>
      </c>
      <c r="D40" s="317">
        <f>+Calpine!A41</f>
        <v>37055</v>
      </c>
      <c r="E40" s="314" t="s">
        <v>90</v>
      </c>
      <c r="F40" s="314" t="s">
        <v>109</v>
      </c>
      <c r="G40" s="301"/>
    </row>
    <row r="41" spans="1:15" ht="18" customHeight="1" x14ac:dyDescent="0.2">
      <c r="A41" s="356" t="s">
        <v>147</v>
      </c>
      <c r="B41" s="377">
        <f>+'NS Steel'!D41</f>
        <v>-331878.82</v>
      </c>
      <c r="C41" s="403">
        <f>+B41/$P$10</f>
        <v>-131177.39920948618</v>
      </c>
      <c r="D41" s="65">
        <f>+'NS Steel'!A41</f>
        <v>37054</v>
      </c>
      <c r="E41" t="s">
        <v>90</v>
      </c>
      <c r="F41" t="s">
        <v>110</v>
      </c>
      <c r="G41" s="301"/>
    </row>
    <row r="42" spans="1:15" ht="18" customHeight="1" x14ac:dyDescent="0.2">
      <c r="A42" s="356" t="s">
        <v>34</v>
      </c>
      <c r="B42" s="377">
        <f>+C42*$P$11</f>
        <v>-116914.62</v>
      </c>
      <c r="C42" s="403">
        <f>+SoCal!F40</f>
        <v>-36422</v>
      </c>
      <c r="D42" s="388">
        <f>+SoCal!A40</f>
        <v>37055</v>
      </c>
      <c r="E42" t="s">
        <v>89</v>
      </c>
      <c r="F42" t="s">
        <v>108</v>
      </c>
    </row>
    <row r="43" spans="1:15" ht="18" customHeight="1" x14ac:dyDescent="0.2">
      <c r="A43" s="356" t="s">
        <v>138</v>
      </c>
      <c r="B43" s="377">
        <f>+DEFS!F54</f>
        <v>-46242.899999999907</v>
      </c>
      <c r="C43" s="403">
        <f>+B43/$P$11</f>
        <v>-14405.887850467261</v>
      </c>
      <c r="D43" s="65">
        <f>+DEFS!A40</f>
        <v>37054</v>
      </c>
      <c r="E43" t="s">
        <v>90</v>
      </c>
      <c r="F43" t="s">
        <v>110</v>
      </c>
      <c r="G43" t="s">
        <v>128</v>
      </c>
    </row>
    <row r="44" spans="1:15" ht="18" customHeight="1" x14ac:dyDescent="0.2">
      <c r="A44" s="356" t="s">
        <v>1</v>
      </c>
      <c r="B44" s="377">
        <f>+C44*$P$10</f>
        <v>-39761.479999999996</v>
      </c>
      <c r="C44" s="403">
        <f>+NW!$F$41</f>
        <v>-15716</v>
      </c>
      <c r="D44" s="317">
        <f>+NW!B41</f>
        <v>37054</v>
      </c>
      <c r="E44" t="s">
        <v>89</v>
      </c>
      <c r="F44" t="s">
        <v>109</v>
      </c>
    </row>
    <row r="45" spans="1:15" ht="18" customHeight="1" x14ac:dyDescent="0.2">
      <c r="A45" s="356" t="s">
        <v>119</v>
      </c>
      <c r="B45" s="377">
        <f>+Continental!F43</f>
        <v>-18818.539999999997</v>
      </c>
      <c r="C45" s="403">
        <f>+B45/$P$11</f>
        <v>-5862.4735202492202</v>
      </c>
      <c r="D45" s="65">
        <f>+Continental!A43</f>
        <v>37054</v>
      </c>
      <c r="E45" t="s">
        <v>90</v>
      </c>
      <c r="F45" t="s">
        <v>125</v>
      </c>
    </row>
    <row r="46" spans="1:15" ht="18" customHeight="1" x14ac:dyDescent="0.2">
      <c r="A46" s="356" t="s">
        <v>124</v>
      </c>
      <c r="B46" s="390">
        <f>+C46*$P$11</f>
        <v>-2853.69</v>
      </c>
      <c r="C46" s="404">
        <f>+'PG&amp;E'!D40</f>
        <v>-889</v>
      </c>
      <c r="D46" s="65">
        <f>+'PG&amp;E'!A40</f>
        <v>37055</v>
      </c>
      <c r="E46" t="s">
        <v>89</v>
      </c>
      <c r="F46" t="s">
        <v>112</v>
      </c>
    </row>
    <row r="47" spans="1:15" ht="18" customHeight="1" x14ac:dyDescent="0.2">
      <c r="A47" s="297" t="s">
        <v>106</v>
      </c>
      <c r="B47" s="377">
        <f>SUM(B39:B46)</f>
        <v>-1807194.2999999998</v>
      </c>
      <c r="C47" s="403">
        <f>SUM(C39:C46)</f>
        <v>-594106.48332163563</v>
      </c>
      <c r="D47" s="314"/>
    </row>
    <row r="48" spans="1:15" ht="18" customHeight="1" x14ac:dyDescent="0.2">
      <c r="B48" s="401"/>
      <c r="C48" s="402"/>
    </row>
    <row r="49" spans="1:5" ht="18" customHeight="1" thickBot="1" x14ac:dyDescent="0.25">
      <c r="A49" s="34" t="s">
        <v>100</v>
      </c>
      <c r="B49" s="393">
        <f>+B47+B35</f>
        <v>6660798.5899999989</v>
      </c>
      <c r="C49" s="394">
        <f>+C47+C35</f>
        <v>2260596.4475495582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workbookViewId="3">
      <selection activeCell="C12" sqref="C1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1184279</v>
      </c>
      <c r="C36" s="24">
        <f>SUM(C5:C35)</f>
        <v>1194606</v>
      </c>
      <c r="D36" s="24">
        <f t="shared" si="0"/>
        <v>10327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37055</v>
      </c>
      <c r="C40" s="24"/>
      <c r="D40" s="195">
        <f>+D36+D38</f>
        <v>11634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21" sqref="C21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365411</v>
      </c>
      <c r="C5" s="90">
        <v>395302</v>
      </c>
      <c r="D5" s="90">
        <f>+C5-B5</f>
        <v>29891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369495</v>
      </c>
      <c r="C7" s="90">
        <v>386824</v>
      </c>
      <c r="D7" s="90">
        <f t="shared" si="0"/>
        <v>17329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v>456899</v>
      </c>
      <c r="C8" s="90">
        <v>482193</v>
      </c>
      <c r="D8" s="90">
        <f t="shared" si="0"/>
        <v>25294</v>
      </c>
      <c r="E8" s="287"/>
      <c r="F8" s="285"/>
    </row>
    <row r="9" spans="1:13" x14ac:dyDescent="0.2">
      <c r="A9" s="87">
        <v>500293</v>
      </c>
      <c r="B9" s="92">
        <v>191495</v>
      </c>
      <c r="C9" s="90">
        <v>245173</v>
      </c>
      <c r="D9" s="90">
        <f t="shared" si="0"/>
        <v>53678</v>
      </c>
      <c r="E9" s="287"/>
      <c r="F9" s="285"/>
    </row>
    <row r="10" spans="1:13" x14ac:dyDescent="0.2">
      <c r="A10" s="87">
        <v>500302</v>
      </c>
      <c r="B10" s="90">
        <v>4476</v>
      </c>
      <c r="C10" s="331"/>
      <c r="D10" s="90">
        <f t="shared" si="0"/>
        <v>-4476</v>
      </c>
      <c r="E10" s="287"/>
      <c r="F10" s="285"/>
    </row>
    <row r="11" spans="1:13" x14ac:dyDescent="0.2">
      <c r="A11" s="87">
        <v>500303</v>
      </c>
      <c r="B11" s="331">
        <v>85772</v>
      </c>
      <c r="C11" s="90">
        <v>132971</v>
      </c>
      <c r="D11" s="90">
        <f t="shared" si="0"/>
        <v>47199</v>
      </c>
      <c r="E11" s="287"/>
      <c r="F11" s="285"/>
    </row>
    <row r="12" spans="1:13" x14ac:dyDescent="0.2">
      <c r="A12" s="91">
        <v>500305</v>
      </c>
      <c r="B12" s="331">
        <v>412149</v>
      </c>
      <c r="C12" s="90">
        <v>540540</v>
      </c>
      <c r="D12" s="90">
        <f t="shared" si="0"/>
        <v>128391</v>
      </c>
      <c r="E12" s="288"/>
      <c r="F12" s="285"/>
    </row>
    <row r="13" spans="1:13" x14ac:dyDescent="0.2">
      <c r="A13" s="87">
        <v>500307</v>
      </c>
      <c r="B13" s="331">
        <v>24879</v>
      </c>
      <c r="C13" s="90">
        <v>25525</v>
      </c>
      <c r="D13" s="90">
        <f t="shared" si="0"/>
        <v>646</v>
      </c>
      <c r="E13" s="287"/>
      <c r="F13" s="285"/>
    </row>
    <row r="14" spans="1:13" x14ac:dyDescent="0.2">
      <c r="A14" s="87">
        <v>500313</v>
      </c>
      <c r="B14" s="90"/>
      <c r="C14" s="331">
        <v>1213</v>
      </c>
      <c r="D14" s="90">
        <f t="shared" si="0"/>
        <v>1213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308040</v>
      </c>
      <c r="C16" s="90"/>
      <c r="D16" s="90">
        <f t="shared" si="0"/>
        <v>-308040</v>
      </c>
      <c r="E16" s="287"/>
      <c r="F16" s="285"/>
    </row>
    <row r="17" spans="1:6" x14ac:dyDescent="0.2">
      <c r="A17" s="87">
        <v>500657</v>
      </c>
      <c r="B17" s="360">
        <v>85863</v>
      </c>
      <c r="C17" s="88">
        <v>71996</v>
      </c>
      <c r="D17" s="94">
        <f t="shared" si="0"/>
        <v>-13867</v>
      </c>
      <c r="E17" s="287"/>
      <c r="F17" s="285"/>
    </row>
    <row r="18" spans="1:6" x14ac:dyDescent="0.2">
      <c r="A18" s="87"/>
      <c r="B18" s="88"/>
      <c r="C18" s="88"/>
      <c r="D18" s="88">
        <f>SUM(D5:D17)</f>
        <v>-22742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3.21</v>
      </c>
      <c r="E19" s="289"/>
      <c r="F19" s="285"/>
    </row>
    <row r="20" spans="1:6" x14ac:dyDescent="0.2">
      <c r="A20" s="87"/>
      <c r="B20" s="88"/>
      <c r="C20" s="88"/>
      <c r="D20" s="96">
        <f>+D19*D18</f>
        <v>-73001.819999999992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37054</v>
      </c>
      <c r="B24" s="88"/>
      <c r="C24" s="88"/>
      <c r="D24" s="359">
        <f>+D22+D20</f>
        <v>78156.539999999994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26733</v>
      </c>
      <c r="E16" s="11">
        <v>23000</v>
      </c>
      <c r="F16" s="25">
        <f t="shared" si="0"/>
        <v>-7796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538788</v>
      </c>
      <c r="C35" s="11">
        <f>SUM(C4:C34)</f>
        <v>541975</v>
      </c>
      <c r="D35" s="11">
        <f>SUM(D4:D34)</f>
        <v>452039</v>
      </c>
      <c r="E35" s="11">
        <f>SUM(E4:E34)</f>
        <v>455090</v>
      </c>
      <c r="F35" s="11">
        <f>+E35-D35+C35-B35</f>
        <v>6238</v>
      </c>
    </row>
    <row r="36" spans="1:7" x14ac:dyDescent="0.2">
      <c r="A36" s="45"/>
      <c r="C36" s="14">
        <f>+C35-B35</f>
        <v>3187</v>
      </c>
      <c r="D36" s="14"/>
      <c r="E36" s="14">
        <f>+E35-D35</f>
        <v>3051</v>
      </c>
      <c r="F36" s="47"/>
    </row>
    <row r="37" spans="1:7" x14ac:dyDescent="0.2">
      <c r="C37" s="15">
        <f>+summary!P11</f>
        <v>3.21</v>
      </c>
      <c r="D37" s="15"/>
      <c r="E37" s="15">
        <f>+C37</f>
        <v>3.21</v>
      </c>
      <c r="F37" s="24"/>
    </row>
    <row r="38" spans="1:7" x14ac:dyDescent="0.2">
      <c r="C38" s="48">
        <f>+C37*C36</f>
        <v>10230.27</v>
      </c>
      <c r="D38" s="47"/>
      <c r="E38" s="48">
        <f>+E37*E36</f>
        <v>9793.7099999999991</v>
      </c>
      <c r="F38" s="46">
        <f>+E38+C38</f>
        <v>20023.98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37055</v>
      </c>
      <c r="C41" s="106">
        <f>+C40+C38</f>
        <v>2454236.1600000001</v>
      </c>
      <c r="D41" s="106"/>
      <c r="E41" s="106">
        <f>+E40+E38</f>
        <v>-2062633.47</v>
      </c>
      <c r="F41" s="106">
        <f>+E41+C41</f>
        <v>391602.69000000018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9" sqref="E3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254754</v>
      </c>
      <c r="D13" s="11"/>
      <c r="E13" s="11"/>
      <c r="F13" s="11">
        <f t="shared" si="5"/>
        <v>10442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2531726</v>
      </c>
      <c r="C36" s="11">
        <f>SUM(C5:C35)</f>
        <v>2612237</v>
      </c>
      <c r="D36" s="11">
        <f>SUM(D5:D35)</f>
        <v>0</v>
      </c>
      <c r="E36" s="11">
        <f>SUM(E5:E35)</f>
        <v>95841</v>
      </c>
      <c r="F36" s="11">
        <f>SUM(F5:F35)</f>
        <v>-15330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37054</v>
      </c>
      <c r="F41" s="386">
        <f>+F39+F36</f>
        <v>-15716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1029212</v>
      </c>
      <c r="C39" s="11">
        <f>SUM(C8:C38)</f>
        <v>1019546</v>
      </c>
      <c r="D39" s="11">
        <f>SUM(D8:D38)</f>
        <v>-9666</v>
      </c>
      <c r="E39" s="10"/>
      <c r="F39" s="11"/>
      <c r="G39" s="11"/>
      <c r="H39" s="11"/>
    </row>
    <row r="40" spans="1:8" x14ac:dyDescent="0.2">
      <c r="A40" s="26"/>
      <c r="D40" s="75">
        <f>+summary!P11</f>
        <v>3.21</v>
      </c>
      <c r="E40" s="26"/>
      <c r="H40" s="75"/>
    </row>
    <row r="41" spans="1:8" x14ac:dyDescent="0.2">
      <c r="D41" s="197">
        <f>+D40*D39</f>
        <v>-31027.86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37054</v>
      </c>
      <c r="D43" s="198">
        <f>+D42+D41</f>
        <v>62456.14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3" workbookViewId="3">
      <selection activeCell="B16" sqref="B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37054</v>
      </c>
      <c r="G7" s="32"/>
      <c r="H7" s="15"/>
      <c r="I7" s="32"/>
      <c r="J7" s="32"/>
    </row>
    <row r="8" spans="1:10" x14ac:dyDescent="0.2">
      <c r="A8" s="254">
        <v>60874</v>
      </c>
      <c r="B8" s="362">
        <v>1706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8469-13341</f>
        <v>-4872</v>
      </c>
      <c r="G10" s="32"/>
      <c r="H10" s="15"/>
      <c r="I10" s="32"/>
      <c r="J10" s="32"/>
    </row>
    <row r="11" spans="1:10" x14ac:dyDescent="0.2">
      <c r="A11" s="254">
        <v>500251</v>
      </c>
      <c r="B11" s="354">
        <f>6109-7259</f>
        <v>-1150</v>
      </c>
      <c r="G11" s="32"/>
      <c r="H11" s="15"/>
      <c r="I11" s="32"/>
      <c r="J11" s="32"/>
    </row>
    <row r="12" spans="1:10" x14ac:dyDescent="0.2">
      <c r="A12" s="254">
        <v>500254</v>
      </c>
      <c r="B12" s="354">
        <f>718-1813</f>
        <v>-1095</v>
      </c>
      <c r="G12" s="32"/>
      <c r="H12" s="15"/>
      <c r="I12" s="32"/>
      <c r="J12" s="32"/>
    </row>
    <row r="13" spans="1:10" x14ac:dyDescent="0.2">
      <c r="A13" s="32">
        <v>500255</v>
      </c>
      <c r="B13" s="354">
        <f>7066-8329</f>
        <v>-1263</v>
      </c>
      <c r="G13" s="32"/>
      <c r="H13" s="15"/>
      <c r="I13" s="32"/>
      <c r="J13" s="32"/>
    </row>
    <row r="14" spans="1:10" x14ac:dyDescent="0.2">
      <c r="A14" s="32">
        <v>500262</v>
      </c>
      <c r="B14" s="354">
        <f>1677-2334</f>
        <v>-657</v>
      </c>
      <c r="G14" s="32"/>
      <c r="H14" s="15"/>
      <c r="I14" s="32"/>
      <c r="J14" s="32"/>
    </row>
    <row r="15" spans="1:10" x14ac:dyDescent="0.2">
      <c r="A15" s="292">
        <v>500267</v>
      </c>
      <c r="B15" s="355">
        <f>696771-657758</f>
        <v>39013</v>
      </c>
      <c r="G15" s="32"/>
      <c r="H15" s="15"/>
      <c r="I15" s="32"/>
      <c r="J15" s="32"/>
    </row>
    <row r="16" spans="1:10" x14ac:dyDescent="0.2">
      <c r="B16" s="14">
        <f>SUM(B8:B15)</f>
        <v>31682</v>
      </c>
      <c r="G16" s="32"/>
      <c r="H16" s="15"/>
      <c r="I16" s="32"/>
      <c r="J16" s="32"/>
    </row>
    <row r="17" spans="1:10" x14ac:dyDescent="0.2">
      <c r="B17" s="15">
        <f>+B30</f>
        <v>3.21</v>
      </c>
      <c r="C17" s="201">
        <f>+B17*B16</f>
        <v>101699.22</v>
      </c>
      <c r="G17" s="32"/>
      <c r="H17" s="15"/>
      <c r="I17" s="32"/>
      <c r="J17" s="32"/>
    </row>
    <row r="18" spans="1:10" x14ac:dyDescent="0.2">
      <c r="C18" s="365">
        <f>+C17+C5</f>
        <v>850048.82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3.21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3.21</v>
      </c>
      <c r="C45" s="201">
        <f>+B45*B44</f>
        <v>3463.59</v>
      </c>
    </row>
    <row r="46" spans="1:6" x14ac:dyDescent="0.2">
      <c r="C46" s="365">
        <f>+C45+C38</f>
        <v>667084.27999999991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2010562.28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A40" sqref="A40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290615</v>
      </c>
      <c r="E35" s="11">
        <f>SUM(E4:E34)</f>
        <v>280046</v>
      </c>
      <c r="F35" s="11">
        <f>SUM(F4:F34)</f>
        <v>-10569</v>
      </c>
      <c r="G35" s="11"/>
      <c r="H35" s="11"/>
    </row>
    <row r="36" spans="1:8" x14ac:dyDescent="0.2">
      <c r="C36" s="25">
        <f>+C35-B35</f>
        <v>0</v>
      </c>
      <c r="E36" s="25">
        <f>+E35-D35</f>
        <v>-10569</v>
      </c>
      <c r="F36" s="25">
        <f>+E36+C36</f>
        <v>-10569</v>
      </c>
    </row>
    <row r="37" spans="1:8" x14ac:dyDescent="0.2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">
      <c r="C38" s="138">
        <f>+C37*C36</f>
        <v>0</v>
      </c>
      <c r="E38" s="138">
        <f>+E37*E36</f>
        <v>-37519.949999999997</v>
      </c>
      <c r="F38" s="138">
        <f>+F37*F36</f>
        <v>-37519.949999999997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37054</v>
      </c>
      <c r="B40" s="2" t="s">
        <v>47</v>
      </c>
      <c r="C40" s="351">
        <f>+C39+C38</f>
        <v>-1023092.89</v>
      </c>
      <c r="D40" s="260"/>
      <c r="E40" s="351">
        <f>+E39+E38</f>
        <v>-404192.58</v>
      </c>
      <c r="F40" s="351">
        <f>+F39+F38</f>
        <v>-1427285.47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-2056805.18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2010562.28</v>
      </c>
    </row>
    <row r="54" spans="2:7" x14ac:dyDescent="0.2">
      <c r="F54" s="104">
        <f>+F52+F50</f>
        <v>-46242.899999999907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J43" sqref="J4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9785</v>
      </c>
      <c r="G39" s="11">
        <f t="shared" si="1"/>
        <v>14136</v>
      </c>
      <c r="H39" s="11">
        <f t="shared" si="1"/>
        <v>23131</v>
      </c>
      <c r="I39" s="11">
        <f t="shared" si="1"/>
        <v>19428</v>
      </c>
      <c r="J39" s="25">
        <f t="shared" si="1"/>
        <v>-953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-3059.13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37054</v>
      </c>
      <c r="C43" s="48"/>
      <c r="J43" s="138">
        <f>+J42+J41</f>
        <v>359038.16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513</v>
      </c>
      <c r="E19" s="11"/>
      <c r="F19" s="25">
        <f t="shared" si="0"/>
        <v>-2807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158533</v>
      </c>
      <c r="C39" s="11">
        <f>SUM(C8:C38)</f>
        <v>131538</v>
      </c>
      <c r="D39" s="11">
        <f>SUM(D8:D38)</f>
        <v>-3374</v>
      </c>
      <c r="E39" s="11">
        <f>SUM(E8:E38)</f>
        <v>0</v>
      </c>
      <c r="F39" s="11">
        <f>SUM(F8:F38)</f>
        <v>-23621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-75823.41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37054</v>
      </c>
      <c r="C43" s="48"/>
      <c r="D43" s="48"/>
      <c r="E43" s="48"/>
      <c r="F43" s="110">
        <f>+F42+F41</f>
        <v>616026.05999999994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-12949</v>
      </c>
      <c r="C6" s="80"/>
      <c r="D6" s="80">
        <f t="shared" ref="D6:D14" si="0">+C6-B6</f>
        <v>12949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-337192-101246</f>
        <v>-438438</v>
      </c>
      <c r="C8" s="80"/>
      <c r="D8" s="80">
        <f t="shared" si="0"/>
        <v>438438</v>
      </c>
      <c r="H8" s="255"/>
    </row>
    <row r="9" spans="1:8" x14ac:dyDescent="0.2">
      <c r="A9" s="32">
        <v>60749</v>
      </c>
      <c r="B9" s="369">
        <f>184988+30785</f>
        <v>215773</v>
      </c>
      <c r="C9" s="80">
        <v>-406447</v>
      </c>
      <c r="D9" s="80">
        <f t="shared" si="0"/>
        <v>-622220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v>-70301</v>
      </c>
      <c r="C11" s="80"/>
      <c r="D11" s="80">
        <f t="shared" si="0"/>
        <v>70301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4562</v>
      </c>
    </row>
    <row r="19" spans="1:5" x14ac:dyDescent="0.2">
      <c r="A19" s="32" t="s">
        <v>86</v>
      </c>
      <c r="B19" s="69"/>
      <c r="C19" s="69"/>
      <c r="D19" s="73">
        <f>+summary!P11</f>
        <v>3.21</v>
      </c>
    </row>
    <row r="20" spans="1:5" x14ac:dyDescent="0.2">
      <c r="B20" s="69"/>
      <c r="C20" s="69"/>
      <c r="D20" s="75">
        <f>+D19*D18</f>
        <v>14644.02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37055</v>
      </c>
      <c r="B24" s="69"/>
      <c r="C24" s="69"/>
      <c r="D24" s="384">
        <f>+D22+D20</f>
        <v>1191739.6000000001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G17" sqref="G17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340000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-20237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63621</v>
      </c>
      <c r="H13" s="11">
        <v>60760</v>
      </c>
      <c r="I13" s="11">
        <v>57915</v>
      </c>
      <c r="J13" s="11">
        <f t="shared" si="0"/>
        <v>-147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247614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315990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-2764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324657</v>
      </c>
      <c r="C16" s="11">
        <v>318495</v>
      </c>
      <c r="D16" s="11">
        <v>39926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276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4277624</v>
      </c>
      <c r="C35" s="11">
        <f t="shared" ref="C35:I35" si="1">SUM(C4:C34)</f>
        <v>4420315</v>
      </c>
      <c r="D35" s="11">
        <f t="shared" si="1"/>
        <v>712527</v>
      </c>
      <c r="E35" s="11">
        <f t="shared" si="1"/>
        <v>689035</v>
      </c>
      <c r="F35" s="11">
        <f t="shared" si="1"/>
        <v>976370</v>
      </c>
      <c r="G35" s="11">
        <f t="shared" si="1"/>
        <v>917449</v>
      </c>
      <c r="H35" s="11">
        <f t="shared" si="1"/>
        <v>1003103</v>
      </c>
      <c r="I35" s="11">
        <f t="shared" si="1"/>
        <v>986401</v>
      </c>
      <c r="J35" s="11">
        <f>SUM(J4:J34)</f>
        <v>43576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37055</v>
      </c>
      <c r="J40" s="51">
        <f>+J38+J35</f>
        <v>322355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8" sqref="C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v>-23307</v>
      </c>
      <c r="C5" s="90">
        <v>-22000</v>
      </c>
      <c r="D5" s="90">
        <f t="shared" ref="D5:D13" si="0">+C5-B5</f>
        <v>1307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v>-1248239</v>
      </c>
      <c r="C7" s="90">
        <v>-1166194</v>
      </c>
      <c r="D7" s="90">
        <f t="shared" si="0"/>
        <v>82045</v>
      </c>
      <c r="E7" s="287"/>
      <c r="F7" s="70"/>
    </row>
    <row r="8" spans="1:13" x14ac:dyDescent="0.2">
      <c r="A8" s="87">
        <v>58710</v>
      </c>
      <c r="B8" s="331">
        <v>-19240</v>
      </c>
      <c r="C8" s="90">
        <v>-792</v>
      </c>
      <c r="D8" s="90">
        <f t="shared" si="0"/>
        <v>18448</v>
      </c>
      <c r="E8" s="287"/>
      <c r="F8" s="70"/>
    </row>
    <row r="9" spans="1:13" x14ac:dyDescent="0.2">
      <c r="A9" s="87">
        <v>60921</v>
      </c>
      <c r="B9" s="331">
        <v>834982</v>
      </c>
      <c r="C9" s="90">
        <v>762559</v>
      </c>
      <c r="D9" s="90">
        <f t="shared" si="0"/>
        <v>-72423</v>
      </c>
      <c r="E9" s="287"/>
      <c r="F9" s="70"/>
    </row>
    <row r="10" spans="1:13" x14ac:dyDescent="0.2">
      <c r="A10" s="87">
        <v>78026</v>
      </c>
      <c r="B10" s="331">
        <v>5761</v>
      </c>
      <c r="C10" s="90">
        <v>30066</v>
      </c>
      <c r="D10" s="90">
        <f t="shared" si="0"/>
        <v>24305</v>
      </c>
      <c r="E10" s="287"/>
      <c r="F10" s="285"/>
    </row>
    <row r="11" spans="1:13" x14ac:dyDescent="0.2">
      <c r="A11" s="87">
        <v>500084</v>
      </c>
      <c r="B11" s="331">
        <v>-5860</v>
      </c>
      <c r="C11" s="90">
        <v>-12000</v>
      </c>
      <c r="D11" s="90">
        <f t="shared" si="0"/>
        <v>-6140</v>
      </c>
      <c r="E11" s="288"/>
      <c r="F11" s="285"/>
    </row>
    <row r="12" spans="1:13" x14ac:dyDescent="0.2">
      <c r="A12" s="358">
        <v>500085</v>
      </c>
      <c r="B12" s="90">
        <v>-1916</v>
      </c>
      <c r="C12" s="90"/>
      <c r="D12" s="90">
        <f t="shared" si="0"/>
        <v>1916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49458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3.21</v>
      </c>
      <c r="E18" s="289"/>
      <c r="F18" s="285"/>
    </row>
    <row r="19" spans="1:7" x14ac:dyDescent="0.2">
      <c r="A19" s="87"/>
      <c r="B19" s="88"/>
      <c r="C19" s="88"/>
      <c r="D19" s="96">
        <f>+D18*D17</f>
        <v>158760.18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37054</v>
      </c>
      <c r="B23" s="88"/>
      <c r="C23" s="88"/>
      <c r="D23" s="359">
        <f>+D21+D19</f>
        <v>756338.8899999999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0" sqref="C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-749</v>
      </c>
      <c r="E4" s="90"/>
      <c r="F4" s="90">
        <f>+E4-D4+C4-B4</f>
        <v>6283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>
        <v>53935</v>
      </c>
      <c r="C14" s="88">
        <v>52158</v>
      </c>
      <c r="D14" s="88">
        <v>-2509</v>
      </c>
      <c r="E14" s="88"/>
      <c r="F14" s="90">
        <f t="shared" si="0"/>
        <v>732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8"/>
      <c r="C20" s="378"/>
      <c r="D20" s="14"/>
      <c r="E20" s="14"/>
      <c r="F20" s="90">
        <f t="shared" si="0"/>
        <v>0</v>
      </c>
    </row>
    <row r="21" spans="1:6" x14ac:dyDescent="0.2">
      <c r="A21">
        <v>19</v>
      </c>
      <c r="B21" s="378"/>
      <c r="C21" s="378"/>
      <c r="D21" s="14"/>
      <c r="E21" s="14"/>
      <c r="F21" s="90">
        <f t="shared" si="0"/>
        <v>0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706743</v>
      </c>
      <c r="C34" s="299">
        <f>SUM(C3:C33)</f>
        <v>710717</v>
      </c>
      <c r="D34" s="14">
        <f>SUM(D3:D33)</f>
        <v>-57821</v>
      </c>
      <c r="E34" s="14">
        <f>SUM(E3:E33)</f>
        <v>-88473</v>
      </c>
      <c r="F34" s="14">
        <f>SUM(F3:F33)</f>
        <v>-26678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37054</v>
      </c>
      <c r="B38" s="14"/>
      <c r="C38" s="14"/>
      <c r="D38" s="14"/>
      <c r="E38" s="14"/>
      <c r="F38" s="150">
        <f>+F37+F34</f>
        <v>65849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356667</v>
      </c>
      <c r="C35" s="11">
        <f>SUM(C4:C34)</f>
        <v>357952</v>
      </c>
      <c r="D35" s="11">
        <f>SUM(D4:D34)</f>
        <v>1285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37054</v>
      </c>
      <c r="D40" s="36">
        <f>+D38+D35</f>
        <v>5235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H15" sqref="H1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286685</v>
      </c>
      <c r="C35" s="11">
        <f t="shared" ref="C35:I35" si="1">SUM(C4:C34)</f>
        <v>288894</v>
      </c>
      <c r="D35" s="11">
        <f t="shared" si="1"/>
        <v>110706</v>
      </c>
      <c r="E35" s="11">
        <f t="shared" si="1"/>
        <v>106537</v>
      </c>
      <c r="F35" s="11">
        <f t="shared" si="1"/>
        <v>96259</v>
      </c>
      <c r="G35" s="11">
        <f t="shared" si="1"/>
        <v>86000</v>
      </c>
      <c r="H35" s="11">
        <f t="shared" si="1"/>
        <v>666</v>
      </c>
      <c r="I35" s="11">
        <f t="shared" si="1"/>
        <v>0</v>
      </c>
      <c r="J35" s="11">
        <f>SUM(J4:J34)</f>
        <v>-12885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-41360.85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37053</v>
      </c>
      <c r="J41" s="363">
        <f>+J39+J37</f>
        <v>368094.14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5" workbookViewId="3">
      <selection activeCell="B37" sqref="B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597033</v>
      </c>
      <c r="E37" s="24">
        <f>SUM(E6:E36)</f>
        <v>609806</v>
      </c>
      <c r="F37" s="24">
        <f>SUM(F6:F36)</f>
        <v>12773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41001.33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37054</v>
      </c>
      <c r="E41" s="14"/>
      <c r="F41" s="104">
        <f>+F40+F39</f>
        <v>368665.62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117</v>
      </c>
      <c r="E39" s="11">
        <f>SUM(E8:E38)</f>
        <v>40</v>
      </c>
      <c r="F39" s="25">
        <f>SUM(F8:F38)</f>
        <v>-77</v>
      </c>
    </row>
    <row r="40" spans="1:6" x14ac:dyDescent="0.2">
      <c r="A40" s="26"/>
      <c r="C40" s="14"/>
      <c r="F40" s="261">
        <f>+summary!P11</f>
        <v>3.21</v>
      </c>
    </row>
    <row r="41" spans="1:6" x14ac:dyDescent="0.2">
      <c r="F41" s="138">
        <f>+F40*F39</f>
        <v>-247.17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37054</v>
      </c>
      <c r="C43" s="48"/>
      <c r="F43" s="138">
        <f>+F42+F41</f>
        <v>-18818.539999999997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3.21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37054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20" sqref="B2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-675305</v>
      </c>
      <c r="C37" s="11">
        <f>SUM(C6:C36)</f>
        <v>-686551</v>
      </c>
      <c r="D37" s="25">
        <f>SUM(D6:D36)</f>
        <v>-11246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-36099.659999999996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37055</v>
      </c>
      <c r="C41" s="48"/>
      <c r="D41" s="138">
        <f>+D40+D39</f>
        <v>-393196.50999999995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">
      <c r="A38" s="26"/>
      <c r="C38" s="14"/>
      <c r="D38" s="376">
        <f>+summary!P12</f>
        <v>3.55</v>
      </c>
    </row>
    <row r="39" spans="1:4" x14ac:dyDescent="0.2">
      <c r="D39" s="138">
        <f>+D38*D37</f>
        <v>125449.9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37055</v>
      </c>
      <c r="C41" s="48"/>
      <c r="D41" s="138">
        <f>+D40+D39</f>
        <v>13319.779999999999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3" sqref="C4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32498</v>
      </c>
      <c r="D14" s="25">
        <f t="shared" si="0"/>
        <v>-8564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622774</v>
      </c>
      <c r="C37" s="11">
        <f>SUM(C6:C36)</f>
        <v>608482</v>
      </c>
      <c r="D37" s="25">
        <f>SUM(D6:D36)</f>
        <v>-14292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-45877.32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37054</v>
      </c>
      <c r="C41" s="48"/>
      <c r="D41" s="138">
        <f>+D40+D39</f>
        <v>772088.28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18" sqref="B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153961</v>
      </c>
      <c r="C36" s="44">
        <f>SUM(C5:C35)</f>
        <v>0</v>
      </c>
      <c r="D36" s="43">
        <f>SUM(D5:D35)</f>
        <v>0</v>
      </c>
      <c r="E36" s="44">
        <f>SUM(E5:E35)</f>
        <v>157862</v>
      </c>
      <c r="F36" s="11">
        <f>SUM(F5:F35)</f>
        <v>-3901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153961</v>
      </c>
      <c r="D37" s="24"/>
      <c r="E37" s="24">
        <f>+D36-E36</f>
        <v>-157862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37055</v>
      </c>
      <c r="C42" s="14"/>
      <c r="D42" s="50"/>
      <c r="E42" s="50"/>
      <c r="F42" s="51">
        <f>+F41+F36</f>
        <v>57994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workbookViewId="3">
      <selection activeCell="C18" sqref="C18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-23831</v>
      </c>
      <c r="C37" s="11">
        <f>SUM(C6:C36)</f>
        <v>-32373</v>
      </c>
      <c r="D37" s="25">
        <f>SUM(D6:D36)</f>
        <v>-8542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-27419.82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37054</v>
      </c>
      <c r="C41" s="48"/>
      <c r="D41" s="138">
        <f>+D40+D39</f>
        <v>-331878.82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9" workbookViewId="3">
      <selection activeCell="A41" sqref="A41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-45271</v>
      </c>
      <c r="C18" s="11">
        <v>-60000</v>
      </c>
      <c r="D18" s="25">
        <f t="shared" si="0"/>
        <v>-14729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-272013</v>
      </c>
      <c r="C37" s="11">
        <f>SUM(C6:C36)</f>
        <v>-257695</v>
      </c>
      <c r="D37" s="25">
        <f>SUM(D6:D36)</f>
        <v>14318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45960.78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37055</v>
      </c>
      <c r="C41" s="48"/>
      <c r="D41" s="138">
        <f>+D40+D39</f>
        <v>103358.85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-3800</v>
      </c>
      <c r="D5" s="90">
        <f>+C5-B5</f>
        <v>-3799</v>
      </c>
      <c r="E5" s="287"/>
      <c r="F5" s="285"/>
    </row>
    <row r="6" spans="1:13" x14ac:dyDescent="0.2">
      <c r="A6" s="87">
        <v>500046</v>
      </c>
      <c r="B6" s="90"/>
      <c r="C6" s="90">
        <v>-266</v>
      </c>
      <c r="D6" s="90">
        <f t="shared" ref="D6:D11" si="0">+C6-B6</f>
        <v>-266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-167</v>
      </c>
      <c r="D8" s="90">
        <f t="shared" si="0"/>
        <v>-167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-4232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3.21</v>
      </c>
      <c r="E13" s="289"/>
      <c r="F13" s="285"/>
    </row>
    <row r="14" spans="1:13" x14ac:dyDescent="0.2">
      <c r="A14" s="87"/>
      <c r="B14" s="88"/>
      <c r="C14" s="88"/>
      <c r="D14" s="96">
        <f>+D13*D12</f>
        <v>-13584.72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37051</v>
      </c>
      <c r="B18" s="88"/>
      <c r="C18" s="88"/>
      <c r="D18" s="359">
        <f>+D16+D14</f>
        <v>-857527.74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22" sqref="A2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1827414</v>
      </c>
      <c r="C38" s="11">
        <f>SUM(C7:C37)</f>
        <v>1832659</v>
      </c>
      <c r="D38" s="11">
        <f>SUM(D7:D37)</f>
        <v>5245</v>
      </c>
    </row>
    <row r="39" spans="1:4" x14ac:dyDescent="0.2">
      <c r="A39" s="26"/>
      <c r="C39" s="14"/>
      <c r="D39" s="106">
        <f>+summary!P10</f>
        <v>2.5299999999999998</v>
      </c>
    </row>
    <row r="40" spans="1:4" x14ac:dyDescent="0.2">
      <c r="D40" s="138">
        <f>+D39*D38</f>
        <v>13269.849999999999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37055</v>
      </c>
      <c r="D42" s="363">
        <f>+D41+D40</f>
        <v>13269.849999999999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2" sqref="C4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1680767</v>
      </c>
      <c r="C35" s="11">
        <f>SUM(C4:C34)</f>
        <v>1689923</v>
      </c>
      <c r="D35" s="11">
        <f>SUM(D4:D34)</f>
        <v>9156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37055</v>
      </c>
      <c r="D40" s="24">
        <f>+D38+D35</f>
        <v>-889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C17" sqref="C17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10026463</v>
      </c>
      <c r="C35" s="11">
        <f>SUM(C4:C34)</f>
        <v>9988913</v>
      </c>
      <c r="D35" s="11">
        <f>SUM(D4:D34)</f>
        <v>194700</v>
      </c>
      <c r="E35" s="11">
        <f>SUM(E4:E34)</f>
        <v>217393</v>
      </c>
      <c r="F35" s="11">
        <f>SUM(F4:F34)</f>
        <v>-14857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37055</v>
      </c>
      <c r="F40" s="51">
        <f>+F38+F35</f>
        <v>-36422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3" sqref="E1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>
        <v>15840</v>
      </c>
      <c r="E11" s="11">
        <v>40816</v>
      </c>
      <c r="F11" s="11"/>
      <c r="G11" s="11"/>
      <c r="H11" s="11">
        <f t="shared" si="0"/>
        <v>3331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122461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1025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1749336</v>
      </c>
      <c r="C35" s="44">
        <f t="shared" si="1"/>
        <v>1364976</v>
      </c>
      <c r="D35" s="11">
        <f t="shared" si="1"/>
        <v>370873</v>
      </c>
      <c r="E35" s="44">
        <f t="shared" si="1"/>
        <v>749832</v>
      </c>
      <c r="F35" s="11">
        <f t="shared" si="1"/>
        <v>0</v>
      </c>
      <c r="G35" s="11">
        <f t="shared" si="1"/>
        <v>0</v>
      </c>
      <c r="H35" s="11">
        <f t="shared" si="1"/>
        <v>5401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17337.21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37055</v>
      </c>
      <c r="F39" s="47"/>
      <c r="G39" s="47"/>
      <c r="H39" s="137">
        <f>+H38+H37</f>
        <v>254850.25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workbookViewId="3">
      <selection activeCell="E16" sqref="E16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4182879</v>
      </c>
      <c r="E36" s="11">
        <f t="shared" si="15"/>
        <v>4310494</v>
      </c>
      <c r="F36" s="11">
        <f t="shared" si="15"/>
        <v>0</v>
      </c>
      <c r="G36" s="11">
        <f t="shared" si="15"/>
        <v>0</v>
      </c>
      <c r="H36" s="11">
        <f t="shared" si="15"/>
        <v>-127615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37055</v>
      </c>
      <c r="B38" s="2" t="s">
        <v>47</v>
      </c>
      <c r="C38" s="131">
        <f>+C37+C36-B36</f>
        <v>47545</v>
      </c>
      <c r="D38" s="260"/>
      <c r="E38" s="131">
        <f>+E37+D36-E36</f>
        <v>173345</v>
      </c>
      <c r="F38" s="260"/>
      <c r="G38" s="131"/>
      <c r="H38" s="131">
        <f>+H37+H36</f>
        <v>220890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C19" sqref="C1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1519033</v>
      </c>
      <c r="C37" s="11">
        <f>SUM(C6:C36)</f>
        <v>1532429</v>
      </c>
      <c r="D37" s="11">
        <f>SUM(D6:D36)</f>
        <v>13396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37055</v>
      </c>
      <c r="C40" s="48"/>
      <c r="D40" s="25">
        <f>+D39+D37</f>
        <v>108251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159647</v>
      </c>
      <c r="C20" s="11">
        <v>178757</v>
      </c>
      <c r="D20" s="11">
        <v>13684</v>
      </c>
      <c r="E20" s="11">
        <v>13835</v>
      </c>
      <c r="F20" s="11">
        <f t="shared" si="5"/>
        <v>19261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2106517</v>
      </c>
      <c r="C39" s="150">
        <f>SUM(C8:C38)</f>
        <v>2140085</v>
      </c>
      <c r="D39" s="150">
        <f>SUM(D8:D38)</f>
        <v>166477</v>
      </c>
      <c r="E39" s="150">
        <f>SUM(E8:E38)</f>
        <v>172725</v>
      </c>
      <c r="F39" s="11">
        <f t="shared" si="5"/>
        <v>39816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2.5299999999999998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100734.48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37055</v>
      </c>
      <c r="C43" s="142"/>
      <c r="D43" s="142"/>
      <c r="E43" s="142"/>
      <c r="F43" s="252">
        <f>+F42+F41</f>
        <v>659932.04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2001-06-12T21:32:15Z</cp:lastPrinted>
  <dcterms:created xsi:type="dcterms:W3CDTF">2000-03-28T16:52:23Z</dcterms:created>
  <dcterms:modified xsi:type="dcterms:W3CDTF">2014-09-03T14:36:21Z</dcterms:modified>
</cp:coreProperties>
</file>